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6 COOPERA - Godoy\"/>
    </mc:Choice>
  </mc:AlternateContent>
  <xr:revisionPtr revIDLastSave="0" documentId="13_ncr:1_{BFB38559-FB52-41FE-BEB2-B5EB6C199BA4}" xr6:coauthVersionLast="47" xr6:coauthVersionMax="47" xr10:uidLastSave="{00000000-0000-0000-0000-000000000000}"/>
  <bookViews>
    <workbookView xWindow="-120" yWindow="-120" windowWidth="24240" windowHeight="13140" tabRatio="725" firstSheet="6" activeTab="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Faturas!$AB$1:$AE$211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36" r:id="rId49"/>
    <pivotCache cacheId="37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7" i="50" l="1"/>
  <c r="F175" i="49" s="1"/>
  <c r="I37" i="50"/>
  <c r="G175" i="49" s="1"/>
  <c r="J37" i="50"/>
  <c r="H175" i="49" s="1"/>
  <c r="K37" i="50"/>
  <c r="I175" i="49" s="1"/>
  <c r="L37" i="50"/>
  <c r="J175" i="49" s="1"/>
  <c r="M37" i="50"/>
  <c r="K175" i="49" s="1"/>
  <c r="AN195" i="89" l="1"/>
  <c r="C73" i="64" s="1"/>
  <c r="AN188" i="89"/>
  <c r="AU248" i="89"/>
  <c r="AU249" i="89"/>
  <c r="AU281" i="89"/>
  <c r="AU282" i="89"/>
  <c r="AU283" i="89"/>
  <c r="C50" i="64"/>
  <c r="C51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196" i="89"/>
  <c r="AO205" i="89"/>
  <c r="AO206" i="89"/>
  <c r="AM186" i="89"/>
  <c r="AS262" i="89" s="1"/>
  <c r="AN186" i="89"/>
  <c r="C64" i="64" s="1"/>
  <c r="AM187" i="89"/>
  <c r="AS263" i="89" s="1"/>
  <c r="AS264" i="89"/>
  <c r="C66" i="64"/>
  <c r="AS265" i="89"/>
  <c r="C67" i="64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5" i="89" l="1"/>
  <c r="AU252" i="89"/>
  <c r="AU262" i="89"/>
  <c r="AU269" i="89"/>
  <c r="AU261" i="89"/>
  <c r="AU268" i="89"/>
  <c r="AU260" i="89"/>
  <c r="AU251" i="89"/>
  <c r="AU271" i="89"/>
  <c r="AU270" i="89"/>
  <c r="AU267" i="89"/>
  <c r="AU259" i="89"/>
  <c r="AU250" i="89"/>
  <c r="AU272" i="89"/>
  <c r="AU264" i="89"/>
  <c r="AU256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F150" i="49" s="1"/>
  <c r="I12" i="50"/>
  <c r="G150" i="49" s="1"/>
  <c r="J12" i="50"/>
  <c r="H150" i="49" s="1"/>
  <c r="K12" i="50"/>
  <c r="I150" i="49" s="1"/>
  <c r="L12" i="50"/>
  <c r="J150" i="49" s="1"/>
  <c r="M12" i="50"/>
  <c r="K150" i="49" s="1"/>
  <c r="H13" i="50"/>
  <c r="F151" i="49" s="1"/>
  <c r="I13" i="50"/>
  <c r="G151" i="49" s="1"/>
  <c r="J13" i="50"/>
  <c r="H151" i="49" s="1"/>
  <c r="K13" i="50"/>
  <c r="I151" i="49" s="1"/>
  <c r="L13" i="50"/>
  <c r="J151" i="49" s="1"/>
  <c r="M13" i="50"/>
  <c r="K151" i="49" s="1"/>
  <c r="H14" i="50"/>
  <c r="F152" i="49" s="1"/>
  <c r="I14" i="50"/>
  <c r="G152" i="49" s="1"/>
  <c r="J14" i="50"/>
  <c r="H152" i="49" s="1"/>
  <c r="K14" i="50"/>
  <c r="I152" i="49" s="1"/>
  <c r="L14" i="50"/>
  <c r="J152" i="49" s="1"/>
  <c r="M14" i="50"/>
  <c r="K152" i="49" s="1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F153" i="49" s="1"/>
  <c r="I15" i="50"/>
  <c r="G153" i="49" s="1"/>
  <c r="J15" i="50"/>
  <c r="H153" i="49" s="1"/>
  <c r="K15" i="50"/>
  <c r="I153" i="49" s="1"/>
  <c r="L15" i="50"/>
  <c r="J153" i="49" s="1"/>
  <c r="M15" i="50"/>
  <c r="K153" i="49" s="1"/>
  <c r="H16" i="50"/>
  <c r="F154" i="49" s="1"/>
  <c r="I16" i="50"/>
  <c r="G154" i="49" s="1"/>
  <c r="J16" i="50"/>
  <c r="H154" i="49" s="1"/>
  <c r="K16" i="50"/>
  <c r="I154" i="49" s="1"/>
  <c r="L16" i="50"/>
  <c r="J154" i="49" s="1"/>
  <c r="M16" i="50"/>
  <c r="K154" i="49" s="1"/>
  <c r="H17" i="50"/>
  <c r="F155" i="49" s="1"/>
  <c r="I17" i="50"/>
  <c r="G155" i="49" s="1"/>
  <c r="J17" i="50"/>
  <c r="H155" i="49" s="1"/>
  <c r="K17" i="50"/>
  <c r="I155" i="49" s="1"/>
  <c r="L17" i="50"/>
  <c r="J155" i="49" s="1"/>
  <c r="M17" i="50"/>
  <c r="K155" i="49" s="1"/>
  <c r="H18" i="50"/>
  <c r="F156" i="49" s="1"/>
  <c r="I18" i="50"/>
  <c r="G156" i="49" s="1"/>
  <c r="J18" i="50"/>
  <c r="H156" i="49" s="1"/>
  <c r="K18" i="50"/>
  <c r="I156" i="49" s="1"/>
  <c r="L18" i="50"/>
  <c r="J156" i="49" s="1"/>
  <c r="M18" i="50"/>
  <c r="K156" i="49" s="1"/>
  <c r="H19" i="50"/>
  <c r="F157" i="49" s="1"/>
  <c r="I19" i="50"/>
  <c r="G157" i="49" s="1"/>
  <c r="J19" i="50"/>
  <c r="H157" i="49" s="1"/>
  <c r="K19" i="50"/>
  <c r="I157" i="49" s="1"/>
  <c r="L19" i="50"/>
  <c r="J157" i="49" s="1"/>
  <c r="M19" i="50"/>
  <c r="K157" i="49" s="1"/>
  <c r="H20" i="50"/>
  <c r="F158" i="49" s="1"/>
  <c r="I20" i="50"/>
  <c r="G158" i="49" s="1"/>
  <c r="J20" i="50"/>
  <c r="H158" i="49" s="1"/>
  <c r="K20" i="50"/>
  <c r="I158" i="49" s="1"/>
  <c r="L20" i="50"/>
  <c r="J158" i="49" s="1"/>
  <c r="M20" i="50"/>
  <c r="K158" i="49" s="1"/>
  <c r="H21" i="50"/>
  <c r="F159" i="49" s="1"/>
  <c r="I21" i="50"/>
  <c r="G159" i="49" s="1"/>
  <c r="J21" i="50"/>
  <c r="H159" i="49" s="1"/>
  <c r="K21" i="50"/>
  <c r="I159" i="49" s="1"/>
  <c r="L21" i="50"/>
  <c r="J159" i="49" s="1"/>
  <c r="M21" i="50"/>
  <c r="K159" i="49" s="1"/>
  <c r="H22" i="50"/>
  <c r="F160" i="49" s="1"/>
  <c r="I22" i="50"/>
  <c r="G160" i="49" s="1"/>
  <c r="J22" i="50"/>
  <c r="H160" i="49" s="1"/>
  <c r="K22" i="50"/>
  <c r="I160" i="49" s="1"/>
  <c r="L22" i="50"/>
  <c r="J160" i="49" s="1"/>
  <c r="M22" i="50"/>
  <c r="K160" i="49" s="1"/>
  <c r="H23" i="50"/>
  <c r="F161" i="49" s="1"/>
  <c r="I23" i="50"/>
  <c r="G161" i="49" s="1"/>
  <c r="J23" i="50"/>
  <c r="H161" i="49" s="1"/>
  <c r="K23" i="50"/>
  <c r="I161" i="49" s="1"/>
  <c r="L23" i="50"/>
  <c r="J161" i="49" s="1"/>
  <c r="M23" i="50"/>
  <c r="K161" i="49" s="1"/>
  <c r="H24" i="50"/>
  <c r="F162" i="49" s="1"/>
  <c r="I24" i="50"/>
  <c r="G162" i="49" s="1"/>
  <c r="J24" i="50"/>
  <c r="H162" i="49" s="1"/>
  <c r="K24" i="50"/>
  <c r="I162" i="49" s="1"/>
  <c r="L24" i="50"/>
  <c r="J162" i="49" s="1"/>
  <c r="M24" i="50"/>
  <c r="K162" i="49" s="1"/>
  <c r="H25" i="50"/>
  <c r="F163" i="49" s="1"/>
  <c r="I25" i="50"/>
  <c r="G163" i="49" s="1"/>
  <c r="J25" i="50"/>
  <c r="H163" i="49" s="1"/>
  <c r="K25" i="50"/>
  <c r="I163" i="49" s="1"/>
  <c r="L25" i="50"/>
  <c r="J163" i="49" s="1"/>
  <c r="M25" i="50"/>
  <c r="K163" i="49" s="1"/>
  <c r="H26" i="50"/>
  <c r="F164" i="49" s="1"/>
  <c r="I26" i="50"/>
  <c r="G164" i="49" s="1"/>
  <c r="J26" i="50"/>
  <c r="H164" i="49" s="1"/>
  <c r="K26" i="50"/>
  <c r="I164" i="49" s="1"/>
  <c r="L26" i="50"/>
  <c r="J164" i="49" s="1"/>
  <c r="M26" i="50"/>
  <c r="K164" i="49" s="1"/>
  <c r="H27" i="50"/>
  <c r="F165" i="49" s="1"/>
  <c r="I27" i="50"/>
  <c r="G165" i="49" s="1"/>
  <c r="J27" i="50"/>
  <c r="H165" i="49" s="1"/>
  <c r="K27" i="50"/>
  <c r="I165" i="49" s="1"/>
  <c r="L27" i="50"/>
  <c r="J165" i="49" s="1"/>
  <c r="M27" i="50"/>
  <c r="K165" i="49" s="1"/>
  <c r="H28" i="50"/>
  <c r="F166" i="49" s="1"/>
  <c r="I28" i="50"/>
  <c r="G166" i="49" s="1"/>
  <c r="J28" i="50"/>
  <c r="H166" i="49" s="1"/>
  <c r="K28" i="50"/>
  <c r="I166" i="49" s="1"/>
  <c r="L28" i="50"/>
  <c r="J166" i="49" s="1"/>
  <c r="M28" i="50"/>
  <c r="K166" i="49" s="1"/>
  <c r="H29" i="50"/>
  <c r="F167" i="49" s="1"/>
  <c r="I29" i="50"/>
  <c r="G167" i="49" s="1"/>
  <c r="J29" i="50"/>
  <c r="H167" i="49" s="1"/>
  <c r="K29" i="50"/>
  <c r="I167" i="49" s="1"/>
  <c r="L29" i="50"/>
  <c r="J167" i="49" s="1"/>
  <c r="M29" i="50"/>
  <c r="K167" i="49" s="1"/>
  <c r="H30" i="50"/>
  <c r="F168" i="49" s="1"/>
  <c r="I30" i="50"/>
  <c r="G168" i="49" s="1"/>
  <c r="J30" i="50"/>
  <c r="H168" i="49" s="1"/>
  <c r="K30" i="50"/>
  <c r="I168" i="49" s="1"/>
  <c r="L30" i="50"/>
  <c r="J168" i="49" s="1"/>
  <c r="M30" i="50"/>
  <c r="K168" i="49" s="1"/>
  <c r="H31" i="50"/>
  <c r="F169" i="49" s="1"/>
  <c r="I31" i="50"/>
  <c r="G169" i="49" s="1"/>
  <c r="J31" i="50"/>
  <c r="H169" i="49" s="1"/>
  <c r="K31" i="50"/>
  <c r="I169" i="49" s="1"/>
  <c r="L31" i="50"/>
  <c r="J169" i="49" s="1"/>
  <c r="M31" i="50"/>
  <c r="K169" i="49" s="1"/>
  <c r="H32" i="50"/>
  <c r="F170" i="49" s="1"/>
  <c r="I32" i="50"/>
  <c r="G170" i="49" s="1"/>
  <c r="J32" i="50"/>
  <c r="H170" i="49" s="1"/>
  <c r="K32" i="50"/>
  <c r="I170" i="49" s="1"/>
  <c r="L32" i="50"/>
  <c r="J170" i="49" s="1"/>
  <c r="M32" i="50"/>
  <c r="K170" i="49" s="1"/>
  <c r="H33" i="50"/>
  <c r="F171" i="49" s="1"/>
  <c r="I33" i="50"/>
  <c r="G171" i="49" s="1"/>
  <c r="J33" i="50"/>
  <c r="H171" i="49" s="1"/>
  <c r="K33" i="50"/>
  <c r="I171" i="49" s="1"/>
  <c r="L33" i="50"/>
  <c r="J171" i="49" s="1"/>
  <c r="M33" i="50"/>
  <c r="K171" i="49" s="1"/>
  <c r="H34" i="50"/>
  <c r="F172" i="49" s="1"/>
  <c r="I34" i="50"/>
  <c r="G172" i="49" s="1"/>
  <c r="J34" i="50"/>
  <c r="H172" i="49" s="1"/>
  <c r="K34" i="50"/>
  <c r="I172" i="49" s="1"/>
  <c r="L34" i="50"/>
  <c r="J172" i="49" s="1"/>
  <c r="M34" i="50"/>
  <c r="K172" i="49" s="1"/>
  <c r="H35" i="50"/>
  <c r="F173" i="49" s="1"/>
  <c r="I35" i="50"/>
  <c r="G173" i="49" s="1"/>
  <c r="J35" i="50"/>
  <c r="H173" i="49" s="1"/>
  <c r="K35" i="50"/>
  <c r="I173" i="49" s="1"/>
  <c r="L35" i="50"/>
  <c r="J173" i="49" s="1"/>
  <c r="M35" i="50"/>
  <c r="K173" i="49" s="1"/>
  <c r="H36" i="50"/>
  <c r="F174" i="49" s="1"/>
  <c r="I36" i="50"/>
  <c r="G174" i="49" s="1"/>
  <c r="J36" i="50"/>
  <c r="H174" i="49" s="1"/>
  <c r="K36" i="50"/>
  <c r="I174" i="49" s="1"/>
  <c r="L36" i="50"/>
  <c r="J174" i="49" s="1"/>
  <c r="M36" i="50"/>
  <c r="K174" i="49" s="1"/>
  <c r="H38" i="50"/>
  <c r="F176" i="49" s="1"/>
  <c r="I38" i="50"/>
  <c r="G176" i="49" s="1"/>
  <c r="J38" i="50"/>
  <c r="H176" i="49" s="1"/>
  <c r="K38" i="50"/>
  <c r="I176" i="49" s="1"/>
  <c r="L38" i="50"/>
  <c r="J176" i="49" s="1"/>
  <c r="M38" i="50"/>
  <c r="K176" i="49" s="1"/>
  <c r="H39" i="50"/>
  <c r="F177" i="49" s="1"/>
  <c r="I39" i="50"/>
  <c r="G177" i="49" s="1"/>
  <c r="J39" i="50"/>
  <c r="H177" i="49" s="1"/>
  <c r="K39" i="50"/>
  <c r="I177" i="49" s="1"/>
  <c r="L39" i="50"/>
  <c r="J177" i="49" s="1"/>
  <c r="M39" i="50"/>
  <c r="K177" i="49" s="1"/>
  <c r="H40" i="50"/>
  <c r="F178" i="49" s="1"/>
  <c r="I40" i="50"/>
  <c r="G178" i="49" s="1"/>
  <c r="J40" i="50"/>
  <c r="H178" i="49" s="1"/>
  <c r="K40" i="50"/>
  <c r="I178" i="49" s="1"/>
  <c r="L40" i="50"/>
  <c r="J178" i="49" s="1"/>
  <c r="M40" i="50"/>
  <c r="K178" i="49" s="1"/>
  <c r="H41" i="50"/>
  <c r="F179" i="49" s="1"/>
  <c r="I41" i="50"/>
  <c r="G179" i="49" s="1"/>
  <c r="J41" i="50"/>
  <c r="H179" i="49" s="1"/>
  <c r="K41" i="50"/>
  <c r="I179" i="49" s="1"/>
  <c r="L41" i="50"/>
  <c r="J179" i="49" s="1"/>
  <c r="M41" i="50"/>
  <c r="K179" i="49" s="1"/>
  <c r="H42" i="50"/>
  <c r="F180" i="49" s="1"/>
  <c r="I42" i="50"/>
  <c r="G180" i="49" s="1"/>
  <c r="J42" i="50"/>
  <c r="H180" i="49" s="1"/>
  <c r="K42" i="50"/>
  <c r="I180" i="49" s="1"/>
  <c r="L42" i="50"/>
  <c r="J180" i="49" s="1"/>
  <c r="M42" i="50"/>
  <c r="K180" i="49" s="1"/>
  <c r="H43" i="50"/>
  <c r="F181" i="49" s="1"/>
  <c r="I43" i="50"/>
  <c r="G181" i="49" s="1"/>
  <c r="J43" i="50"/>
  <c r="H181" i="49" s="1"/>
  <c r="K43" i="50"/>
  <c r="I181" i="49" s="1"/>
  <c r="L43" i="50"/>
  <c r="J181" i="49" s="1"/>
  <c r="M43" i="50"/>
  <c r="K181" i="49" s="1"/>
  <c r="H44" i="50"/>
  <c r="I44" i="50"/>
  <c r="J44" i="50"/>
  <c r="K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7" i="50"/>
  <c r="I47" i="50"/>
  <c r="J47" i="50"/>
  <c r="K47" i="50"/>
  <c r="L47" i="50"/>
  <c r="M47" i="50"/>
  <c r="H48" i="50"/>
  <c r="I48" i="50"/>
  <c r="J48" i="50"/>
  <c r="K48" i="50"/>
  <c r="L48" i="50"/>
  <c r="M48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Q185" i="49"/>
  <c r="P185" i="49" s="1"/>
  <c r="C186" i="49"/>
  <c r="Q186" i="49"/>
  <c r="P186" i="49" s="1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AO195" i="89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C119" i="78"/>
  <c r="D115" i="78"/>
  <c r="C115" i="78"/>
  <c r="D114" i="78"/>
  <c r="C114" i="78"/>
  <c r="D116" i="78"/>
  <c r="D117" i="78"/>
  <c r="D119" i="78"/>
  <c r="C117" i="78"/>
  <c r="C116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13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16" i="78"/>
  <c r="G10" i="78"/>
  <c r="D13" i="78"/>
  <c r="C87" i="78"/>
  <c r="C90" i="78"/>
  <c r="C18" i="78"/>
  <c r="G11" i="78"/>
  <c r="D12" i="78"/>
  <c r="C95" i="78"/>
  <c r="D17" i="78"/>
  <c r="C80" i="78"/>
  <c r="D11" i="78"/>
  <c r="C91" i="78"/>
  <c r="D19" i="78"/>
  <c r="D15" i="78"/>
  <c r="C13" i="78"/>
  <c r="C97" i="78"/>
  <c r="C84" i="78"/>
  <c r="D9" i="78"/>
  <c r="G12" i="78"/>
  <c r="C17" i="78"/>
  <c r="G9" i="78"/>
  <c r="G13" i="78"/>
  <c r="C79" i="78"/>
  <c r="C88" i="78"/>
  <c r="D20" i="78"/>
  <c r="C14" i="78"/>
  <c r="C89" i="78"/>
  <c r="C15" i="78"/>
  <c r="C92" i="78"/>
  <c r="C83" i="78"/>
  <c r="C82" i="78"/>
  <c r="D14" i="78"/>
  <c r="C16" i="78"/>
  <c r="D10" i="78"/>
  <c r="C20" i="78"/>
  <c r="G14" i="78"/>
  <c r="C11" i="78"/>
  <c r="C81" i="78"/>
  <c r="G8" i="78"/>
  <c r="C12" i="78"/>
  <c r="C94" i="78"/>
  <c r="D21" i="78"/>
  <c r="C93" i="78"/>
  <c r="D18" i="78"/>
  <c r="C19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AU223" i="89" l="1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09" i="85"/>
  <c r="C155" i="85"/>
  <c r="C115" i="85"/>
  <c r="C142" i="85"/>
  <c r="C73" i="85"/>
  <c r="C137" i="85"/>
  <c r="C106" i="85"/>
  <c r="C9" i="85"/>
  <c r="C95" i="85"/>
  <c r="C119" i="85"/>
  <c r="C99" i="85"/>
  <c r="C110" i="85"/>
  <c r="C132" i="85"/>
  <c r="C14" i="85"/>
  <c r="C11" i="85"/>
  <c r="C149" i="85"/>
  <c r="C10" i="85"/>
  <c r="C158" i="85"/>
  <c r="C113" i="85"/>
  <c r="C111" i="85"/>
  <c r="C5" i="85"/>
  <c r="C156" i="85"/>
  <c r="C151" i="85"/>
  <c r="C38" i="85"/>
  <c r="C121" i="85"/>
  <c r="C60" i="85"/>
  <c r="C39" i="85"/>
  <c r="C6" i="85"/>
  <c r="C107" i="85"/>
  <c r="C160" i="85"/>
  <c r="C71" i="85"/>
  <c r="C164" i="85"/>
  <c r="C26" i="85"/>
  <c r="C167" i="85"/>
  <c r="C163" i="85"/>
  <c r="C8" i="85"/>
  <c r="C17" i="85"/>
  <c r="C144" i="85"/>
  <c r="C7" i="85"/>
  <c r="C87" i="85"/>
  <c r="C112" i="85"/>
  <c r="C44" i="85"/>
  <c r="C19" i="85"/>
  <c r="C161" i="85"/>
  <c r="C15" i="85"/>
  <c r="C13" i="85"/>
  <c r="C140" i="85"/>
  <c r="C3" i="85"/>
  <c r="C23" i="85"/>
  <c r="C147" i="85"/>
  <c r="C21" i="85"/>
  <c r="C154" i="85"/>
  <c r="C159" i="85"/>
  <c r="C148" i="85"/>
  <c r="C138" i="85"/>
  <c r="C141" i="85"/>
  <c r="C101" i="85"/>
  <c r="C146" i="85"/>
  <c r="C127" i="85"/>
  <c r="C36" i="85"/>
  <c r="C32" i="85"/>
  <c r="C103" i="85"/>
  <c r="C129" i="85"/>
  <c r="C24" i="85"/>
  <c r="C165" i="85"/>
  <c r="C143" i="85"/>
  <c r="C153" i="85"/>
  <c r="C125" i="85"/>
  <c r="C18" i="85"/>
  <c r="C114" i="85"/>
  <c r="C4" i="85"/>
  <c r="C105" i="85"/>
  <c r="C46" i="85"/>
  <c r="C90" i="85"/>
  <c r="C45" i="85"/>
  <c r="C16" i="85"/>
  <c r="C20" i="85"/>
  <c r="C57" i="85"/>
  <c r="C130" i="85"/>
  <c r="C100" i="85"/>
  <c r="C162" i="85"/>
  <c r="C104" i="85"/>
  <c r="C108" i="85"/>
  <c r="C98" i="85"/>
  <c r="C77" i="85"/>
  <c r="C134" i="85"/>
  <c r="C123" i="85"/>
  <c r="C97" i="85"/>
  <c r="C117" i="85"/>
  <c r="C145" i="85"/>
  <c r="C102" i="85"/>
  <c r="C25" i="85"/>
  <c r="C157" i="85"/>
  <c r="C12" i="85"/>
  <c r="C96" i="85"/>
  <c r="C152" i="85"/>
  <c r="C37" i="85"/>
  <c r="C131" i="85"/>
  <c r="C166" i="85"/>
  <c r="C139" i="85"/>
  <c r="C133" i="85"/>
  <c r="C150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G14" i="25"/>
  <c r="H14" i="25" s="1"/>
  <c r="I14" i="25" s="1"/>
  <c r="J14" i="25" s="1"/>
  <c r="G13" i="25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31" i="85"/>
  <c r="C70" i="85"/>
  <c r="C136" i="85"/>
  <c r="C135" i="85"/>
  <c r="C22" i="85"/>
  <c r="C88" i="85"/>
  <c r="C82" i="85"/>
  <c r="F31" i="58" l="1"/>
  <c r="F30" i="58"/>
  <c r="F32" i="58"/>
  <c r="F29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H13" i="25"/>
  <c r="S74" i="78"/>
  <c r="D74" i="78"/>
  <c r="E74" i="78"/>
  <c r="H74" i="78"/>
  <c r="C72" i="85"/>
  <c r="L74" i="78"/>
  <c r="U74" i="78"/>
  <c r="K74" i="78"/>
  <c r="I74" i="78"/>
  <c r="N74" i="78"/>
  <c r="O74" i="78"/>
  <c r="J74" i="78"/>
  <c r="C30" i="85"/>
  <c r="M74" i="78"/>
  <c r="P74" i="78"/>
  <c r="T74" i="78"/>
  <c r="R74" i="78"/>
  <c r="F74" i="78"/>
  <c r="G74" i="78"/>
  <c r="Q74" i="78"/>
  <c r="K30" i="39" l="1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B46" i="25"/>
  <c r="K73" i="78"/>
  <c r="D73" i="78"/>
  <c r="T73" i="78"/>
  <c r="N73" i="78"/>
  <c r="P73" i="78"/>
  <c r="M73" i="78"/>
  <c r="L73" i="78"/>
  <c r="I73" i="78"/>
  <c r="E73" i="78"/>
  <c r="R73" i="78"/>
  <c r="Q73" i="78"/>
  <c r="O73" i="78"/>
  <c r="H73" i="78"/>
  <c r="J73" i="78"/>
  <c r="U73" i="78"/>
  <c r="S73" i="78"/>
  <c r="F73" i="78"/>
  <c r="G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G72" i="78"/>
  <c r="I72" i="78"/>
  <c r="N72" i="78"/>
  <c r="J72" i="78"/>
  <c r="R72" i="78"/>
  <c r="U72" i="78"/>
  <c r="F72" i="78"/>
  <c r="K72" i="78"/>
  <c r="Q72" i="78"/>
  <c r="S72" i="78"/>
  <c r="L72" i="78"/>
  <c r="D72" i="78"/>
  <c r="H72" i="78"/>
  <c r="T72" i="78"/>
  <c r="P72" i="78"/>
  <c r="E72" i="78"/>
  <c r="M72" i="78"/>
  <c r="O72" i="78"/>
  <c r="L16" i="58" l="1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N71" i="78"/>
  <c r="O71" i="78"/>
  <c r="D71" i="78"/>
  <c r="U71" i="78"/>
  <c r="R71" i="78"/>
  <c r="J71" i="78"/>
  <c r="C55" i="85"/>
  <c r="L71" i="78"/>
  <c r="H71" i="78"/>
  <c r="P71" i="78"/>
  <c r="G71" i="78"/>
  <c r="K71" i="78"/>
  <c r="Q71" i="78"/>
  <c r="F71" i="78"/>
  <c r="I71" i="78"/>
  <c r="E71" i="78"/>
  <c r="S71" i="78"/>
  <c r="T71" i="78"/>
  <c r="M71" i="78"/>
  <c r="L19" i="58" l="1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S70" i="78"/>
  <c r="F70" i="78"/>
  <c r="O70" i="78"/>
  <c r="K70" i="78"/>
  <c r="P70" i="78"/>
  <c r="L70" i="78"/>
  <c r="G70" i="78"/>
  <c r="D70" i="78"/>
  <c r="E70" i="78"/>
  <c r="U70" i="78"/>
  <c r="N70" i="78"/>
  <c r="I70" i="78"/>
  <c r="Q70" i="78"/>
  <c r="T70" i="78"/>
  <c r="M70" i="78"/>
  <c r="R70" i="78"/>
  <c r="H70" i="78"/>
  <c r="J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O69" i="78"/>
  <c r="J69" i="78"/>
  <c r="G69" i="78"/>
  <c r="T69" i="78"/>
  <c r="M69" i="78"/>
  <c r="P69" i="78"/>
  <c r="D69" i="78"/>
  <c r="F69" i="78"/>
  <c r="S69" i="78"/>
  <c r="U69" i="78"/>
  <c r="N69" i="78"/>
  <c r="Q69" i="78"/>
  <c r="L69" i="78"/>
  <c r="R69" i="78"/>
  <c r="I69" i="78"/>
  <c r="E69" i="78"/>
  <c r="K69" i="78"/>
  <c r="H69" i="78"/>
  <c r="E100" i="50" l="1"/>
  <c r="E92" i="50"/>
  <c r="E44" i="50"/>
  <c r="E36" i="50"/>
  <c r="E28" i="50"/>
  <c r="E99" i="50"/>
  <c r="E51" i="50"/>
  <c r="E43" i="50"/>
  <c r="E35" i="50"/>
  <c r="E27" i="50"/>
  <c r="E42" i="50"/>
  <c r="E98" i="50"/>
  <c r="E50" i="50"/>
  <c r="E26" i="50"/>
  <c r="E46" i="50"/>
  <c r="E93" i="50"/>
  <c r="E45" i="50"/>
  <c r="E97" i="50"/>
  <c r="E65" i="50"/>
  <c r="E57" i="50"/>
  <c r="E49" i="50"/>
  <c r="E41" i="50"/>
  <c r="E17" i="50"/>
  <c r="E47" i="50"/>
  <c r="E96" i="50"/>
  <c r="E64" i="50"/>
  <c r="E48" i="50"/>
  <c r="E40" i="50"/>
  <c r="E32" i="50"/>
  <c r="E94" i="50"/>
  <c r="E38" i="50"/>
  <c r="E95" i="50"/>
  <c r="E71" i="50"/>
  <c r="E63" i="50"/>
  <c r="E39" i="50"/>
  <c r="E37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K68" i="78"/>
  <c r="U68" i="78"/>
  <c r="N68" i="78"/>
  <c r="H68" i="78"/>
  <c r="G68" i="78"/>
  <c r="D68" i="78"/>
  <c r="O68" i="78"/>
  <c r="M68" i="78"/>
  <c r="L68" i="78"/>
  <c r="R68" i="78"/>
  <c r="J68" i="78"/>
  <c r="T68" i="78"/>
  <c r="E68" i="78"/>
  <c r="S68" i="78"/>
  <c r="P68" i="78"/>
  <c r="Q68" i="78"/>
  <c r="I68" i="78"/>
  <c r="F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M67" i="78"/>
  <c r="U67" i="78"/>
  <c r="Q67" i="78"/>
  <c r="E67" i="78"/>
  <c r="R67" i="78"/>
  <c r="K67" i="78"/>
  <c r="D67" i="78"/>
  <c r="G67" i="78"/>
  <c r="J67" i="78"/>
  <c r="H67" i="78"/>
  <c r="I67" i="78"/>
  <c r="P67" i="78"/>
  <c r="O67" i="78"/>
  <c r="N67" i="78"/>
  <c r="T67" i="78"/>
  <c r="S67" i="78"/>
  <c r="L67" i="78"/>
  <c r="F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K66" i="78"/>
  <c r="Q66" i="78"/>
  <c r="I66" i="78"/>
  <c r="G66" i="78"/>
  <c r="U66" i="78"/>
  <c r="P66" i="78"/>
  <c r="F66" i="78"/>
  <c r="S66" i="78"/>
  <c r="O66" i="78"/>
  <c r="H66" i="78"/>
  <c r="M66" i="78"/>
  <c r="T66" i="78"/>
  <c r="L66" i="78"/>
  <c r="N66" i="78"/>
  <c r="D66" i="78"/>
  <c r="R66" i="78"/>
  <c r="J66" i="78"/>
  <c r="E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S65" i="78"/>
  <c r="D65" i="78"/>
  <c r="T65" i="78"/>
  <c r="U65" i="78"/>
  <c r="O65" i="78"/>
  <c r="Q65" i="78"/>
  <c r="J65" i="78"/>
  <c r="R65" i="78"/>
  <c r="P65" i="78"/>
  <c r="K65" i="78"/>
  <c r="M65" i="78"/>
  <c r="H65" i="78"/>
  <c r="G65" i="78"/>
  <c r="E65" i="78"/>
  <c r="L65" i="78"/>
  <c r="I65" i="78"/>
  <c r="F65" i="78"/>
  <c r="N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I64" i="78"/>
  <c r="E64" i="78"/>
  <c r="O64" i="78"/>
  <c r="L64" i="78"/>
  <c r="Q64" i="78"/>
  <c r="G64" i="78"/>
  <c r="N64" i="78"/>
  <c r="R64" i="78"/>
  <c r="D64" i="78"/>
  <c r="H64" i="78"/>
  <c r="F64" i="78"/>
  <c r="S64" i="78"/>
  <c r="M64" i="78"/>
  <c r="T64" i="78"/>
  <c r="P64" i="78"/>
  <c r="U64" i="78"/>
  <c r="K64" i="78"/>
  <c r="J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H63" i="78"/>
  <c r="J63" i="78"/>
  <c r="S63" i="78"/>
  <c r="P63" i="78"/>
  <c r="I63" i="78"/>
  <c r="U63" i="78"/>
  <c r="M63" i="78"/>
  <c r="D63" i="78"/>
  <c r="E63" i="78"/>
  <c r="Q63" i="78"/>
  <c r="L63" i="78"/>
  <c r="K63" i="78"/>
  <c r="G63" i="78"/>
  <c r="F63" i="78"/>
  <c r="R63" i="78"/>
  <c r="T63" i="78"/>
  <c r="N63" i="78"/>
  <c r="O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C65" i="39" s="1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O35" i="25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B33" i="25"/>
  <c r="N34" i="25"/>
  <c r="AV223" i="89" l="1"/>
  <c r="X65" i="25"/>
  <c r="P65" i="25"/>
  <c r="R65" i="25"/>
  <c r="O34" i="25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E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E29" i="50" s="1"/>
  <c r="AN179" i="89" l="1"/>
  <c r="C57" i="64" s="1"/>
  <c r="AN177" i="89"/>
  <c r="C55" i="64" s="1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AU255" i="89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F16" i="143" l="1"/>
  <c r="AN170" i="89"/>
  <c r="AU246" i="89" s="1"/>
  <c r="F39" i="143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C48" i="64" l="1"/>
  <c r="AO170" i="89"/>
  <c r="F15" i="143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E25" i="50" s="1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s="1"/>
  <c r="F23" i="143" l="1"/>
  <c r="Q171" i="49"/>
  <c r="P171" i="49" s="1"/>
  <c r="AO179" i="89" l="1"/>
  <c r="D19" i="137"/>
  <c r="E19" i="137" s="1"/>
  <c r="D34" i="50" s="1"/>
  <c r="E34" i="50" s="1"/>
  <c r="AU258" i="89" l="1"/>
  <c r="AN181" i="89"/>
  <c r="AO182" i="89"/>
  <c r="C60" i="64"/>
  <c r="Q172" i="49"/>
  <c r="P172" i="49" s="1"/>
  <c r="F7" i="123"/>
  <c r="Q11" i="58"/>
  <c r="Q13" i="58" s="1"/>
  <c r="N13" i="58"/>
  <c r="Q37" i="49" s="1"/>
  <c r="P37" i="49" s="1"/>
  <c r="C59" i="64" l="1"/>
  <c r="AU257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E66" i="50" s="1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E88" i="50" s="1"/>
  <c r="D13" i="50"/>
  <c r="E13" i="50" s="1"/>
  <c r="D90" i="50"/>
  <c r="E90" i="50" s="1"/>
  <c r="D12" i="50"/>
  <c r="E12" i="50" s="1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AN202" i="89" l="1"/>
  <c r="AO202" i="89" s="1"/>
  <c r="E77" i="50"/>
  <c r="Q215" i="49"/>
  <c r="P215" i="49" s="1"/>
  <c r="Q217" i="49"/>
  <c r="P217" i="49" s="1"/>
  <c r="Q219" i="49"/>
  <c r="P219" i="49" s="1"/>
  <c r="Q150" i="49"/>
  <c r="P150" i="49" s="1"/>
  <c r="Q218" i="49"/>
  <c r="P218" i="49" s="1"/>
  <c r="Q151" i="49"/>
  <c r="P151" i="49" s="1"/>
  <c r="Q226" i="49"/>
  <c r="P226" i="49" s="1"/>
  <c r="Q216" i="49"/>
  <c r="P216" i="49" s="1"/>
  <c r="Q205" i="49"/>
  <c r="P205" i="49" s="1"/>
  <c r="AN199" i="89"/>
  <c r="AU275" i="89" s="1"/>
  <c r="D7" i="50"/>
  <c r="D5" i="50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U278" i="89" l="1"/>
  <c r="AW278" i="89" s="1"/>
  <c r="AY278" i="89" s="1"/>
  <c r="C80" i="64"/>
  <c r="D80" i="64" s="1"/>
  <c r="E80" i="64" s="1"/>
  <c r="AN208" i="89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AU284" i="89" l="1"/>
  <c r="C44" i="64"/>
  <c r="D44" i="64" s="1"/>
  <c r="D45" i="64"/>
  <c r="E45" i="64" s="1"/>
  <c r="AW243" i="89"/>
  <c r="AW284" i="89" s="1"/>
  <c r="L12" i="89" s="1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AY243" i="89" l="1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U11" i="89"/>
  <c r="AX219" i="89" l="1"/>
  <c r="AX225" i="89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974" i="85"/>
  <c r="C765" i="85"/>
  <c r="C962" i="85"/>
  <c r="C662" i="85"/>
  <c r="C1132" i="85"/>
  <c r="C1022" i="85"/>
  <c r="C1026" i="85"/>
  <c r="C1867" i="85"/>
  <c r="C1115" i="85"/>
  <c r="C457" i="85"/>
  <c r="C399" i="85"/>
  <c r="C1240" i="85"/>
  <c r="C1880" i="85"/>
  <c r="C1861" i="85"/>
  <c r="C1914" i="85"/>
  <c r="C1071" i="85"/>
  <c r="C1453" i="85"/>
  <c r="C1034" i="85"/>
  <c r="C583" i="85"/>
  <c r="C1270" i="85"/>
  <c r="C1929" i="85"/>
  <c r="C1399" i="85"/>
  <c r="C173" i="85"/>
  <c r="C1082" i="85"/>
  <c r="C436" i="85"/>
  <c r="C762" i="85"/>
  <c r="C1015" i="85"/>
  <c r="C1545" i="85"/>
  <c r="C1289" i="85"/>
  <c r="C1140" i="85"/>
  <c r="C1612" i="85"/>
  <c r="C270" i="85"/>
  <c r="C644" i="85"/>
  <c r="C999" i="85"/>
  <c r="C490" i="85"/>
  <c r="C624" i="85"/>
  <c r="C1442" i="85"/>
  <c r="C1415" i="85"/>
  <c r="C83" i="85"/>
  <c r="C926" i="85"/>
  <c r="C1659" i="85"/>
  <c r="C1835" i="85"/>
  <c r="C63" i="85"/>
  <c r="C1489" i="85"/>
  <c r="C1145" i="85"/>
  <c r="C1577" i="85"/>
  <c r="C964" i="85"/>
  <c r="C219" i="85"/>
  <c r="C505" i="85"/>
  <c r="C463" i="85"/>
  <c r="C866" i="85"/>
  <c r="C1743" i="85"/>
  <c r="C1189" i="85"/>
  <c r="C1550" i="85"/>
  <c r="C1630" i="85"/>
  <c r="C314" i="85"/>
  <c r="C1159" i="85"/>
  <c r="C1048" i="85"/>
  <c r="C1950" i="85"/>
  <c r="C250" i="85"/>
  <c r="C1027" i="85"/>
  <c r="C590" i="85"/>
  <c r="C1960" i="85"/>
  <c r="C292" i="85"/>
  <c r="C1291" i="85"/>
  <c r="C1340" i="85"/>
  <c r="C1527" i="85"/>
  <c r="C1681" i="85"/>
  <c r="C845" i="85"/>
  <c r="C717" i="85"/>
  <c r="C209" i="85"/>
  <c r="C1982" i="85"/>
  <c r="C897" i="85"/>
  <c r="C627" i="85"/>
  <c r="C286" i="85"/>
  <c r="C980" i="85"/>
  <c r="C1952" i="85"/>
  <c r="C1169" i="85"/>
  <c r="C1090" i="85"/>
  <c r="C1338" i="85"/>
  <c r="C182" i="85"/>
  <c r="C1570" i="85"/>
  <c r="C451" i="85"/>
  <c r="C1878" i="85"/>
  <c r="C943" i="85"/>
  <c r="C531" i="85"/>
  <c r="C1335" i="85"/>
  <c r="C280" i="85"/>
  <c r="C1540" i="85"/>
  <c r="C311" i="85"/>
  <c r="C915" i="85"/>
  <c r="C28" i="85"/>
  <c r="C737" i="85"/>
  <c r="C604" i="85"/>
  <c r="C1685" i="85"/>
  <c r="C415" i="85"/>
  <c r="C337" i="85"/>
  <c r="C394" i="85"/>
  <c r="C1826" i="85"/>
  <c r="C657" i="85"/>
  <c r="C116" i="85"/>
  <c r="C1199" i="85"/>
  <c r="C979" i="85"/>
  <c r="C719" i="85"/>
  <c r="C949" i="85"/>
  <c r="C382" i="85"/>
  <c r="C1519" i="85"/>
  <c r="C1990" i="85"/>
  <c r="C1019" i="85"/>
  <c r="C1185" i="85"/>
  <c r="C518" i="85"/>
  <c r="C666" i="85"/>
  <c r="C361" i="85"/>
  <c r="C575" i="85"/>
  <c r="C805" i="85"/>
  <c r="C1063" i="85"/>
  <c r="C1964" i="85"/>
  <c r="C258" i="85"/>
  <c r="C593" i="85"/>
  <c r="C406" i="85"/>
  <c r="C873" i="85"/>
  <c r="C986" i="85"/>
  <c r="C1307" i="85"/>
  <c r="C1699" i="85"/>
  <c r="C1539" i="85"/>
  <c r="C334" i="85"/>
  <c r="C1001" i="85"/>
  <c r="C313" i="85"/>
  <c r="C699" i="85"/>
  <c r="C1627" i="85"/>
  <c r="C1344" i="85"/>
  <c r="C410" i="85"/>
  <c r="C732" i="85"/>
  <c r="C196" i="85"/>
  <c r="C726" i="85"/>
  <c r="C537" i="85"/>
  <c r="C872" i="85"/>
  <c r="C448" i="85"/>
  <c r="C1667" i="85"/>
  <c r="C1751" i="85"/>
  <c r="C392" i="85"/>
  <c r="C1363" i="85"/>
  <c r="C754" i="85"/>
  <c r="C1105" i="85"/>
  <c r="C1697" i="85"/>
  <c r="C690" i="85"/>
  <c r="C224" i="85"/>
  <c r="C1060" i="85"/>
  <c r="C221" i="85"/>
  <c r="C1038" i="85"/>
  <c r="C1134" i="85"/>
  <c r="C996" i="85"/>
  <c r="C229" i="85"/>
  <c r="C899" i="85"/>
  <c r="C778" i="85"/>
  <c r="C1716" i="85"/>
  <c r="C1608" i="85"/>
  <c r="C283" i="85"/>
  <c r="C53" i="85"/>
  <c r="C1613" i="85"/>
  <c r="C1355" i="85"/>
  <c r="C945" i="85"/>
  <c r="C1420" i="85"/>
  <c r="C1969" i="85"/>
  <c r="C1268" i="85"/>
  <c r="C913" i="85"/>
  <c r="C453" i="85"/>
  <c r="C562" i="85"/>
  <c r="C1537" i="85"/>
  <c r="C591" i="85"/>
  <c r="C1932" i="85"/>
  <c r="C1959" i="85"/>
  <c r="C857" i="85"/>
  <c r="C35" i="85"/>
  <c r="C1614" i="85"/>
  <c r="C697" i="85"/>
  <c r="C1713" i="85"/>
  <c r="C1891" i="85"/>
  <c r="C823" i="85"/>
  <c r="C491" i="85"/>
  <c r="C1167" i="85"/>
  <c r="C917" i="85"/>
  <c r="C898" i="85"/>
  <c r="C1126" i="85"/>
  <c r="C633" i="85"/>
  <c r="C1580" i="85"/>
  <c r="C586" i="85"/>
  <c r="C848" i="85"/>
  <c r="C1533" i="85"/>
  <c r="C232" i="85"/>
  <c r="C419" i="85"/>
  <c r="C309" i="85"/>
  <c r="C1928" i="85"/>
  <c r="C1644" i="85"/>
  <c r="C317" i="85"/>
  <c r="C1589" i="85"/>
  <c r="C1457" i="85"/>
  <c r="C879" i="85"/>
  <c r="C1430" i="85"/>
  <c r="C1935" i="85"/>
  <c r="C1196" i="85"/>
  <c r="C1683" i="85"/>
  <c r="C738" i="85"/>
  <c r="C861" i="85"/>
  <c r="C1653" i="85"/>
  <c r="C212" i="85"/>
  <c r="C1160" i="85"/>
  <c r="C1895" i="85"/>
  <c r="C1274" i="85"/>
  <c r="C1052" i="85"/>
  <c r="C1351" i="85"/>
  <c r="C675" i="85"/>
  <c r="C1303" i="85"/>
  <c r="C1576" i="85"/>
  <c r="C252" i="85"/>
  <c r="C509" i="85"/>
  <c r="C507" i="85"/>
  <c r="C470" i="85"/>
  <c r="C735" i="85"/>
  <c r="C454" i="85"/>
  <c r="C679" i="85"/>
  <c r="C1802" i="85"/>
  <c r="C636" i="85"/>
  <c r="C1949" i="85"/>
  <c r="C75" i="85"/>
  <c r="C1290" i="85"/>
  <c r="C1628" i="85"/>
  <c r="C642" i="85"/>
  <c r="C714" i="85"/>
  <c r="C1779" i="85"/>
  <c r="C1219" i="85"/>
  <c r="C745" i="85"/>
  <c r="C177" i="85"/>
  <c r="C667" i="85"/>
  <c r="C810" i="85"/>
  <c r="C1131" i="85"/>
  <c r="C1434" i="85"/>
  <c r="C957" i="85"/>
  <c r="C1337" i="85"/>
  <c r="C1483" i="85"/>
  <c r="C1819" i="85"/>
  <c r="C1791" i="85"/>
  <c r="C622" i="85"/>
  <c r="C254" i="85"/>
  <c r="C1119" i="85"/>
  <c r="C867" i="85"/>
  <c r="C1451" i="85"/>
  <c r="C432" i="85"/>
  <c r="C1485" i="85"/>
  <c r="C1024" i="85"/>
  <c r="C76" i="85"/>
  <c r="C172" i="85"/>
  <c r="C814" i="85"/>
  <c r="C431" i="85"/>
  <c r="C458" i="85"/>
  <c r="C1209" i="85"/>
  <c r="C1436" i="85"/>
  <c r="C1872" i="85"/>
  <c r="C1254" i="85"/>
  <c r="C1925" i="85"/>
  <c r="C1578" i="85"/>
  <c r="C246" i="85"/>
  <c r="C1634" i="85"/>
  <c r="C1252" i="85"/>
  <c r="C357" i="85"/>
  <c r="C1047" i="85"/>
  <c r="C1641" i="85"/>
  <c r="C51" i="85"/>
  <c r="C1971" i="85"/>
  <c r="C1843" i="85"/>
  <c r="C1718" i="85"/>
  <c r="C1770" i="85"/>
  <c r="C261" i="85"/>
  <c r="C1183" i="85"/>
  <c r="C1983" i="85"/>
  <c r="C1963" i="85"/>
  <c r="C1005" i="85"/>
  <c r="C363" i="85"/>
  <c r="C993" i="85"/>
  <c r="C1296" i="85"/>
  <c r="C905" i="85"/>
  <c r="C1547" i="85"/>
  <c r="C1065" i="85"/>
  <c r="C1890" i="85"/>
  <c r="C1084" i="85"/>
  <c r="C703" i="85"/>
  <c r="C710" i="85"/>
  <c r="C405" i="85"/>
  <c r="C572" i="85"/>
  <c r="C693" i="85"/>
  <c r="C1616" i="85"/>
  <c r="C1325" i="85"/>
  <c r="C1746" i="85"/>
  <c r="C423" i="85"/>
  <c r="C705" i="85"/>
  <c r="C559" i="85"/>
  <c r="C846" i="85"/>
  <c r="C595" i="85"/>
  <c r="C982" i="85"/>
  <c r="C741" i="85"/>
  <c r="C1178" i="85"/>
  <c r="C1456" i="85"/>
  <c r="C1668" i="85"/>
  <c r="C1962" i="85"/>
  <c r="C1481" i="85"/>
  <c r="C418" i="85"/>
  <c r="C1058" i="85"/>
  <c r="C238" i="85"/>
  <c r="C1727" i="85"/>
  <c r="C1088" i="85"/>
  <c r="C665" i="85"/>
  <c r="C248" i="85"/>
  <c r="C1638" i="85"/>
  <c r="C1978" i="85"/>
  <c r="C661" i="85"/>
  <c r="C843" i="85"/>
  <c r="C1366" i="85"/>
  <c r="C853" i="85"/>
  <c r="C511" i="85"/>
  <c r="C1172" i="85"/>
  <c r="C914" i="85"/>
  <c r="C1768" i="85"/>
  <c r="C351" i="85"/>
  <c r="C409" i="85"/>
  <c r="C989" i="85"/>
  <c r="C1141" i="85"/>
  <c r="C1180" i="85"/>
  <c r="C1347" i="85"/>
  <c r="C763" i="85"/>
  <c r="C978" i="85"/>
  <c r="C424" i="85"/>
  <c r="C663" i="85"/>
  <c r="C1922" i="85"/>
  <c r="C904" i="85"/>
  <c r="C1184" i="85"/>
  <c r="C1245" i="85"/>
  <c r="C1229" i="85"/>
  <c r="C93" i="85"/>
  <c r="C1297" i="85"/>
  <c r="C658" i="85"/>
  <c r="C1236" i="85"/>
  <c r="C760" i="85"/>
  <c r="C1057" i="85"/>
  <c r="C1955" i="85"/>
  <c r="C546" i="85"/>
  <c r="C858" i="85"/>
  <c r="C1708" i="85"/>
  <c r="C1107" i="85"/>
  <c r="C1046" i="85"/>
  <c r="C217" i="85"/>
  <c r="C1607" i="85"/>
  <c r="C126" i="85"/>
  <c r="C976" i="85"/>
  <c r="C226" i="85"/>
  <c r="C65" i="85"/>
  <c r="C340" i="85"/>
  <c r="C376" i="85"/>
  <c r="C794" i="85"/>
  <c r="C1694" i="85"/>
  <c r="C1094" i="85"/>
  <c r="C839" i="85"/>
  <c r="C1013" i="85"/>
  <c r="C1387" i="85"/>
  <c r="C1515" i="85"/>
  <c r="C320" i="85"/>
  <c r="C1401" i="85"/>
  <c r="C218" i="85"/>
  <c r="C827" i="85"/>
  <c r="C938" i="85"/>
  <c r="C279" i="85"/>
  <c r="C1568" i="85"/>
  <c r="C885" i="85"/>
  <c r="C601" i="85"/>
  <c r="C987" i="85"/>
  <c r="C1968" i="85"/>
  <c r="C1505" i="85"/>
  <c r="C2000" i="85"/>
  <c r="C1633" i="85"/>
  <c r="C1190" i="85"/>
  <c r="C1554" i="85"/>
  <c r="C935" i="85"/>
  <c r="C1792" i="85"/>
  <c r="C343" i="85"/>
  <c r="C1323" i="85"/>
  <c r="C742" i="85"/>
  <c r="C285" i="85"/>
  <c r="C1674" i="85"/>
  <c r="C944" i="85"/>
  <c r="C874" i="85"/>
  <c r="C391" i="85"/>
  <c r="C621" i="85"/>
  <c r="C401" i="85"/>
  <c r="C373" i="85"/>
  <c r="C545" i="85"/>
  <c r="C205" i="85"/>
  <c r="C1458" i="85"/>
  <c r="C1029" i="85"/>
  <c r="C456" i="85"/>
  <c r="C931" i="85"/>
  <c r="C1392" i="85"/>
  <c r="C467" i="85"/>
  <c r="C472" i="85"/>
  <c r="C464" i="85"/>
  <c r="C828" i="85"/>
  <c r="C1938" i="85"/>
  <c r="C1353" i="85"/>
  <c r="C1640" i="85"/>
  <c r="C1163" i="85"/>
  <c r="C933" i="85"/>
  <c r="C1902" i="85"/>
  <c r="C1170" i="85"/>
  <c r="C513" i="85"/>
  <c r="C1383" i="85"/>
  <c r="C206" i="85"/>
  <c r="C764" i="85"/>
  <c r="C720" i="85"/>
  <c r="C1575" i="85"/>
  <c r="C1298" i="85"/>
  <c r="C730" i="85"/>
  <c r="C1390" i="85"/>
  <c r="C396" i="85"/>
  <c r="C479" i="85"/>
  <c r="C387" i="85"/>
  <c r="C930" i="85"/>
  <c r="C52" i="85"/>
  <c r="C1719" i="85"/>
  <c r="C352" i="85"/>
  <c r="C1722" i="85"/>
  <c r="C1623" i="85"/>
  <c r="C766" i="85"/>
  <c r="C1733" i="85"/>
  <c r="C356" i="85"/>
  <c r="C493" i="85"/>
  <c r="C1173" i="85"/>
  <c r="C1064" i="85"/>
  <c r="C1328" i="85"/>
  <c r="C1830" i="85"/>
  <c r="C350" i="85"/>
  <c r="C1158" i="85"/>
  <c r="C1953" i="85"/>
  <c r="C230" i="85"/>
  <c r="C1316" i="85"/>
  <c r="C1507" i="85"/>
  <c r="C375" i="85"/>
  <c r="C1468" i="85"/>
  <c r="C1833" i="85"/>
  <c r="C529" i="85"/>
  <c r="C733" i="85"/>
  <c r="C587" i="85"/>
  <c r="C1988" i="85"/>
  <c r="C1624" i="85"/>
  <c r="C502" i="85"/>
  <c r="C1689" i="85"/>
  <c r="C403" i="85"/>
  <c r="C973" i="85"/>
  <c r="C501" i="85"/>
  <c r="C1666" i="85"/>
  <c r="C1897" i="85"/>
  <c r="C1175" i="85"/>
  <c r="C1798" i="85"/>
  <c r="C1572" i="85"/>
  <c r="C412" i="85"/>
  <c r="C925" i="85"/>
  <c r="C1482" i="85"/>
  <c r="C584" i="85"/>
  <c r="C1979" i="85"/>
  <c r="C548" i="85"/>
  <c r="C1036" i="85"/>
  <c r="C1917" i="85"/>
  <c r="C1216" i="85"/>
  <c r="C48" i="85"/>
  <c r="C1314" i="85"/>
  <c r="C1797" i="85"/>
  <c r="C397" i="85"/>
  <c r="C512" i="85"/>
  <c r="C1767" i="85"/>
  <c r="C608" i="85"/>
  <c r="C921" i="85"/>
  <c r="C1747" i="85"/>
  <c r="C782" i="85"/>
  <c r="C1017" i="85"/>
  <c r="C1686" i="85"/>
  <c r="C961" i="85"/>
  <c r="C1318" i="85"/>
  <c r="C641" i="85"/>
  <c r="C775" i="85"/>
  <c r="C1062" i="85"/>
  <c r="C1072" i="85"/>
  <c r="C896" i="85"/>
  <c r="C1378" i="85"/>
  <c r="C565" i="85"/>
  <c r="C1149" i="85"/>
  <c r="C1597" i="85"/>
  <c r="C176" i="85"/>
  <c r="C1306" i="85"/>
  <c r="C1859" i="85"/>
  <c r="C631" i="85"/>
  <c r="C1281" i="85"/>
  <c r="C1635" i="85"/>
  <c r="C1215" i="85"/>
  <c r="C1108" i="85"/>
  <c r="C188" i="85"/>
  <c r="C672" i="85"/>
  <c r="C1405" i="85"/>
  <c r="C1466" i="85"/>
  <c r="C862" i="85"/>
  <c r="C179" i="85"/>
  <c r="C1085" i="85"/>
  <c r="C1848" i="85"/>
  <c r="C910" i="85"/>
  <c r="C1806" i="85"/>
  <c r="C1112" i="85"/>
  <c r="C487" i="85"/>
  <c r="C1789" i="85"/>
  <c r="C1360" i="85"/>
  <c r="C1040" i="85"/>
  <c r="C1886" i="85"/>
  <c r="C1671" i="85"/>
  <c r="C880" i="85"/>
  <c r="C1916" i="85"/>
  <c r="C1752" i="85"/>
  <c r="C1414" i="85"/>
  <c r="C816" i="85"/>
  <c r="C1985" i="85"/>
  <c r="C1696" i="85"/>
  <c r="C684" i="85"/>
  <c r="C43" i="85"/>
  <c r="C1656" i="85"/>
  <c r="C1093" i="85"/>
  <c r="C547" i="85"/>
  <c r="C1866" i="85"/>
  <c r="C1514" i="85"/>
  <c r="C1898" i="85"/>
  <c r="C302" i="85"/>
  <c r="C623" i="85"/>
  <c r="C1491" i="85"/>
  <c r="C1083" i="85"/>
  <c r="C1536" i="85"/>
  <c r="C29" i="85"/>
  <c r="C1585" i="85"/>
  <c r="C1320" i="85"/>
  <c r="C822" i="85"/>
  <c r="C1213" i="85"/>
  <c r="C1581" i="85"/>
  <c r="C1267" i="85"/>
  <c r="C338" i="85"/>
  <c r="C1317" i="85"/>
  <c r="C1143" i="85"/>
  <c r="C984" i="85"/>
  <c r="C524" i="85"/>
  <c r="C553" i="85"/>
  <c r="C1711" i="85"/>
  <c r="C1295" i="85"/>
  <c r="C471" i="85"/>
  <c r="C208" i="85"/>
  <c r="C1766" i="85"/>
  <c r="C541" i="85"/>
  <c r="C324" i="85"/>
  <c r="C174" i="85"/>
  <c r="C683" i="85"/>
  <c r="C533" i="85"/>
  <c r="C1362" i="85"/>
  <c r="C1311" i="85"/>
  <c r="C903" i="85"/>
  <c r="C1280" i="85"/>
  <c r="C1521" i="85"/>
  <c r="C1186" i="85"/>
  <c r="C743" i="85"/>
  <c r="C1869" i="85"/>
  <c r="C847" i="85"/>
  <c r="C494" i="85"/>
  <c r="C1051" i="85"/>
  <c r="C91" i="85"/>
  <c r="C215" i="85"/>
  <c r="C696" i="85"/>
  <c r="C1437" i="85"/>
  <c r="C1986" i="85"/>
  <c r="C1920" i="85"/>
  <c r="C1495" i="85"/>
  <c r="C795" i="85"/>
  <c r="C1423" i="85"/>
  <c r="C992" i="85"/>
  <c r="C1775" i="85"/>
  <c r="C1618" i="85"/>
  <c r="C1461" i="85"/>
  <c r="C653" i="85"/>
  <c r="C1563" i="85"/>
  <c r="C1324" i="85"/>
  <c r="C1079" i="85"/>
  <c r="C259" i="85"/>
  <c r="C1828" i="85"/>
  <c r="C1226" i="85"/>
  <c r="C875" i="85"/>
  <c r="C1133" i="85"/>
  <c r="C1912" i="85"/>
  <c r="C508" i="85"/>
  <c r="C1582" i="85"/>
  <c r="C556" i="85"/>
  <c r="C850" i="85"/>
  <c r="C69" i="85"/>
  <c r="C1987" i="85"/>
  <c r="C920" i="85"/>
  <c r="C1958" i="85"/>
  <c r="C1877" i="85"/>
  <c r="C820" i="85"/>
  <c r="C702" i="85"/>
  <c r="C1511" i="85"/>
  <c r="C1379" i="85"/>
  <c r="C1709" i="85"/>
  <c r="C1818" i="85"/>
  <c r="C1721" i="85"/>
  <c r="C452" i="85"/>
  <c r="C951" i="85"/>
  <c r="C1870" i="85"/>
  <c r="C435" i="85"/>
  <c r="C1068" i="85"/>
  <c r="C525" i="85"/>
  <c r="C1610" i="85"/>
  <c r="C1940" i="85"/>
  <c r="C287" i="85"/>
  <c r="C383" i="85"/>
  <c r="C303" i="85"/>
  <c r="C1367" i="85"/>
  <c r="C1892" i="85"/>
  <c r="C687" i="85"/>
  <c r="C385" i="85"/>
  <c r="C293" i="85"/>
  <c r="C1342" i="85"/>
  <c r="C1045" i="85"/>
  <c r="C603" i="85"/>
  <c r="C965" i="85"/>
  <c r="C227" i="85"/>
  <c r="C599" i="85"/>
  <c r="C773" i="85"/>
  <c r="C455" i="85"/>
  <c r="C390" i="85"/>
  <c r="C1518" i="85"/>
  <c r="C617" i="85"/>
  <c r="C1687" i="85"/>
  <c r="C411" i="85"/>
  <c r="C837" i="85"/>
  <c r="C1224" i="85"/>
  <c r="C1853" i="85"/>
  <c r="C1155" i="85"/>
  <c r="C1707" i="85"/>
  <c r="C1326" i="85"/>
  <c r="C1677" i="85"/>
  <c r="C1822" i="85"/>
  <c r="C386" i="85"/>
  <c r="C1517" i="85"/>
  <c r="C515" i="85"/>
  <c r="C496" i="85"/>
  <c r="C1011" i="85"/>
  <c r="C1255" i="85"/>
  <c r="C321" i="85"/>
  <c r="C1166" i="85"/>
  <c r="C271" i="85"/>
  <c r="C1070" i="85"/>
  <c r="C265" i="85"/>
  <c r="C1176" i="85"/>
  <c r="C1984" i="85"/>
  <c r="C498" i="85"/>
  <c r="C1396" i="85"/>
  <c r="C1470" i="85"/>
  <c r="C558" i="85"/>
  <c r="C1977" i="85"/>
  <c r="C643" i="85"/>
  <c r="C42" i="85"/>
  <c r="C379" i="85"/>
  <c r="C629" i="85"/>
  <c r="C698" i="85"/>
  <c r="C1125" i="85"/>
  <c r="C1730" i="85"/>
  <c r="C1838" i="85"/>
  <c r="C85" i="85"/>
  <c r="C1520" i="85"/>
  <c r="C269" i="85"/>
  <c r="C597" i="85"/>
  <c r="C1501" i="85"/>
  <c r="C677" i="85"/>
  <c r="C184" i="85"/>
  <c r="C834" i="85"/>
  <c r="C64" i="85"/>
  <c r="C1247" i="85"/>
  <c r="C465" i="85"/>
  <c r="C1855" i="85"/>
  <c r="C1652" i="85"/>
  <c r="C539" i="85"/>
  <c r="C1771" i="85"/>
  <c r="C1258" i="85"/>
  <c r="C1211" i="85"/>
  <c r="C770" i="85"/>
  <c r="C1210" i="85"/>
  <c r="C1556" i="85"/>
  <c r="C1266" i="85"/>
  <c r="C1586" i="85"/>
  <c r="C1055" i="85"/>
  <c r="C1346" i="85"/>
  <c r="C1970" i="85"/>
  <c r="C755" i="85"/>
  <c r="C612" i="85"/>
  <c r="C728" i="85"/>
  <c r="C1231" i="85"/>
  <c r="C480" i="85"/>
  <c r="C61" i="85"/>
  <c r="C1992" i="85"/>
  <c r="C780" i="85"/>
  <c r="C495" i="85"/>
  <c r="C1273" i="85"/>
  <c r="C968" i="85"/>
  <c r="C841" i="85"/>
  <c r="C1593" i="85"/>
  <c r="C360" i="85"/>
  <c r="C344" i="85"/>
  <c r="C959" i="85"/>
  <c r="C1203" i="85"/>
  <c r="C281" i="85"/>
  <c r="C656" i="85"/>
  <c r="C1078" i="85"/>
  <c r="C1698" i="85"/>
  <c r="C408" i="85"/>
  <c r="C316" i="85"/>
  <c r="C1503" i="85"/>
  <c r="C1785" i="85"/>
  <c r="C237" i="85"/>
  <c r="C1807" i="85"/>
  <c r="C346" i="85"/>
  <c r="C189" i="85"/>
  <c r="C1217" i="85"/>
  <c r="C450" i="85"/>
  <c r="C1262" i="85"/>
  <c r="C1684" i="85"/>
  <c r="C1543" i="85"/>
  <c r="C895" i="85"/>
  <c r="C54" i="85"/>
  <c r="C660" i="85"/>
  <c r="C734" i="85"/>
  <c r="C1796" i="85"/>
  <c r="C1319" i="85"/>
  <c r="C81" i="85"/>
  <c r="C1510" i="85"/>
  <c r="C330" i="85"/>
  <c r="C1755" i="85"/>
  <c r="C701" i="85"/>
  <c r="C1271" i="85"/>
  <c r="C1104" i="85"/>
  <c r="C58" i="85"/>
  <c r="C1868" i="85"/>
  <c r="C1139" i="85"/>
  <c r="C393" i="85"/>
  <c r="C298" i="85"/>
  <c r="C332" i="85"/>
  <c r="C781" i="85"/>
  <c r="C793" i="85"/>
  <c r="C947" i="85"/>
  <c r="C713" i="85"/>
  <c r="C427" i="85"/>
  <c r="C197" i="85"/>
  <c r="C1301" i="85"/>
  <c r="C1327" i="85"/>
  <c r="C210" i="85"/>
  <c r="C1333" i="85"/>
  <c r="C413" i="85"/>
  <c r="C1310" i="85"/>
  <c r="C544" i="85"/>
  <c r="C1573" i="85"/>
  <c r="C1504" i="85"/>
  <c r="C1331" i="85"/>
  <c r="C1885" i="85"/>
  <c r="C668" i="85"/>
  <c r="C1584" i="85"/>
  <c r="C171" i="85"/>
  <c r="C1997" i="85"/>
  <c r="C1179" i="85"/>
  <c r="C1795" i="85"/>
  <c r="C561" i="85"/>
  <c r="C1425" i="85"/>
  <c r="C573" i="85"/>
  <c r="C437" i="85"/>
  <c r="C1419" i="85"/>
  <c r="C1450" i="85"/>
  <c r="C213" i="85"/>
  <c r="C1621" i="85"/>
  <c r="C1783" i="85"/>
  <c r="C1657" i="85"/>
  <c r="C1099" i="85"/>
  <c r="C1406" i="85"/>
  <c r="C262" i="85"/>
  <c r="C86" i="85"/>
  <c r="C180" i="85"/>
  <c r="C1194" i="85"/>
  <c r="C1564" i="85"/>
  <c r="C1332" i="85"/>
  <c r="C1496" i="85"/>
  <c r="C1428" i="85"/>
  <c r="C1725" i="85"/>
  <c r="C503" i="85"/>
  <c r="C1284" i="85"/>
  <c r="C929" i="85"/>
  <c r="C1243" i="85"/>
  <c r="C881" i="85"/>
  <c r="C1815" i="85"/>
  <c r="C395" i="85"/>
  <c r="C689" i="85"/>
  <c r="C1302" i="85"/>
  <c r="C1315" i="85"/>
  <c r="C384" i="85"/>
  <c r="C1926" i="85"/>
  <c r="C749" i="85"/>
  <c r="C1418" i="85"/>
  <c r="C1836" i="85"/>
  <c r="C1313" i="85"/>
  <c r="C1285" i="85"/>
  <c r="C654" i="85"/>
  <c r="C971" i="85"/>
  <c r="C1294" i="85"/>
  <c r="C1076" i="85"/>
  <c r="C1942" i="85"/>
  <c r="C1908" i="85"/>
  <c r="C1374" i="85"/>
  <c r="C331" i="85"/>
  <c r="C289" i="85"/>
  <c r="C1403" i="85"/>
  <c r="C1463" i="85"/>
  <c r="C1994" i="85"/>
  <c r="C567" i="85"/>
  <c r="C444" i="85"/>
  <c r="C40" i="85"/>
  <c r="C744" i="85"/>
  <c r="C550" i="85"/>
  <c r="C485" i="85"/>
  <c r="C1541" i="85"/>
  <c r="C1473" i="85"/>
  <c r="C1249" i="85"/>
  <c r="C927" i="85"/>
  <c r="C542" i="85"/>
  <c r="C1471" i="85"/>
  <c r="C240" i="85"/>
  <c r="C1165" i="85"/>
  <c r="C1954" i="85"/>
  <c r="C319" i="85"/>
  <c r="C1447" i="85"/>
  <c r="C716" i="85"/>
  <c r="C724" i="85"/>
  <c r="C497" i="85"/>
  <c r="C367" i="85"/>
  <c r="C1804" i="85"/>
  <c r="C1309" i="85"/>
  <c r="C1329" i="85"/>
  <c r="C355" i="85"/>
  <c r="C1905" i="85"/>
  <c r="C404" i="85"/>
  <c r="C809" i="85"/>
  <c r="C1529" i="85"/>
  <c r="C1171" i="85"/>
  <c r="C1857" i="85"/>
  <c r="C1375" i="85"/>
  <c r="C1569" i="85"/>
  <c r="C389" i="85"/>
  <c r="C183" i="85"/>
  <c r="C124" i="85"/>
  <c r="C650" i="85"/>
  <c r="C941" i="85"/>
  <c r="C1691" i="85"/>
  <c r="C1358" i="85"/>
  <c r="C803" i="85"/>
  <c r="C449" i="85"/>
  <c r="C1272" i="85"/>
  <c r="C1067" i="85"/>
  <c r="C1980" i="85"/>
  <c r="C1225" i="85"/>
  <c r="C1790" i="85"/>
  <c r="C178" i="85"/>
  <c r="C1781" i="85"/>
  <c r="C523" i="85"/>
  <c r="C1336" i="85"/>
  <c r="C1553" i="85"/>
  <c r="C1793" i="85"/>
  <c r="C1111" i="85"/>
  <c r="C592" i="85"/>
  <c r="C798" i="85"/>
  <c r="C748" i="85"/>
  <c r="C1234" i="85"/>
  <c r="C1443" i="85"/>
  <c r="C445" i="85"/>
  <c r="C569" i="85"/>
  <c r="C416" i="85"/>
  <c r="C190" i="85"/>
  <c r="C365" i="85"/>
  <c r="C1438" i="85"/>
  <c r="C268" i="85"/>
  <c r="C422" i="85"/>
  <c r="C818" i="85"/>
  <c r="C1583" i="85"/>
  <c r="C1010" i="85"/>
  <c r="C598" i="85"/>
  <c r="C1636" i="85"/>
  <c r="C791" i="85"/>
  <c r="C1117" i="85"/>
  <c r="C1098" i="85"/>
  <c r="C1957" i="85"/>
  <c r="C1676" i="85"/>
  <c r="C1369" i="85"/>
  <c r="C790" i="85"/>
  <c r="C1049" i="85"/>
  <c r="C835" i="85"/>
  <c r="C808" i="85"/>
  <c r="C244" i="85"/>
  <c r="C889" i="85"/>
  <c r="C175" i="85"/>
  <c r="C1343" i="85"/>
  <c r="C811" i="85"/>
  <c r="C894" i="85"/>
  <c r="C1044" i="85"/>
  <c r="C948" i="85"/>
  <c r="C335" i="85"/>
  <c r="C977" i="85"/>
  <c r="C1253" i="85"/>
  <c r="C1039" i="85"/>
  <c r="C830" i="85"/>
  <c r="C1854" i="85"/>
  <c r="C1200" i="85"/>
  <c r="C439" i="85"/>
  <c r="C953" i="85"/>
  <c r="C1548" i="85"/>
  <c r="C1513" i="85"/>
  <c r="C704" i="85"/>
  <c r="C1831" i="85"/>
  <c r="C1871" i="85"/>
  <c r="C341" i="85"/>
  <c r="C1915" i="85"/>
  <c r="C1757" i="85"/>
  <c r="C740" i="85"/>
  <c r="C1530" i="85"/>
  <c r="C613" i="85"/>
  <c r="C1534" i="85"/>
  <c r="C1411" i="85"/>
  <c r="C1961" i="85"/>
  <c r="C1263" i="85"/>
  <c r="C1842" i="85"/>
  <c r="C1246" i="85"/>
  <c r="C1053" i="85"/>
  <c r="C1904" i="85"/>
  <c r="C1413" i="85"/>
  <c r="C939" i="85"/>
  <c r="C1497" i="85"/>
  <c r="C786" i="85"/>
  <c r="C1114" i="85"/>
  <c r="C1304" i="85"/>
  <c r="C362" i="85"/>
  <c r="C669" i="85"/>
  <c r="C936" i="85"/>
  <c r="C216" i="85"/>
  <c r="C476" i="85"/>
  <c r="C1506" i="85"/>
  <c r="C555" i="85"/>
  <c r="C1943" i="85"/>
  <c r="C769" i="85"/>
  <c r="C1228" i="85"/>
  <c r="C1469" i="85"/>
  <c r="C1116" i="85"/>
  <c r="C676" i="85"/>
  <c r="C1380" i="85"/>
  <c r="C339" i="85"/>
  <c r="C998" i="85"/>
  <c r="C388" i="85"/>
  <c r="C824" i="85"/>
  <c r="C779" i="85"/>
  <c r="C297" i="85"/>
  <c r="C478" i="85"/>
  <c r="C1588" i="85"/>
  <c r="C1123" i="85"/>
  <c r="C1967" i="85"/>
  <c r="C1018" i="85"/>
  <c r="C1956" i="85"/>
  <c r="C278" i="85"/>
  <c r="C1033" i="85"/>
  <c r="C552" i="85"/>
  <c r="C688" i="85"/>
  <c r="C581" i="85"/>
  <c r="C1889" i="85"/>
  <c r="C634" i="85"/>
  <c r="C1821" i="85"/>
  <c r="C1840" i="85"/>
  <c r="C1191" i="85"/>
  <c r="C883" i="85"/>
  <c r="C1206" i="85"/>
  <c r="C1080" i="85"/>
  <c r="C1883" i="85"/>
  <c r="C1460" i="85"/>
  <c r="C1129" i="85"/>
  <c r="C1372" i="85"/>
  <c r="C358" i="85"/>
  <c r="C1823" i="85"/>
  <c r="C1259" i="85"/>
  <c r="C723" i="85"/>
  <c r="C255" i="85"/>
  <c r="C294" i="85"/>
  <c r="C649" i="85"/>
  <c r="C1561" i="85"/>
  <c r="C1077" i="85"/>
  <c r="C1373" i="85"/>
  <c r="C1288" i="85"/>
  <c r="C1587" i="85"/>
  <c r="C312" i="85"/>
  <c r="C1498" i="85"/>
  <c r="C1187" i="85"/>
  <c r="C759" i="85"/>
  <c r="C1919" i="85"/>
  <c r="C1208" i="85"/>
  <c r="C1136" i="85"/>
  <c r="C1250" i="85"/>
  <c r="C1223" i="85"/>
  <c r="C534" i="85"/>
  <c r="C600" i="85"/>
  <c r="C527" i="85"/>
  <c r="C1382" i="85"/>
  <c r="C1599" i="85"/>
  <c r="C1759" i="85"/>
  <c r="C168" i="85"/>
  <c r="C296" i="85"/>
  <c r="C185" i="85"/>
  <c r="C1629" i="85"/>
  <c r="C1690" i="85"/>
  <c r="C1596" i="85"/>
  <c r="C611" i="85"/>
  <c r="C1812" i="85"/>
  <c r="C1103" i="85"/>
  <c r="C1091" i="85"/>
  <c r="C284" i="85"/>
  <c r="C1464" i="85"/>
  <c r="C576" i="85"/>
  <c r="C997" i="85"/>
  <c r="C694" i="85"/>
  <c r="C1300" i="85"/>
  <c r="C1918" i="85"/>
  <c r="C1124" i="85"/>
  <c r="C489" i="85"/>
  <c r="C1693" i="85"/>
  <c r="C1492" i="85"/>
  <c r="C671" i="85"/>
  <c r="C50" i="85"/>
  <c r="C1611" i="85"/>
  <c r="C200" i="85"/>
  <c r="C854" i="85"/>
  <c r="C1151" i="85"/>
  <c r="C199" i="85"/>
  <c r="C1509" i="85"/>
  <c r="C635" i="85"/>
  <c r="C1356" i="85"/>
  <c r="C202" i="85"/>
  <c r="C530" i="85"/>
  <c r="C922" i="85"/>
  <c r="C1417" i="85"/>
  <c r="C459" i="85"/>
  <c r="C460" i="85"/>
  <c r="C1144" i="85"/>
  <c r="C1542" i="85"/>
  <c r="C1388" i="85"/>
  <c r="C516" i="85"/>
  <c r="C191" i="85"/>
  <c r="C549" i="85"/>
  <c r="C492" i="85"/>
  <c r="C1654" i="85"/>
  <c r="C1844" i="85"/>
  <c r="C475" i="85"/>
  <c r="C1277" i="85"/>
  <c r="C1478" i="85"/>
  <c r="C711" i="85"/>
  <c r="C1525" i="85"/>
  <c r="C1101" i="85"/>
  <c r="C1745" i="85"/>
  <c r="C1102" i="85"/>
  <c r="C1201" i="85"/>
  <c r="C1574" i="85"/>
  <c r="C937" i="85"/>
  <c r="C632" i="85"/>
  <c r="C1384" i="85"/>
  <c r="C368" i="85"/>
  <c r="C838" i="85"/>
  <c r="C825" i="85"/>
  <c r="C1407" i="85"/>
  <c r="C1012" i="85"/>
  <c r="C1322" i="85"/>
  <c r="C1874" i="85"/>
  <c r="C1784" i="85"/>
  <c r="C1238" i="85"/>
  <c r="C1706" i="85"/>
  <c r="C364" i="85"/>
  <c r="C66" i="85"/>
  <c r="C540" i="85"/>
  <c r="C1030" i="85"/>
  <c r="C318" i="85"/>
  <c r="C568" i="85"/>
  <c r="C1445" i="85"/>
  <c r="C1894" i="85"/>
  <c r="C1148" i="85"/>
  <c r="C1939" i="85"/>
  <c r="C1976" i="85"/>
  <c r="C211" i="85"/>
  <c r="C1479" i="85"/>
  <c r="C1441" i="85"/>
  <c r="C291" i="85"/>
  <c r="C1728" i="85"/>
  <c r="C231" i="85"/>
  <c r="C991" i="85"/>
  <c r="C1754" i="85"/>
  <c r="C447" i="85"/>
  <c r="C1598" i="85"/>
  <c r="C1649" i="85"/>
  <c r="C220" i="85"/>
  <c r="C233" i="85"/>
  <c r="C420" i="85"/>
  <c r="C695" i="85"/>
  <c r="C783" i="85"/>
  <c r="C1493" i="85"/>
  <c r="C1321" i="85"/>
  <c r="C826" i="85"/>
  <c r="C619" i="85"/>
  <c r="C243" i="85"/>
  <c r="C1865" i="85"/>
  <c r="C1851" i="85"/>
  <c r="C301" i="85"/>
  <c r="C1911" i="85"/>
  <c r="C620" i="85"/>
  <c r="C1244" i="85"/>
  <c r="C888" i="85"/>
  <c r="C526" i="85"/>
  <c r="C256" i="85"/>
  <c r="C67" i="85"/>
  <c r="C1512" i="85"/>
  <c r="C1672" i="85"/>
  <c r="C1551" i="85"/>
  <c r="C1230" i="85"/>
  <c r="C84" i="85"/>
  <c r="C1357" i="85"/>
  <c r="C1127" i="85"/>
  <c r="C1679" i="85"/>
  <c r="C1182" i="85"/>
  <c r="C902" i="85"/>
  <c r="C836" i="85"/>
  <c r="C440" i="85"/>
  <c r="C1146" i="85"/>
  <c r="C1150" i="85"/>
  <c r="C1591" i="85"/>
  <c r="C680" i="85"/>
  <c r="C1705" i="85"/>
  <c r="C120" i="85"/>
  <c r="C1637" i="85"/>
  <c r="C1122" i="85"/>
  <c r="C241" i="85"/>
  <c r="C1824" i="85"/>
  <c r="C27" i="85"/>
  <c r="C1567" i="85"/>
  <c r="C488" i="85"/>
  <c r="C251" i="85"/>
  <c r="C614" i="85"/>
  <c r="C1622" i="85"/>
  <c r="C1875" i="85"/>
  <c r="C1794" i="85"/>
  <c r="C955" i="85"/>
  <c r="C1106" i="85"/>
  <c r="C1142" i="85"/>
  <c r="C1152" i="85"/>
  <c r="C477" i="85"/>
  <c r="C1559" i="85"/>
  <c r="C1241" i="85"/>
  <c r="C721" i="85"/>
  <c r="C797" i="85"/>
  <c r="C1715" i="85"/>
  <c r="C651" i="85"/>
  <c r="C1695" i="85"/>
  <c r="C336" i="85"/>
  <c r="C952" i="85"/>
  <c r="C1192" i="85"/>
  <c r="C1646" i="85"/>
  <c r="C1763" i="85"/>
  <c r="C1043" i="85"/>
  <c r="C1494" i="85"/>
  <c r="C1394" i="85"/>
  <c r="C645" i="85"/>
  <c r="C1416" i="85"/>
  <c r="C1220" i="85"/>
  <c r="C1256" i="85"/>
  <c r="C1475" i="85"/>
  <c r="C34" i="85"/>
  <c r="C1427" i="85"/>
  <c r="C682" i="85"/>
  <c r="C1899" i="85"/>
  <c r="C483" i="85"/>
  <c r="C908" i="85"/>
  <c r="C1579" i="85"/>
  <c r="C855" i="85"/>
  <c r="C1856" i="85"/>
  <c r="C1881" i="85"/>
  <c r="C638" i="85"/>
  <c r="C521" i="85"/>
  <c r="C686" i="85"/>
  <c r="C1092" i="85"/>
  <c r="C715" i="85"/>
  <c r="C985" i="85"/>
  <c r="C1975" i="85"/>
  <c r="C972" i="85"/>
  <c r="C282" i="85"/>
  <c r="C1724" i="85"/>
  <c r="C295" i="85"/>
  <c r="C692" i="85"/>
  <c r="C1901" i="85"/>
  <c r="C1965" i="85"/>
  <c r="C1619" i="85"/>
  <c r="C308" i="85"/>
  <c r="C333" i="85"/>
  <c r="C1566" i="85"/>
  <c r="C736" i="85"/>
  <c r="C1801" i="85"/>
  <c r="C371" i="85"/>
  <c r="C1393" i="85"/>
  <c r="C918" i="85"/>
  <c r="C812" i="85"/>
  <c r="C756" i="85"/>
  <c r="C771" i="85"/>
  <c r="C1948" i="85"/>
  <c r="C49" i="85"/>
  <c r="C1769" i="85"/>
  <c r="C305" i="85"/>
  <c r="C1811" i="85"/>
  <c r="C1799" i="85"/>
  <c r="C1839" i="85"/>
  <c r="C819" i="85"/>
  <c r="C1782" i="85"/>
  <c r="C1222" i="85"/>
  <c r="C1714" i="85"/>
  <c r="C1845" i="85"/>
  <c r="C1454" i="85"/>
  <c r="C441" i="85"/>
  <c r="C1432" i="85"/>
  <c r="C1972" i="85"/>
  <c r="C1626" i="85"/>
  <c r="C1480" i="85"/>
  <c r="C1650" i="85"/>
  <c r="C1777" i="85"/>
  <c r="C585" i="85"/>
  <c r="C1903" i="85"/>
  <c r="C1089" i="85"/>
  <c r="C62" i="85"/>
  <c r="C887" i="85"/>
  <c r="C1042" i="85"/>
  <c r="C1516" i="85"/>
  <c r="C68" i="85"/>
  <c r="C868" i="85"/>
  <c r="C1330" i="85"/>
  <c r="C290" i="85"/>
  <c r="C1120" i="85"/>
  <c r="C1731" i="85"/>
  <c r="C1946" i="85"/>
  <c r="C1700" i="85"/>
  <c r="C1590" i="85"/>
  <c r="C1446" i="85"/>
  <c r="C506" i="85"/>
  <c r="C753" i="85"/>
  <c r="C1168" i="85"/>
  <c r="C1448" i="85"/>
  <c r="C1750" i="85"/>
  <c r="C242" i="85"/>
  <c r="C1502" i="85"/>
  <c r="C725" i="85"/>
  <c r="C1004" i="85"/>
  <c r="C589" i="85"/>
  <c r="C275" i="85"/>
  <c r="C1832" i="85"/>
  <c r="C1156" i="85"/>
  <c r="C1426" i="85"/>
  <c r="C1531" i="85"/>
  <c r="C607" i="85"/>
  <c r="C236" i="85"/>
  <c r="C774" i="85"/>
  <c r="C1933" i="85"/>
  <c r="C988" i="85"/>
  <c r="C983" i="85"/>
  <c r="C1350" i="85"/>
  <c r="C1334" i="85"/>
  <c r="C1269" i="85"/>
  <c r="C1648" i="85"/>
  <c r="C1073" i="85"/>
  <c r="C1535" i="85"/>
  <c r="C652" i="85"/>
  <c r="C856" i="85"/>
  <c r="C708" i="85"/>
  <c r="C981" i="85"/>
  <c r="C1737" i="85"/>
  <c r="C223" i="85"/>
  <c r="C1710" i="85"/>
  <c r="C204" i="85"/>
  <c r="C1385" i="85"/>
  <c r="C1756" i="85"/>
  <c r="C429" i="85"/>
  <c r="C1487" i="85"/>
  <c r="C1020" i="85"/>
  <c r="C1248" i="85"/>
  <c r="C1642" i="85"/>
  <c r="C1849" i="85"/>
  <c r="C777" i="85"/>
  <c r="C1888" i="85"/>
  <c r="C1739" i="85"/>
  <c r="C1841" i="85"/>
  <c r="C1422" i="85"/>
  <c r="C1732" i="85"/>
  <c r="C844" i="85"/>
  <c r="C1312" i="85"/>
  <c r="C551" i="85"/>
  <c r="C1157" i="85"/>
  <c r="C170" i="85"/>
  <c r="C1632" i="85"/>
  <c r="C1081" i="85"/>
  <c r="C353" i="85"/>
  <c r="C277" i="85"/>
  <c r="C871" i="85"/>
  <c r="C1021" i="85"/>
  <c r="C1998" i="85"/>
  <c r="C239" i="85"/>
  <c r="C128" i="85"/>
  <c r="C739" i="85"/>
  <c r="C1467" i="85"/>
  <c r="C1738" i="85"/>
  <c r="C59" i="85"/>
  <c r="C328" i="85"/>
  <c r="C1135" i="85"/>
  <c r="C757" i="85"/>
  <c r="C1009" i="85"/>
  <c r="C566" i="85"/>
  <c r="C461" i="85"/>
  <c r="C801" i="85"/>
  <c r="C118" i="85"/>
  <c r="C1121" i="85"/>
  <c r="C234" i="85"/>
  <c r="C354" i="85"/>
  <c r="C580" i="85"/>
  <c r="C1275" i="85"/>
  <c r="C1565" i="85"/>
  <c r="C1675" i="85"/>
  <c r="C1825" i="85"/>
  <c r="C849" i="85"/>
  <c r="C1232" i="85"/>
  <c r="C1031" i="85"/>
  <c r="C1439" i="85"/>
  <c r="C792" i="85"/>
  <c r="C1370" i="85"/>
  <c r="C932" i="85"/>
  <c r="C187" i="85"/>
  <c r="C473" i="85"/>
  <c r="C299" i="85"/>
  <c r="C956" i="85"/>
  <c r="C433" i="85"/>
  <c r="C1459" i="85"/>
  <c r="C934" i="85"/>
  <c r="C402" i="85"/>
  <c r="C919" i="85"/>
  <c r="C1717" i="85"/>
  <c r="C536" i="85"/>
  <c r="C940" i="85"/>
  <c r="C377" i="85"/>
  <c r="C975" i="85"/>
  <c r="C266" i="85"/>
  <c r="C33" i="85"/>
  <c r="C1704" i="85"/>
  <c r="C1762" i="85"/>
  <c r="C1923" i="85"/>
  <c r="C648" i="85"/>
  <c r="C829" i="85"/>
  <c r="C442" i="85"/>
  <c r="C1188" i="85"/>
  <c r="C912" i="85"/>
  <c r="C1765" i="85"/>
  <c r="C1805" i="85"/>
  <c r="C1455" i="85"/>
  <c r="C1661" i="85"/>
  <c r="C1560" i="85"/>
  <c r="C768" i="85"/>
  <c r="C1729" i="85"/>
  <c r="C1381" i="85"/>
  <c r="C1412" i="85"/>
  <c r="C966" i="85"/>
  <c r="C272" i="85"/>
  <c r="C486" i="85"/>
  <c r="C1075" i="85"/>
  <c r="C1118" i="85"/>
  <c r="C891" i="85"/>
  <c r="C1712" i="85"/>
  <c r="C1620" i="85"/>
  <c r="C722" i="85"/>
  <c r="C758" i="85"/>
  <c r="C1813" i="85"/>
  <c r="C1862" i="85"/>
  <c r="C1429" i="85"/>
  <c r="C1864" i="85"/>
  <c r="C579" i="85"/>
  <c r="C1059" i="85"/>
  <c r="C1440" i="85"/>
  <c r="C655" i="85"/>
  <c r="C637" i="85"/>
  <c r="C1054" i="85"/>
  <c r="C574" i="85"/>
  <c r="C673" i="85"/>
  <c r="C78" i="85"/>
  <c r="C1130" i="85"/>
  <c r="C245" i="85"/>
  <c r="C718" i="85"/>
  <c r="C1816" i="85"/>
  <c r="C646" i="85"/>
  <c r="C1834" i="85"/>
  <c r="C1286" i="85"/>
  <c r="C1097" i="85"/>
  <c r="C1339" i="85"/>
  <c r="C1233" i="85"/>
  <c r="C94" i="85"/>
  <c r="C446" i="85"/>
  <c r="C1662" i="85"/>
  <c r="C1153" i="85"/>
  <c r="C1562" i="85"/>
  <c r="C1028" i="85"/>
  <c r="C878" i="85"/>
  <c r="C1692" i="85"/>
  <c r="C1617" i="85"/>
  <c r="C1056" i="85"/>
  <c r="C911" i="85"/>
  <c r="C674" i="85"/>
  <c r="C417" i="85"/>
  <c r="C821" i="85"/>
  <c r="C1016" i="85"/>
  <c r="C421" i="85"/>
  <c r="C1814" i="85"/>
  <c r="C347" i="85"/>
  <c r="C1061" i="85"/>
  <c r="C1893" i="85"/>
  <c r="C958" i="85"/>
  <c r="C1293" i="85"/>
  <c r="C349" i="85"/>
  <c r="C1999" i="85"/>
  <c r="C1433" i="85"/>
  <c r="C1555" i="85"/>
  <c r="C1776" i="85"/>
  <c r="C528" i="85"/>
  <c r="C193" i="85"/>
  <c r="C1884" i="85"/>
  <c r="C1726" i="85"/>
  <c r="C863" i="85"/>
  <c r="C923" i="85"/>
  <c r="C1074" i="85"/>
  <c r="C474" i="85"/>
  <c r="C901" i="85"/>
  <c r="C1850" i="85"/>
  <c r="C522" i="85"/>
  <c r="C1995" i="85"/>
  <c r="C564" i="85"/>
  <c r="C1846" i="85"/>
  <c r="C628" i="85"/>
  <c r="C1602" i="85"/>
  <c r="C1678" i="85"/>
  <c r="C1341" i="85"/>
  <c r="C859" i="85"/>
  <c r="C264" i="85"/>
  <c r="C306" i="85"/>
  <c r="C906" i="85"/>
  <c r="C876" i="85"/>
  <c r="C484" i="85"/>
  <c r="C468" i="85"/>
  <c r="C322" i="85"/>
  <c r="C1477" i="85"/>
  <c r="C273" i="85"/>
  <c r="C1615" i="85"/>
  <c r="C304" i="85"/>
  <c r="C1665" i="85"/>
  <c r="C1873" i="85"/>
  <c r="C994" i="85"/>
  <c r="C596" i="85"/>
  <c r="C288" i="85"/>
  <c r="C1365" i="85"/>
  <c r="C1400" i="85"/>
  <c r="C517" i="85"/>
  <c r="C1974" i="85"/>
  <c r="C1863" i="85"/>
  <c r="C198" i="85"/>
  <c r="C806" i="85"/>
  <c r="C1025" i="85"/>
  <c r="C1435" i="85"/>
  <c r="C752" i="85"/>
  <c r="C1212" i="85"/>
  <c r="C1002" i="85"/>
  <c r="C1526" i="85"/>
  <c r="C577" i="85"/>
  <c r="C1000" i="85"/>
  <c r="C640" i="85"/>
  <c r="C1398" i="85"/>
  <c r="C74" i="85"/>
  <c r="C1907" i="85"/>
  <c r="C1552" i="85"/>
  <c r="C1086" i="85"/>
  <c r="C1981" i="85"/>
  <c r="C1041" i="85"/>
  <c r="C1778" i="85"/>
  <c r="C192" i="85"/>
  <c r="C1546" i="85"/>
  <c r="C1817" i="85"/>
  <c r="C1205" i="85"/>
  <c r="C1032" i="85"/>
  <c r="C570" i="85"/>
  <c r="C1095" i="85"/>
  <c r="C426" i="85"/>
  <c r="C1214" i="85"/>
  <c r="C618" i="85"/>
  <c r="C1397" i="85"/>
  <c r="C659" i="85"/>
  <c r="C253" i="85"/>
  <c r="C1937" i="85"/>
  <c r="C1283" i="85"/>
  <c r="C963" i="85"/>
  <c r="C1276" i="85"/>
  <c r="C1003" i="85"/>
  <c r="C1137" i="85"/>
  <c r="C916" i="85"/>
  <c r="C852" i="85"/>
  <c r="C1523" i="85"/>
  <c r="C514" i="85"/>
  <c r="C543" i="85"/>
  <c r="C1299" i="85"/>
  <c r="C1673" i="85"/>
  <c r="C761" i="85"/>
  <c r="C327" i="85"/>
  <c r="C1993" i="85"/>
  <c r="C374" i="85"/>
  <c r="C709" i="85"/>
  <c r="C1936" i="85"/>
  <c r="C1571" i="85"/>
  <c r="C706" i="85"/>
  <c r="C884" i="85"/>
  <c r="C1376" i="85"/>
  <c r="C1764" i="85"/>
  <c r="C443" i="85"/>
  <c r="C1023" i="85"/>
  <c r="C746" i="85"/>
  <c r="C1305" i="85"/>
  <c r="C1945" i="85"/>
  <c r="C1592" i="85"/>
  <c r="C893" i="85"/>
  <c r="C616" i="85"/>
  <c r="C1069" i="85"/>
  <c r="C1524" i="85"/>
  <c r="C639" i="85"/>
  <c r="C1278" i="85"/>
  <c r="C833" i="85"/>
  <c r="C348" i="85"/>
  <c r="C79" i="85"/>
  <c r="C1287" i="85"/>
  <c r="C1408" i="85"/>
  <c r="C1431" i="85"/>
  <c r="C181" i="85"/>
  <c r="C1753" i="85"/>
  <c r="C800" i="85"/>
  <c r="C1528" i="85"/>
  <c r="C789" i="85"/>
  <c r="C785" i="85"/>
  <c r="C1549" i="85"/>
  <c r="C582" i="85"/>
  <c r="C1197" i="85"/>
  <c r="C1522" i="85"/>
  <c r="C970" i="85"/>
  <c r="C1742" i="85"/>
  <c r="C685" i="85"/>
  <c r="C802" i="85"/>
  <c r="C466" i="85"/>
  <c r="C41" i="85"/>
  <c r="C928" i="85"/>
  <c r="C1424" i="85"/>
  <c r="C222" i="85"/>
  <c r="C747" i="85"/>
  <c r="C1345" i="85"/>
  <c r="C1292" i="85"/>
  <c r="C1087" i="85"/>
  <c r="C499" i="85"/>
  <c r="C481" i="85"/>
  <c r="C247" i="85"/>
  <c r="C784" i="85"/>
  <c r="C1014" i="85"/>
  <c r="C122" i="85"/>
  <c r="C1740" i="85"/>
  <c r="C1239" i="85"/>
  <c r="C967" i="85"/>
  <c r="C1896" i="85"/>
  <c r="C1348" i="85"/>
  <c r="C1748" i="85"/>
  <c r="C1808" i="85"/>
  <c r="C1260" i="85"/>
  <c r="C300" i="85"/>
  <c r="C1803" i="85"/>
  <c r="C1682" i="85"/>
  <c r="C482" i="85"/>
  <c r="C1749" i="85"/>
  <c r="C225" i="85"/>
  <c r="C1913" i="85"/>
  <c r="C1800" i="85"/>
  <c r="C1364" i="85"/>
  <c r="C56" i="85"/>
  <c r="C602" i="85"/>
  <c r="C201" i="85"/>
  <c r="C1909" i="85"/>
  <c r="C1162" i="85"/>
  <c r="C1499" i="85"/>
  <c r="C796" i="85"/>
  <c r="C1837" i="85"/>
  <c r="C1490" i="85"/>
  <c r="C1688" i="85"/>
  <c r="C1544" i="85"/>
  <c r="C1538" i="85"/>
  <c r="C606" i="85"/>
  <c r="C1930" i="85"/>
  <c r="C1110" i="85"/>
  <c r="C1354" i="85"/>
  <c r="C1484" i="85"/>
  <c r="C263" i="85"/>
  <c r="C1809" i="85"/>
  <c r="C588" i="85"/>
  <c r="C1474" i="85"/>
  <c r="C1174" i="85"/>
  <c r="C1096" i="85"/>
  <c r="C1508" i="85"/>
  <c r="C532" i="85"/>
  <c r="C864" i="85"/>
  <c r="C228" i="85"/>
  <c r="C310" i="85"/>
  <c r="C1409" i="85"/>
  <c r="C1264" i="85"/>
  <c r="C307" i="85"/>
  <c r="C1006" i="85"/>
  <c r="C214" i="85"/>
  <c r="C1600" i="85"/>
  <c r="C1947" i="85"/>
  <c r="C276" i="85"/>
  <c r="C712" i="85"/>
  <c r="C203" i="85"/>
  <c r="C807" i="85"/>
  <c r="C1879" i="85"/>
  <c r="C750" i="85"/>
  <c r="C1910" i="85"/>
  <c r="C1760" i="85"/>
  <c r="C946" i="85"/>
  <c r="C1202" i="85"/>
  <c r="C326" i="85"/>
  <c r="C1558" i="85"/>
  <c r="C372" i="85"/>
  <c r="C942" i="85"/>
  <c r="C832" i="85"/>
  <c r="C519" i="85"/>
  <c r="C813" i="85"/>
  <c r="C1368" i="85"/>
  <c r="C1670" i="85"/>
  <c r="C1452" i="85"/>
  <c r="C670" i="85"/>
  <c r="C1177" i="85"/>
  <c r="C469" i="85"/>
  <c r="C1761" i="85"/>
  <c r="C869" i="85"/>
  <c r="C1669" i="85"/>
  <c r="C815" i="85"/>
  <c r="C1462" i="85"/>
  <c r="C425" i="85"/>
  <c r="C1391" i="85"/>
  <c r="C428" i="85"/>
  <c r="C369" i="85"/>
  <c r="C1128" i="85"/>
  <c r="C842" i="85"/>
  <c r="C1361" i="85"/>
  <c r="C1921" i="85"/>
  <c r="C1860" i="85"/>
  <c r="C47" i="85"/>
  <c r="C1371" i="85"/>
  <c r="C325" i="85"/>
  <c r="C700" i="85"/>
  <c r="C1702" i="85"/>
  <c r="C1395" i="85"/>
  <c r="C329" i="85"/>
  <c r="C751" i="85"/>
  <c r="C1660" i="85"/>
  <c r="C1703" i="85"/>
  <c r="C500" i="85"/>
  <c r="C1500" i="85"/>
  <c r="C1664" i="85"/>
  <c r="C954" i="85"/>
  <c r="C886" i="85"/>
  <c r="C1282" i="85"/>
  <c r="C626" i="85"/>
  <c r="C909" i="85"/>
  <c r="C1204" i="85"/>
  <c r="C625" i="85"/>
  <c r="C1780" i="85"/>
  <c r="C1720" i="85"/>
  <c r="C610" i="85"/>
  <c r="C398" i="85"/>
  <c r="C267" i="85"/>
  <c r="C1723" i="85"/>
  <c r="C787" i="85"/>
  <c r="C1601" i="85"/>
  <c r="C1736" i="85"/>
  <c r="C370" i="85"/>
  <c r="C1605" i="85"/>
  <c r="C788" i="85"/>
  <c r="C707" i="85"/>
  <c r="C605" i="85"/>
  <c r="C1603" i="85"/>
  <c r="C647" i="85"/>
  <c r="C1218" i="85"/>
  <c r="C359" i="85"/>
  <c r="C1377" i="85"/>
  <c r="C554" i="85"/>
  <c r="C380" i="85"/>
  <c r="C1658" i="85"/>
  <c r="C870" i="85"/>
  <c r="C1109" i="85"/>
  <c r="C381" i="85"/>
  <c r="C1655" i="85"/>
  <c r="C1557" i="85"/>
  <c r="C1444" i="85"/>
  <c r="C1900" i="85"/>
  <c r="C1035" i="85"/>
  <c r="C1308" i="85"/>
  <c r="C430" i="85"/>
  <c r="C257" i="85"/>
  <c r="C1941" i="85"/>
  <c r="C1810" i="85"/>
  <c r="C1472" i="85"/>
  <c r="C571" i="85"/>
  <c r="C323" i="85"/>
  <c r="C1279" i="85"/>
  <c r="C817" i="85"/>
  <c r="C1221" i="85"/>
  <c r="C1154" i="85"/>
  <c r="C1037" i="85"/>
  <c r="C727" i="85"/>
  <c r="C1604" i="85"/>
  <c r="C1113" i="85"/>
  <c r="C169" i="85"/>
  <c r="C1741" i="85"/>
  <c r="C950" i="85"/>
  <c r="C1852" i="85"/>
  <c r="C186" i="85"/>
  <c r="C1193" i="85"/>
  <c r="C80" i="85"/>
  <c r="C831" i="85"/>
  <c r="C729" i="85"/>
  <c r="C1532" i="85"/>
  <c r="C851" i="85"/>
  <c r="C1663" i="85"/>
  <c r="C538" i="85"/>
  <c r="C1100" i="85"/>
  <c r="C235" i="85"/>
  <c r="C877" i="85"/>
  <c r="C207" i="85"/>
  <c r="C1237" i="85"/>
  <c r="C924" i="85"/>
  <c r="C1195" i="85"/>
  <c r="C1198" i="85"/>
  <c r="C1404" i="85"/>
  <c r="C772" i="85"/>
  <c r="C1595" i="85"/>
  <c r="C249" i="85"/>
  <c r="C1786" i="85"/>
  <c r="C1887" i="85"/>
  <c r="C1787" i="85"/>
  <c r="C1966" i="85"/>
  <c r="C520" i="85"/>
  <c r="C681" i="85"/>
  <c r="C462" i="85"/>
  <c r="C776" i="85"/>
  <c r="C1609" i="85"/>
  <c r="C194" i="85"/>
  <c r="C557" i="85"/>
  <c r="C594" i="85"/>
  <c r="C1242" i="85"/>
  <c r="C1758" i="85"/>
  <c r="C1008" i="85"/>
  <c r="C1625" i="85"/>
  <c r="C1181" i="85"/>
  <c r="C1349" i="85"/>
  <c r="C1421" i="85"/>
  <c r="C1639" i="85"/>
  <c r="C1951" i="85"/>
  <c r="C1066" i="85"/>
  <c r="C900" i="85"/>
  <c r="C1386" i="85"/>
  <c r="C1465" i="85"/>
  <c r="C1973" i="85"/>
  <c r="C890" i="85"/>
  <c r="C664" i="85"/>
  <c r="C400" i="85"/>
  <c r="C1827" i="85"/>
  <c r="C882" i="85"/>
  <c r="C378" i="85"/>
  <c r="C860" i="85"/>
  <c r="C767" i="85"/>
  <c r="C366" i="85"/>
  <c r="C1594" i="85"/>
  <c r="C1774" i="85"/>
  <c r="C609" i="85"/>
  <c r="C1631" i="85"/>
  <c r="C1164" i="85"/>
  <c r="C1138" i="85"/>
  <c r="C1788" i="85"/>
  <c r="C1931" i="85"/>
  <c r="C1402" i="85"/>
  <c r="C1007" i="85"/>
  <c r="C1449" i="85"/>
  <c r="C1927" i="85"/>
  <c r="C960" i="85"/>
  <c r="C1680" i="85"/>
  <c r="C1486" i="85"/>
  <c r="C995" i="85"/>
  <c r="C630" i="85"/>
  <c r="C1829" i="85"/>
  <c r="C260" i="85"/>
  <c r="C1944" i="85"/>
  <c r="C1645" i="85"/>
  <c r="C1924" i="85"/>
  <c r="C691" i="85"/>
  <c r="C1882" i="85"/>
  <c r="C1265" i="85"/>
  <c r="C315" i="85"/>
  <c r="C799" i="85"/>
  <c r="C563" i="85"/>
  <c r="C1410" i="85"/>
  <c r="C1488" i="85"/>
  <c r="C1606" i="85"/>
  <c r="C1643" i="85"/>
  <c r="C414" i="85"/>
  <c r="C195" i="85"/>
  <c r="C840" i="85"/>
  <c r="C510" i="85"/>
  <c r="C92" i="85"/>
  <c r="C535" i="85"/>
  <c r="C1261" i="85"/>
  <c r="C990" i="85"/>
  <c r="C1989" i="85"/>
  <c r="C1991" i="85"/>
  <c r="C1352" i="85"/>
  <c r="C274" i="85"/>
  <c r="C1147" i="85"/>
  <c r="C615" i="85"/>
  <c r="C1934" i="85"/>
  <c r="C865" i="85"/>
  <c r="C1651" i="85"/>
  <c r="C1772" i="85"/>
  <c r="C438" i="85"/>
  <c r="C1227" i="85"/>
  <c r="C731" i="85"/>
  <c r="C1820" i="85"/>
  <c r="C1744" i="85"/>
  <c r="C1734" i="85"/>
  <c r="C1701" i="85"/>
  <c r="C1476" i="85"/>
  <c r="C678" i="85"/>
  <c r="C434" i="85"/>
  <c r="C1773" i="85"/>
  <c r="C1161" i="85"/>
  <c r="C969" i="85"/>
  <c r="C907" i="85"/>
  <c r="C1050" i="85"/>
  <c r="C1359" i="85"/>
  <c r="C1996" i="85"/>
  <c r="C342" i="85"/>
  <c r="C407" i="85"/>
  <c r="C504" i="85"/>
  <c r="C1235" i="85"/>
  <c r="C1847" i="85"/>
  <c r="C578" i="85"/>
  <c r="C1858" i="85"/>
  <c r="C1251" i="85"/>
  <c r="C1876" i="85"/>
  <c r="C1207" i="85"/>
  <c r="C892" i="85"/>
  <c r="C804" i="85"/>
  <c r="C1906" i="85"/>
  <c r="C560" i="85"/>
  <c r="C1735" i="85"/>
  <c r="C1647" i="85"/>
  <c r="C345" i="85"/>
  <c r="C1257" i="85"/>
  <c r="C1389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<sst xmlns="http://schemas.openxmlformats.org/spreadsheetml/2006/main" count="13904" uniqueCount="2406">
  <si>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</si>
  <si>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</si>
  <si>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</si>
  <si>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</si>
  <si>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</si>
  <si>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</si>
  <si>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</si>
  <si>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</si>
  <si>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</si>
  <si>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</si>
  <si>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</si>
  <si>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</si>
  <si>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</si>
  <si>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</si>
  <si>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</si>
  <si>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</si>
  <si>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</si>
  <si>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</si>
  <si>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</si>
  <si>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</si>
  <si>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</si>
  <si>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</si>
  <si>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</si>
  <si>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</si>
  <si>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</si>
  <si>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</si>
  <si>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</si>
  <si>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</si>
  <si>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</si>
  <si>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</si>
  <si>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</si>
  <si>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</si>
  <si>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</si>
  <si>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</si>
  <si>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</si>
  <si>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</si>
  <si>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</si>
  <si>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</si>
  <si>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</si>
  <si>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</si>
  <si>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</si>
  <si>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</si>
  <si>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</si>
  <si>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</si>
  <si>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</si>
  <si>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</si>
  <si>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</si>
  <si>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</si>
  <si>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</si>
  <si>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</si>
  <si>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</si>
  <si>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</si>
  <si>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</si>
  <si>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</si>
  <si>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</si>
  <si>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</si>
  <si>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</si>
  <si>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</si>
  <si>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</si>
  <si>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</si>
  <si>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</si>
  <si>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</si>
  <si>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</si>
  <si>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</si>
  <si>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</si>
  <si>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</si>
  <si>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</si>
  <si>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</si>
  <si>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</si>
  <si>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</si>
  <si>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</si>
  <si>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</si>
  <si>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</si>
  <si>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</si>
  <si>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</si>
  <si>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</si>
  <si>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</si>
  <si>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</si>
  <si>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</si>
  <si>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</si>
  <si>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</si>
  <si>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</si>
  <si>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</si>
  <si>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</si>
  <si>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</si>
  <si>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</si>
  <si>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</si>
  <si>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</si>
  <si>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</si>
  <si>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</si>
  <si>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</si>
  <si>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</si>
  <si>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</si>
  <si>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</si>
  <si>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</si>
  <si>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</si>
  <si>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</si>
  <si>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</si>
  <si>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</si>
  <si>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</si>
  <si>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</si>
  <si>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</si>
  <si>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</si>
  <si>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</si>
  <si>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</si>
  <si>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</si>
  <si>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</si>
  <si>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</si>
  <si>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</si>
  <si>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</si>
  <si>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</si>
  <si>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</si>
  <si>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</si>
  <si>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</si>
  <si>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</si>
  <si>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</si>
  <si>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</si>
  <si>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</si>
  <si>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</si>
  <si>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</si>
  <si>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</si>
  <si>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</si>
  <si>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</si>
  <si>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</si>
  <si>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</si>
  <si>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</si>
  <si>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</si>
  <si>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</si>
  <si>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</si>
  <si>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</si>
  <si>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</si>
  <si>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</si>
  <si>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</si>
  <si>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</si>
  <si>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</si>
  <si>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</si>
  <si>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</si>
  <si>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</si>
  <si>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</si>
  <si>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</si>
  <si>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</si>
  <si>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</si>
  <si>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</si>
  <si>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</si>
  <si>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</si>
  <si>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</si>
  <si>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</si>
  <si>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</si>
  <si>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</si>
  <si>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</si>
  <si>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</si>
  <si>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</si>
  <si>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</si>
  <si>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</si>
  <si>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</si>
  <si>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</si>
  <si>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</si>
  <si>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</si>
  <si>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</si>
  <si>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</si>
  <si>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</si>
  <si>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</si>
  <si>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</si>
  <si>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</si>
  <si>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</si>
  <si>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</si>
  <si>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</si>
  <si>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</si>
  <si>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</si>
  <si>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</si>
  <si>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</si>
  <si>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</si>
  <si>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</si>
  <si>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</si>
  <si>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</si>
  <si>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</si>
  <si>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</si>
  <si>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</si>
  <si>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</si>
  <si>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</si>
  <si>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</si>
  <si>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</si>
  <si>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</si>
  <si>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</si>
  <si>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</si>
  <si>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</si>
  <si>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</si>
  <si>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</si>
  <si>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</si>
  <si>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</si>
  <si>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</si>
  <si>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</si>
  <si>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</si>
  <si>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</si>
  <si>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</si>
  <si>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</si>
  <si>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</si>
  <si>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</si>
  <si>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</si>
  <si>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</si>
  <si>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</si>
  <si>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</si>
  <si>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</si>
  <si>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</si>
  <si>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</si>
  <si>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</si>
  <si>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</si>
  <si>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</si>
  <si>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</si>
  <si>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</si>
  <si>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</si>
  <si>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</si>
  <si>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</si>
  <si>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</si>
  <si>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</si>
  <si>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</si>
  <si>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</si>
  <si>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</si>
  <si>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</si>
  <si>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</si>
  <si>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</si>
  <si>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</si>
  <si>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</si>
  <si>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</si>
  <si>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</si>
  <si>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</si>
  <si>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</si>
  <si>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</si>
  <si>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</si>
  <si>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</si>
  <si>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</si>
  <si>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</si>
  <si>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</si>
  <si>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</si>
  <si>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</si>
  <si>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</si>
  <si>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</si>
  <si>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</si>
  <si>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</si>
  <si>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</si>
  <si>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</si>
  <si>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</si>
  <si>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</si>
  <si>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</si>
  <si>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</si>
  <si>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</si>
  <si>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</si>
  <si>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</si>
  <si>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</si>
  <si>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</si>
  <si>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</si>
  <si>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</si>
  <si>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</si>
  <si>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</si>
  <si>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</si>
  <si>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</si>
  <si>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</si>
  <si>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</si>
  <si>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</si>
  <si>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</si>
  <si>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</si>
  <si>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</si>
  <si>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</si>
  <si>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</si>
  <si>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</si>
  <si>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</si>
  <si>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</si>
  <si>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</si>
  <si>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</si>
  <si>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</si>
  <si>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</si>
  <si>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</si>
  <si>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</si>
  <si>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</si>
  <si>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</si>
  <si>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</si>
  <si>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</si>
  <si>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</si>
  <si>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</si>
  <si>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</si>
  <si>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</si>
  <si>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</si>
  <si>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</si>
  <si>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</si>
  <si>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</si>
  <si>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</si>
  <si>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</si>
  <si>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</si>
  <si>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</si>
  <si>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</si>
  <si>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</si>
  <si>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</si>
  <si>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</si>
  <si>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</si>
  <si>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</si>
  <si>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</si>
  <si>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</si>
  <si>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</si>
  <si>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</si>
  <si>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</si>
  <si>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</si>
  <si>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</si>
  <si>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</si>
  <si>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</si>
  <si>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</si>
  <si>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</si>
  <si>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</si>
  <si>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</si>
  <si>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</si>
  <si>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</si>
  <si>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</si>
  <si>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</si>
  <si>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</si>
  <si>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</si>
  <si>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</si>
  <si>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</si>
  <si>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</si>
  <si>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</si>
  <si>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</si>
  <si>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</si>
  <si>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</si>
  <si>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</si>
  <si>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</si>
  <si>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</si>
  <si>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</si>
  <si>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</si>
  <si>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</si>
  <si>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</si>
  <si>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</si>
  <si>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</si>
  <si>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</si>
  <si>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</si>
  <si>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</si>
  <si>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</si>
  <si>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</si>
  <si>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</si>
  <si>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</si>
  <si>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</si>
  <si>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</si>
  <si>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</si>
  <si>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</si>
  <si>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</si>
  <si>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</si>
  <si>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</si>
  <si>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</si>
  <si>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</si>
  <si>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</si>
  <si>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</si>
  <si>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</si>
  <si>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</si>
  <si>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</si>
  <si>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</si>
  <si>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</si>
  <si>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</si>
  <si>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</si>
  <si>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</si>
  <si>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</si>
  <si>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</si>
  <si>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</si>
  <si>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</si>
  <si>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</si>
  <si>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</si>
  <si>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</si>
  <si>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</si>
  <si>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</si>
  <si>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</si>
  <si>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</si>
  <si>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</si>
  <si>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</si>
  <si>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</si>
  <si>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</si>
  <si>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</si>
  <si>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</si>
  <si>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</si>
  <si>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</si>
  <si>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</si>
  <si>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</si>
  <si>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</si>
  <si>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</si>
  <si>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</si>
  <si>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</si>
  <si>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</si>
  <si>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</si>
  <si>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</si>
  <si>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</si>
  <si>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</si>
  <si>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</si>
  <si>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</si>
  <si>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</si>
  <si>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</si>
  <si>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</si>
  <si>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</si>
  <si>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</si>
  <si>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</si>
  <si>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</si>
  <si>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</si>
  <si>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</si>
  <si>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</si>
  <si>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</si>
  <si>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</si>
  <si>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</si>
  <si>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</si>
  <si>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</si>
  <si>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</si>
  <si>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</si>
  <si>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</si>
  <si>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</si>
  <si>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</si>
  <si>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</si>
  <si>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</si>
  <si>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</si>
  <si>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</si>
  <si>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</si>
  <si>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</si>
  <si>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</si>
  <si>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</si>
  <si>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</si>
  <si>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</si>
  <si>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</si>
  <si>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</si>
  <si>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</si>
  <si>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</si>
  <si>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</si>
  <si>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</si>
  <si>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</si>
  <si>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</si>
  <si>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</si>
  <si>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</si>
  <si>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</si>
  <si>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</si>
  <si>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</si>
  <si>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</si>
  <si>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</si>
  <si>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</si>
  <si>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</si>
  <si>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</si>
  <si>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</si>
  <si>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</si>
  <si>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</si>
  <si>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</si>
  <si>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</si>
  <si>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</si>
  <si>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</si>
  <si>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</si>
  <si>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</si>
  <si>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</si>
  <si>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</si>
  <si>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</si>
  <si>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</si>
  <si>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</si>
  <si>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</si>
  <si>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</si>
  <si>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</si>
  <si>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</si>
  <si>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</si>
  <si>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</si>
  <si>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</si>
  <si>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</si>
  <si>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</si>
  <si>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</si>
  <si>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</si>
  <si>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</si>
  <si>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</si>
  <si>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</si>
  <si>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</si>
  <si>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</si>
  <si>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</si>
  <si>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</si>
  <si>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</si>
  <si>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</si>
  <si>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</si>
  <si>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</si>
  <si>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</si>
  <si>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</si>
  <si>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</si>
  <si>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</si>
  <si>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</si>
  <si>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</si>
  <si>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</si>
  <si>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</si>
  <si>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</si>
  <si>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</si>
  <si>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</si>
  <si>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</si>
  <si>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</si>
  <si>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</si>
  <si>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</si>
  <si>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</si>
  <si>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</si>
  <si>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</si>
  <si>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</si>
  <si>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</si>
  <si>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</si>
  <si>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</si>
  <si>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</si>
  <si>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</si>
  <si>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</si>
  <si>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</si>
  <si>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</si>
  <si>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</si>
  <si>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</si>
  <si>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</si>
  <si>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</si>
  <si>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</si>
  <si>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</si>
  <si>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</si>
  <si>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</si>
  <si>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</si>
  <si>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</si>
  <si>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</si>
  <si>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</si>
  <si>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</si>
  <si>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</si>
  <si>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</si>
  <si>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</si>
  <si>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</si>
  <si>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</si>
  <si>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</si>
  <si>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</si>
  <si>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</si>
  <si>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</si>
  <si>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</si>
  <si>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</si>
  <si>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</si>
  <si>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</si>
  <si>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</si>
  <si>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</si>
  <si>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</si>
  <si>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</si>
  <si>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</si>
  <si>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</si>
  <si>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</si>
  <si>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</si>
  <si>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</si>
  <si>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</si>
  <si>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</si>
  <si>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</si>
  <si>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</si>
  <si>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</si>
  <si>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</si>
  <si>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</si>
  <si>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</si>
  <si>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</si>
  <si>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</si>
  <si>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</si>
  <si>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</si>
  <si>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</si>
  <si>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</si>
  <si>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</si>
  <si>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</si>
  <si>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</si>
  <si>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</si>
  <si>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</si>
  <si>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</si>
  <si>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</si>
  <si>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</si>
  <si>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</si>
  <si>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</si>
  <si>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</si>
  <si>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</si>
  <si>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</si>
  <si>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</si>
  <si>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</si>
  <si>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</si>
  <si>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</si>
  <si>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</si>
  <si>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</si>
  <si>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</si>
  <si>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</si>
  <si>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</si>
  <si>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</si>
  <si>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</si>
  <si>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</si>
  <si>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</si>
  <si>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</si>
  <si>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</si>
  <si>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</si>
  <si>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</si>
  <si>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</si>
  <si>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</si>
  <si>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</si>
  <si>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</si>
  <si>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</si>
  <si>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</si>
  <si>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</si>
  <si>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</si>
  <si>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</si>
  <si>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</si>
  <si>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</si>
  <si>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</si>
  <si>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</si>
  <si>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</si>
  <si>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</si>
  <si>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</si>
  <si>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</si>
  <si>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</si>
  <si>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</si>
  <si>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</si>
  <si>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</si>
  <si>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</si>
  <si>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</si>
  <si>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</si>
  <si>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</si>
  <si>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</si>
  <si>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</si>
  <si>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</si>
  <si>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</si>
  <si>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</si>
  <si>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</si>
  <si>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</si>
  <si>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</si>
  <si>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</si>
  <si>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</si>
  <si>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</si>
  <si>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</si>
  <si>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</si>
  <si>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</si>
  <si>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</si>
  <si>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</si>
  <si>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</si>
  <si>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</si>
  <si>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</si>
  <si>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</si>
  <si>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</si>
  <si>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</si>
  <si>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</si>
  <si>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</si>
  <si>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</si>
  <si>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</si>
  <si>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</si>
  <si>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</si>
  <si>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</si>
  <si>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</si>
  <si>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</si>
  <si>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</si>
  <si>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</si>
  <si>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</si>
  <si>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</si>
  <si>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</si>
  <si>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</si>
  <si>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</si>
  <si>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</si>
  <si>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</si>
  <si>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</si>
  <si>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</si>
  <si>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</si>
  <si>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</si>
  <si>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</si>
  <si>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</si>
  <si>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</si>
  <si>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</si>
  <si>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</si>
  <si>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</si>
  <si>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</si>
  <si>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</si>
  <si>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</si>
  <si>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</si>
  <si>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</si>
  <si>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</si>
  <si>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</si>
  <si>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</si>
  <si>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</si>
  <si>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</si>
  <si>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</si>
  <si>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</si>
  <si>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</si>
  <si>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</si>
  <si>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</si>
  <si>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</si>
  <si>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</si>
  <si>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</si>
  <si>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</si>
  <si>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</si>
  <si>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</si>
  <si>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</si>
  <si>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</si>
  <si>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</si>
  <si>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</si>
  <si>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</si>
  <si>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</si>
  <si>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</si>
  <si>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</si>
  <si>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</si>
  <si>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</si>
  <si>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</si>
  <si>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</si>
  <si>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</si>
  <si>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</si>
  <si>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</si>
  <si>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</si>
  <si>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</si>
  <si>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</si>
  <si>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</si>
  <si>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</si>
  <si>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</si>
  <si>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</si>
  <si>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</si>
  <si>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</si>
  <si>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</si>
  <si>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</si>
  <si>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</si>
  <si>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</si>
  <si>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</si>
  <si>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</si>
  <si>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</si>
  <si>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</si>
  <si>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</si>
  <si>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</si>
  <si>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</si>
  <si>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</si>
  <si>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</si>
  <si>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</si>
  <si>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</si>
  <si>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</si>
  <si>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</si>
  <si>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</si>
  <si>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</si>
  <si>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</si>
  <si>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</si>
  <si>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</si>
  <si>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</si>
  <si>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</si>
  <si>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</si>
  <si>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</si>
  <si>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</si>
  <si>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</si>
  <si>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</si>
  <si>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</si>
  <si>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</si>
  <si>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</si>
  <si>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</si>
  <si>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</si>
  <si>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</si>
  <si>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</si>
  <si>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</si>
  <si>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</si>
  <si>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</si>
  <si>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</si>
  <si>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</si>
  <si>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</si>
  <si>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</si>
  <si>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</si>
  <si>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</si>
  <si>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</si>
  <si>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</si>
  <si>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</si>
  <si>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</si>
  <si>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</si>
  <si>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</si>
  <si>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</si>
  <si>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</si>
  <si>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</si>
  <si>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</si>
  <si>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</si>
  <si>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</si>
  <si>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</si>
  <si>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</si>
  <si>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</si>
  <si>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</si>
  <si>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</si>
  <si>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</si>
  <si>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</si>
  <si>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</si>
  <si>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</si>
  <si>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</si>
  <si>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</si>
  <si>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</si>
  <si>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</si>
  <si>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</si>
  <si>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</si>
  <si>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</si>
  <si>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</si>
  <si>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</si>
  <si>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</si>
  <si>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</si>
  <si>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</si>
  <si>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</si>
  <si>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</si>
  <si>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</si>
  <si>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</si>
  <si>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</si>
  <si>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</si>
  <si>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</si>
  <si>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</si>
  <si>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</si>
  <si>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</si>
  <si>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</si>
  <si>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</si>
  <si>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</si>
  <si>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</si>
  <si>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</si>
  <si>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</si>
  <si>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</si>
  <si>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</si>
  <si>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</si>
  <si>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</si>
  <si>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</si>
  <si>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</si>
  <si>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</si>
  <si>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</si>
  <si>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</si>
  <si>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</si>
  <si>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</si>
  <si>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</si>
  <si>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</si>
  <si>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</si>
  <si>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</si>
  <si>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</si>
  <si>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</si>
  <si>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</si>
  <si>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</si>
  <si>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</si>
  <si>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</si>
  <si>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</si>
  <si>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</si>
  <si>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</si>
  <si>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</si>
  <si>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</si>
  <si>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</si>
  <si>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</si>
  <si>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</si>
  <si>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</si>
  <si>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</si>
  <si>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</si>
  <si>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</si>
  <si>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</si>
  <si>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</si>
  <si>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</si>
  <si>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</si>
  <si>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</si>
  <si>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</si>
  <si>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</si>
  <si>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</si>
  <si>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</si>
  <si>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</si>
  <si>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</si>
  <si>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</si>
  <si>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</si>
  <si>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</si>
  <si>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</si>
  <si>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</si>
  <si>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</si>
  <si>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</si>
  <si>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</si>
  <si>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</si>
  <si>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</si>
  <si>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</si>
  <si>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</si>
  <si>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</si>
  <si>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</si>
  <si>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</si>
  <si>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</si>
  <si>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</si>
  <si>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</si>
  <si>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</si>
  <si>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</si>
  <si>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</si>
  <si>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</si>
  <si>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</si>
  <si>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</si>
  <si>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</si>
  <si>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</si>
  <si>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</si>
  <si>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</si>
  <si>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</si>
  <si>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</si>
  <si>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</si>
  <si>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</si>
  <si>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</si>
  <si>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</si>
  <si>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</si>
  <si>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</si>
  <si>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</si>
  <si>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</si>
  <si>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</si>
  <si>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</si>
  <si>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</si>
  <si>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</si>
  <si>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</si>
  <si>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</si>
  <si>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</si>
  <si>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</si>
  <si>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</si>
  <si>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</si>
  <si>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</si>
  <si>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</si>
  <si>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</si>
  <si>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</si>
  <si>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</si>
  <si>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</si>
  <si>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</si>
  <si>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</si>
  <si>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</si>
  <si>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</si>
  <si>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</si>
  <si>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</si>
  <si>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</si>
  <si>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</si>
  <si>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</si>
  <si>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</si>
  <si>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</si>
  <si>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</si>
  <si>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</si>
  <si>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</si>
  <si>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</si>
  <si>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</si>
  <si>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</si>
  <si>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</si>
  <si>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</si>
  <si>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</si>
  <si>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</si>
  <si>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</si>
  <si>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</si>
  <si>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</si>
  <si>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</si>
  <si>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</si>
  <si>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</si>
  <si>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</si>
  <si>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</si>
  <si>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</si>
  <si>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</si>
  <si>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</si>
  <si>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</si>
  <si>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</si>
  <si>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</si>
  <si>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</si>
  <si>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</si>
  <si>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</si>
  <si>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</si>
  <si>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</si>
  <si>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</si>
  <si>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</si>
  <si>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</si>
  <si>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</si>
  <si>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</si>
  <si>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</si>
  <si>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</si>
  <si>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</si>
  <si>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</si>
  <si>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</si>
  <si>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</si>
  <si>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</si>
  <si>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</si>
  <si>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</si>
  <si>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</si>
  <si>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</si>
  <si>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</si>
  <si>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</si>
  <si>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</si>
  <si>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</si>
  <si>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</si>
  <si>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</si>
  <si>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</si>
  <si>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</si>
  <si>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</si>
  <si>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</si>
  <si>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</si>
  <si>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</si>
  <si>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</si>
  <si>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</si>
  <si>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</si>
  <si>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</si>
  <si>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</si>
  <si>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</si>
  <si>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</si>
  <si>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</si>
  <si>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</si>
  <si>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</si>
  <si>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</si>
  <si>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</si>
  <si>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</si>
  <si>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</si>
  <si>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</si>
  <si>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</si>
  <si>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</si>
  <si>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</si>
  <si>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</si>
  <si>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</si>
  <si>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</si>
  <si>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</si>
  <si>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</si>
  <si>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</si>
  <si>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</si>
  <si>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</si>
  <si>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</si>
  <si>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</si>
  <si>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</si>
  <si>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</si>
  <si>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</si>
  <si>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</si>
  <si>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</si>
  <si>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</si>
  <si>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</si>
  <si>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</si>
  <si>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</si>
  <si>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</si>
  <si>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</si>
  <si>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</si>
  <si>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</si>
  <si>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</si>
  <si>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</si>
  <si>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</si>
  <si>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</si>
  <si>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</si>
  <si>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</si>
  <si>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</si>
  <si>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</si>
  <si>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</si>
  <si>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</si>
  <si>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</si>
  <si>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</si>
  <si>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</si>
  <si>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</si>
  <si>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</si>
  <si>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</si>
  <si>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</si>
  <si>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</si>
  <si>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</si>
  <si>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</si>
  <si>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</si>
  <si>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</si>
  <si>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</si>
  <si>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</si>
  <si>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</si>
  <si>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</si>
  <si>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</si>
  <si>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</si>
  <si>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</si>
  <si>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</si>
  <si>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</si>
  <si>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</si>
  <si>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</si>
  <si>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</si>
  <si>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</si>
  <si>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</si>
  <si>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</si>
  <si>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</si>
  <si>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</si>
  <si>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</si>
  <si>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</si>
  <si>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</si>
  <si>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</si>
  <si>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</si>
  <si>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</si>
  <si>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</si>
  <si>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</si>
  <si>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</si>
  <si>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</si>
  <si>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</si>
  <si>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</si>
  <si>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</si>
  <si>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</si>
  <si>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</si>
  <si>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</si>
  <si>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</si>
  <si>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</si>
  <si>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</si>
  <si>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</si>
  <si>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</si>
  <si>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</si>
  <si>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</si>
  <si>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</si>
  <si>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</si>
  <si>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</si>
  <si>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</si>
  <si>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</si>
  <si>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</si>
  <si>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</si>
  <si>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</si>
  <si>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</si>
  <si>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</si>
  <si>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</si>
  <si>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</si>
  <si>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</si>
  <si>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</si>
  <si>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</si>
  <si>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</si>
  <si>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</si>
  <si>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</si>
  <si>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</si>
  <si>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</si>
  <si>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</si>
  <si>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</si>
  <si>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</si>
  <si>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</si>
  <si>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</si>
  <si>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</si>
  <si>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</si>
  <si>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</si>
  <si>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</si>
  <si>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</si>
  <si>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</si>
  <si>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</si>
  <si>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</si>
  <si>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</si>
  <si>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</si>
  <si>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</si>
  <si>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</si>
  <si>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</si>
  <si>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</si>
  <si>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</si>
  <si>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</si>
  <si>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</si>
  <si>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</si>
  <si>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</si>
  <si>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</si>
  <si>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</si>
  <si>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</si>
  <si>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</si>
  <si>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</si>
  <si>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</si>
  <si>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</si>
  <si>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</si>
  <si>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</si>
  <si>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</si>
  <si>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</si>
  <si>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</si>
  <si>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</si>
  <si>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</si>
  <si>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</si>
  <si>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</si>
  <si>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</si>
  <si>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</si>
  <si>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</si>
  <si>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</si>
  <si>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</si>
  <si>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</si>
  <si>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</si>
  <si>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</si>
  <si>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</si>
  <si>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</si>
  <si>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</si>
  <si>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</si>
  <si>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</si>
  <si>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</si>
  <si>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</si>
  <si>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</si>
  <si>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</si>
  <si>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</si>
  <si>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</si>
  <si>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</si>
  <si>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</si>
  <si>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</si>
  <si>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</si>
  <si>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</si>
  <si>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</si>
  <si>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</si>
  <si>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</si>
  <si>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</si>
  <si>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</si>
  <si>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</si>
  <si>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</si>
  <si>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</si>
  <si>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</si>
  <si>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</si>
  <si>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</si>
  <si>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</si>
  <si>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</si>
  <si>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</si>
  <si>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</si>
  <si>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</si>
  <si>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</si>
  <si>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</si>
  <si>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</si>
  <si>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</si>
  <si>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</si>
  <si>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</si>
  <si>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</si>
  <si>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</si>
  <si>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</si>
  <si>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</si>
  <si>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</si>
  <si>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</si>
  <si>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</si>
  <si>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</si>
  <si>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</si>
  <si>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</si>
  <si>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</si>
  <si>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</si>
  <si>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</si>
  <si>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</si>
  <si>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</si>
  <si>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</si>
  <si>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</si>
  <si>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</si>
  <si>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</si>
  <si>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</si>
  <si>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</si>
  <si>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</si>
  <si>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</si>
  <si>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</si>
  <si>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</si>
  <si>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</si>
  <si>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</si>
  <si>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</si>
  <si>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</si>
  <si>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</si>
  <si>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</si>
  <si>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</si>
  <si>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</si>
  <si>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</si>
  <si>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</si>
  <si>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</si>
  <si>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</si>
  <si>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</si>
  <si>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</si>
  <si>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</si>
  <si>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</si>
  <si>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</si>
  <si>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</si>
  <si>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</si>
  <si>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</si>
  <si>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</si>
  <si>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</si>
  <si>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</si>
  <si>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</si>
  <si>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</si>
  <si>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</si>
  <si>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</si>
  <si>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</si>
  <si>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</si>
  <si>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</si>
  <si>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</si>
  <si>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</si>
  <si>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</si>
  <si>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</si>
  <si>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</si>
  <si>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</si>
  <si>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</si>
  <si>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</si>
  <si>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</si>
  <si>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</si>
  <si>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</si>
  <si>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</si>
  <si>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</si>
  <si>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</si>
  <si>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</si>
  <si>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</si>
  <si>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</si>
  <si>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</si>
  <si>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</si>
  <si>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</si>
  <si>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</si>
  <si>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</si>
  <si>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</si>
  <si>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</si>
  <si>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</si>
  <si>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</si>
  <si>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</si>
  <si>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</si>
  <si>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</si>
  <si>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</si>
  <si>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</si>
  <si>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</si>
  <si>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</si>
  <si>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</si>
  <si>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</si>
  <si>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</si>
  <si>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</si>
  <si>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</si>
  <si>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</si>
  <si>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</si>
  <si>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</si>
  <si>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</si>
  <si>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</si>
  <si>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</si>
  <si>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</si>
  <si>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</si>
  <si>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</si>
  <si>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</si>
  <si>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</si>
  <si>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</si>
  <si>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</si>
  <si>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</si>
  <si>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</si>
  <si>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</si>
  <si>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</si>
  <si>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</si>
  <si>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</si>
  <si>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</si>
  <si>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</si>
  <si>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</si>
  <si>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</si>
  <si>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</si>
  <si>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</si>
  <si>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</si>
  <si>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</si>
  <si>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</si>
  <si>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</si>
  <si>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</si>
  <si>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</si>
  <si>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</si>
  <si>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</si>
  <si>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</si>
  <si>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</si>
  <si>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</si>
  <si>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</si>
  <si>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</si>
  <si>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</si>
  <si>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</si>
  <si>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</si>
  <si>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</si>
  <si>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</si>
  <si>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</si>
  <si>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</si>
  <si>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</si>
  <si>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</si>
  <si>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</si>
  <si>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</si>
  <si>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</si>
  <si>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</si>
  <si>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</si>
  <si>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</si>
  <si>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</si>
  <si>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</si>
  <si>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</si>
  <si>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</si>
  <si>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</si>
  <si>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</si>
  <si>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</si>
  <si>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</si>
  <si>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</si>
  <si>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</si>
  <si>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</si>
  <si>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</si>
  <si>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</si>
  <si>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</si>
  <si>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</si>
  <si>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</si>
  <si>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</si>
  <si>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</si>
  <si>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</si>
  <si>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</si>
  <si>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</si>
  <si>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</si>
  <si>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</si>
  <si>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</si>
  <si>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</si>
  <si>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</si>
  <si>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</si>
  <si>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</si>
  <si>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</si>
  <si>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</si>
  <si>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</si>
  <si>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</si>
  <si>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</si>
  <si>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</si>
  <si>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</si>
  <si>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</si>
  <si>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</si>
  <si>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</si>
  <si>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</si>
  <si>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</si>
  <si>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</si>
  <si>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</si>
  <si>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</si>
  <si>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</si>
  <si>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</si>
  <si>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</si>
  <si>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</si>
  <si>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</si>
  <si>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</si>
  <si>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</si>
  <si>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</si>
  <si>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</si>
  <si>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</si>
  <si>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</si>
  <si>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</si>
  <si>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</si>
  <si>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</si>
  <si>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</si>
  <si>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</si>
  <si>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</si>
  <si>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</si>
  <si>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</si>
  <si>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</si>
  <si>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</si>
  <si>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</si>
  <si>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</si>
  <si>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</si>
  <si>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</si>
  <si>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</si>
  <si>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</si>
  <si>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</si>
  <si>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</si>
  <si>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</si>
  <si>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</si>
  <si>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</si>
  <si>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</si>
  <si>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</si>
  <si>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</si>
  <si>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</si>
  <si>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</si>
  <si>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</si>
  <si>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</si>
  <si>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</si>
  <si>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</si>
  <si>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</si>
  <si>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</si>
  <si>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</si>
  <si>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</si>
  <si>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</si>
  <si>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</si>
  <si>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</si>
  <si>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</si>
  <si>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</si>
  <si>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</si>
  <si>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</si>
  <si>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</si>
  <si>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</si>
  <si>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</si>
  <si>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</si>
  <si>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</si>
  <si>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</si>
  <si>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</si>
  <si>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</si>
  <si>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</si>
  <si>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</si>
  <si>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</si>
  <si>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</si>
  <si>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</si>
  <si>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</si>
  <si>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</si>
  <si>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</si>
  <si>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</si>
  <si>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</si>
  <si>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</si>
  <si>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</si>
  <si>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</si>
  <si>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</si>
  <si>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</si>
  <si>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</si>
  <si>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</si>
  <si>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</si>
  <si>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</si>
  <si>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</si>
  <si>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</si>
  <si>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</si>
  <si>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</si>
  <si>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</si>
  <si>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</si>
  <si>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</si>
  <si>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</si>
  <si>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</si>
  <si>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</si>
  <si>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</si>
  <si>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</si>
  <si>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</si>
  <si>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</si>
  <si>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</si>
  <si>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</si>
  <si>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</si>
  <si>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</si>
  <si>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</si>
  <si>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</si>
  <si>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</si>
  <si>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</si>
  <si>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</si>
  <si>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</si>
  <si>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</si>
  <si>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</si>
  <si>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</si>
  <si>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</si>
  <si>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</si>
  <si>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</si>
  <si>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</si>
  <si>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</si>
  <si>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</si>
  <si>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</si>
  <si>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</si>
  <si>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</si>
  <si>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</si>
  <si>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</si>
  <si>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</si>
  <si>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</si>
  <si>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</si>
  <si>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</si>
  <si>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</si>
  <si>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</si>
  <si>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</si>
  <si>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</si>
  <si>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</si>
  <si>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</si>
  <si>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</si>
  <si>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</si>
  <si>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</si>
  <si>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</si>
  <si>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</si>
  <si>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</si>
  <si>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</si>
  <si>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</si>
  <si>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</si>
  <si>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</si>
  <si>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</si>
  <si>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</si>
  <si>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</si>
  <si>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</si>
  <si>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</si>
  <si>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</si>
  <si>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</si>
  <si>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</si>
  <si>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</si>
  <si>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</si>
  <si>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</si>
  <si>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</si>
  <si>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</si>
  <si>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</si>
  <si>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</si>
  <si>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</si>
  <si>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</si>
  <si>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</si>
  <si>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</si>
  <si>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</si>
  <si>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</si>
  <si>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</si>
  <si>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</si>
  <si>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</si>
  <si>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</si>
  <si>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</si>
  <si>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</si>
  <si>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</si>
  <si>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</si>
  <si>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</si>
  <si>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</si>
  <si>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</si>
  <si>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</si>
  <si>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</si>
  <si>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</si>
  <si>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</si>
  <si>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</si>
  <si>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</si>
  <si>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</si>
  <si>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</si>
  <si>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</si>
  <si>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</si>
  <si>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</si>
  <si>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</si>
  <si>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</si>
  <si>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</si>
  <si>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</si>
  <si>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</si>
  <si>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</si>
  <si>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</si>
  <si>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</si>
  <si>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</si>
  <si>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</si>
  <si>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</si>
  <si>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</si>
  <si>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</si>
  <si>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</si>
  <si>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</si>
  <si>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</si>
  <si>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</si>
  <si>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</si>
  <si>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</si>
  <si>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</si>
  <si>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</si>
  <si>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</si>
  <si>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</si>
  <si>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</si>
  <si>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</si>
  <si>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</si>
  <si>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</si>
  <si>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</si>
  <si>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</si>
  <si>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</si>
  <si>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</si>
  <si>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</si>
  <si>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</si>
  <si>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</si>
  <si>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</si>
  <si>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</si>
  <si>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</si>
  <si>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</si>
  <si>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</si>
  <si>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</si>
  <si>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</si>
  <si>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</si>
  <si>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</si>
  <si>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</si>
  <si>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</si>
  <si>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</si>
  <si>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</si>
  <si>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</si>
  <si>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</si>
  <si>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</si>
  <si>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</si>
  <si>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</si>
  <si>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</si>
  <si>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</si>
  <si>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</si>
  <si>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</si>
  <si>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</si>
  <si>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</si>
  <si>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</si>
  <si>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</si>
  <si>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</si>
  <si>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</si>
  <si>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</si>
  <si>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</si>
  <si>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</si>
  <si>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</si>
  <si>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</si>
  <si>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</si>
  <si>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</si>
  <si>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</si>
  <si>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</si>
  <si>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</si>
  <si>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</si>
  <si>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</si>
  <si>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</si>
  <si>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</si>
  <si>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</si>
  <si>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</si>
  <si>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</si>
  <si>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</si>
  <si>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</si>
  <si>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</si>
  <si>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</si>
  <si>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</si>
  <si>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</si>
  <si>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</si>
  <si>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</si>
  <si>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</si>
  <si>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</si>
  <si>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</si>
  <si>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</si>
  <si>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</si>
  <si>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</si>
  <si>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</si>
  <si>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</si>
  <si>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</si>
  <si>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</si>
  <si>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</si>
  <si>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</si>
  <si>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</si>
  <si>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</si>
  <si>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</si>
  <si>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</si>
  <si>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</si>
  <si>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</si>
  <si>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</si>
  <si>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</si>
  <si>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</si>
  <si>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</si>
  <si>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</si>
  <si>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</si>
  <si>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</si>
  <si>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</si>
  <si>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</si>
  <si>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</si>
  <si>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</si>
  <si>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</si>
  <si>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</si>
  <si>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</si>
  <si>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</si>
  <si>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</si>
  <si>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</si>
  <si>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</si>
  <si>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</si>
  <si>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</si>
  <si>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</si>
  <si>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</si>
  <si>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</si>
  <si>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</si>
  <si>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</si>
  <si>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</si>
  <si>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</si>
  <si>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</si>
  <si>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</si>
  <si>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</si>
  <si>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</si>
  <si>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</si>
  <si>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</si>
  <si>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</si>
  <si>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</si>
  <si>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</si>
  <si>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</si>
  <si>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</si>
  <si>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</si>
  <si>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</si>
  <si>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</si>
  <si>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</si>
  <si>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</si>
  <si>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</si>
  <si>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</si>
  <si>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</si>
  <si>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</si>
  <si>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</si>
  <si>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</si>
  <si>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</si>
  <si>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</si>
  <si>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</si>
  <si>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</si>
  <si>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</si>
  <si>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</si>
  <si>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</si>
  <si>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</si>
  <si>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</si>
  <si>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</si>
  <si>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</si>
  <si>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</si>
  <si>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</si>
  <si>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</si>
  <si>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</si>
  <si>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</si>
  <si>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</si>
  <si>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</si>
  <si>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</si>
  <si>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</si>
  <si>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</si>
  <si>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</si>
  <si>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</si>
  <si>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</si>
  <si>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</si>
  <si>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</si>
  <si>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</si>
  <si>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</si>
  <si>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</si>
  <si>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</si>
  <si>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</si>
  <si>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</si>
  <si>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</si>
  <si>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</si>
  <si>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</si>
  <si>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</si>
  <si>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</si>
  <si>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</si>
  <si>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</si>
  <si>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</si>
  <si>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</si>
  <si>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</si>
  <si>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</si>
  <si>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</si>
  <si>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</si>
  <si>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</si>
  <si>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</si>
  <si>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</si>
  <si>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</si>
  <si>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</si>
  <si>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</si>
  <si>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</si>
  <si>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</si>
  <si>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</si>
  <si>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</si>
  <si>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</si>
  <si>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</si>
  <si>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</si>
  <si>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</si>
  <si>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</si>
  <si>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</si>
  <si>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</si>
  <si>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</si>
  <si>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</si>
  <si>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</si>
  <si>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</si>
  <si>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</si>
  <si>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</si>
  <si>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</si>
  <si>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</si>
  <si>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</si>
  <si>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</si>
  <si>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</si>
  <si>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</si>
  <si>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</si>
  <si>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</si>
  <si>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</si>
  <si>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</si>
  <si>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</si>
  <si>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</si>
  <si>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</si>
  <si>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</si>
  <si>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</si>
  <si>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</si>
  <si>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</si>
  <si>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</si>
  <si>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</si>
  <si>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</si>
  <si>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</si>
  <si>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</si>
  <si>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</si>
  <si>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</si>
  <si>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</si>
  <si>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</si>
  <si>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</si>
  <si>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</si>
  <si>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</si>
  <si>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</si>
  <si>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</si>
  <si>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</si>
  <si>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</si>
  <si>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</si>
  <si>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</si>
  <si>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</si>
  <si>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</si>
  <si>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</si>
  <si>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</si>
  <si>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</si>
  <si>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</si>
  <si>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</si>
  <si>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</si>
  <si>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</si>
  <si>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</si>
  <si>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</si>
  <si>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</si>
  <si>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</si>
  <si>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</si>
  <si>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</si>
  <si>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</si>
  <si>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</si>
  <si>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</si>
  <si>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</si>
  <si>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</si>
  <si>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</si>
  <si>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</si>
  <si>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</si>
  <si>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</si>
  <si>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</si>
  <si>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</si>
  <si>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</si>
  <si>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</si>
  <si>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</si>
  <si>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</si>
  <si>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</si>
  <si>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</si>
  <si>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</si>
  <si>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</si>
  <si>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</si>
  <si>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</si>
  <si>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</si>
  <si>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</si>
  <si>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</si>
  <si>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</si>
  <si>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</si>
  <si>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</si>
  <si>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</si>
  <si>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</si>
  <si>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</si>
  <si>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</si>
  <si>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</si>
  <si>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</si>
  <si>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</si>
  <si>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</si>
  <si>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</si>
  <si>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</si>
  <si>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</si>
  <si>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</si>
  <si>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</si>
  <si>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</si>
  <si>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</si>
  <si>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</si>
  <si>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</si>
  <si>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</si>
  <si>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</si>
  <si>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</si>
  <si>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</si>
  <si>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</si>
  <si>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</si>
  <si>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</si>
  <si>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</si>
  <si>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</si>
  <si>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</si>
  <si>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</si>
  <si>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</si>
  <si>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</si>
  <si>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</si>
  <si>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</si>
  <si>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</si>
  <si>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</si>
  <si>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</si>
  <si>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</si>
  <si>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</si>
  <si>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</si>
  <si>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</si>
  <si>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</si>
  <si>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</si>
  <si>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</si>
  <si>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</si>
  <si>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</si>
  <si>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</si>
  <si>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</si>
  <si>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</si>
  <si>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</si>
  <si>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</si>
  <si>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</si>
  <si>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</si>
  <si>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</si>
  <si>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</si>
  <si>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</si>
  <si>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</si>
  <si>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</si>
  <si>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</si>
  <si>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</si>
  <si>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</si>
  <si>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</si>
  <si>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</si>
  <si>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</si>
  <si>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</si>
  <si>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</si>
  <si>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</si>
  <si>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</si>
  <si>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</si>
  <si>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</si>
  <si>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</si>
  <si>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</si>
  <si>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</si>
  <si>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</si>
  <si>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</si>
  <si>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</si>
  <si>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</si>
  <si>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</si>
  <si>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</si>
  <si>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</si>
  <si>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</si>
  <si>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</si>
  <si>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</si>
  <si>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</si>
  <si>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</si>
  <si>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</si>
  <si>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</si>
  <si>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</si>
  <si>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</si>
  <si>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</si>
  <si>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</si>
  <si>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</si>
  <si>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</si>
  <si>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</si>
  <si>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</si>
  <si>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</si>
  <si>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</si>
  <si>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</si>
  <si>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</si>
  <si>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</si>
  <si>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</si>
  <si>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</si>
  <si>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</si>
  <si>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</si>
  <si>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</si>
  <si>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</si>
  <si>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</si>
  <si>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</si>
  <si>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</si>
  <si>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</si>
  <si>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</si>
  <si>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</si>
  <si>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</si>
  <si>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</si>
  <si>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</si>
  <si>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</si>
  <si>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</si>
  <si>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</si>
  <si>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</si>
  <si>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</si>
  <si>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</si>
  <si>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</si>
  <si>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</si>
  <si>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</si>
  <si>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</si>
  <si>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</si>
  <si>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</si>
  <si>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</si>
  <si>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</si>
  <si>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</si>
  <si>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</si>
  <si>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</si>
  <si>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</si>
  <si>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</si>
  <si>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</si>
  <si>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</si>
  <si>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</si>
  <si>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</si>
  <si>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</si>
  <si>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</si>
  <si>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</si>
  <si>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</si>
  <si>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</si>
  <si>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</si>
  <si>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</si>
  <si>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</si>
  <si>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</si>
  <si>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</si>
  <si>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</si>
  <si>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</si>
  <si>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</si>
  <si>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</si>
  <si>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</si>
  <si>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</si>
  <si>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</si>
  <si>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</si>
  <si>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</si>
  <si>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</si>
  <si>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</si>
  <si>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</si>
  <si>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</si>
  <si>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</si>
  <si>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</si>
  <si>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</si>
  <si>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</si>
  <si>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</si>
  <si>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</si>
  <si>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</si>
  <si>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</si>
  <si>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</si>
  <si>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</si>
  <si>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</si>
  <si>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</si>
  <si>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</si>
  <si>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</si>
  <si>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</si>
  <si>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</si>
  <si>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</si>
  <si>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</si>
  <si>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</si>
  <si>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</si>
  <si>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</si>
  <si>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</si>
  <si>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</si>
  <si>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</si>
  <si>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</si>
  <si>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</si>
  <si>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</si>
  <si>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</si>
  <si>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</si>
  <si>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</si>
  <si>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</si>
  <si>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</si>
  <si>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</si>
  <si>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</si>
  <si>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</si>
  <si>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</si>
  <si>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</si>
  <si>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</si>
  <si>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</si>
  <si>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</si>
  <si>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</si>
  <si>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</si>
  <si>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</si>
  <si>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</si>
  <si>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</si>
  <si>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</si>
  <si>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</si>
  <si>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</si>
  <si>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</si>
  <si>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</si>
  <si>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</si>
  <si>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</si>
  <si>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</si>
  <si>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</si>
  <si>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</si>
  <si>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</si>
  <si>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</si>
  <si>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</si>
  <si>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</si>
  <si>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</si>
  <si>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</si>
  <si>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</si>
  <si>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</si>
  <si>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</si>
  <si>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</si>
  <si>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</si>
  <si>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</si>
  <si>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</si>
  <si>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</si>
  <si>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</si>
  <si>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</si>
  <si>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</si>
  <si>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</si>
  <si>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</si>
  <si>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</si>
  <si>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</si>
  <si>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</si>
  <si>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</si>
  <si>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</si>
  <si>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</si>
  <si>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</si>
  <si>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</si>
  <si>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</si>
  <si>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</si>
  <si>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</si>
  <si>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</si>
  <si>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</si>
  <si>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</si>
  <si>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</si>
  <si>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</si>
  <si>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</si>
  <si>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</si>
  <si>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</si>
  <si>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</si>
  <si>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</si>
  <si>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</si>
  <si>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</si>
  <si>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</si>
  <si>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</si>
  <si>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</si>
  <si>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</si>
  <si>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</si>
  <si>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</si>
  <si>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</si>
  <si>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</si>
  <si>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</si>
  <si>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</si>
  <si>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</si>
  <si>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</si>
  <si>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</si>
  <si>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</si>
  <si>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</si>
  <si>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</si>
  <si>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</si>
  <si>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</si>
  <si>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</si>
  <si>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</si>
  <si>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</si>
  <si>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</si>
  <si>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</si>
  <si>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</si>
  <si>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</si>
  <si>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</si>
  <si>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</si>
  <si>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</si>
  <si>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</si>
  <si>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</si>
  <si>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</si>
  <si>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</si>
  <si>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</si>
  <si>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</si>
  <si>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</si>
  <si>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</si>
  <si>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</si>
  <si>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</si>
  <si>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</si>
  <si>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</si>
  <si>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</si>
  <si>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</si>
  <si>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</si>
  <si>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</si>
  <si>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</si>
  <si>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</si>
  <si>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</si>
  <si>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</si>
  <si>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</si>
  <si>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</si>
  <si>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</si>
  <si>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</si>
  <si>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</si>
  <si>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</si>
  <si>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</si>
  <si>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</si>
  <si>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</si>
  <si>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</si>
  <si>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</si>
  <si>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</si>
  <si>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</si>
  <si>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</si>
  <si>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</si>
  <si>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</si>
  <si>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</si>
  <si>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</si>
  <si>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</si>
  <si>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</si>
  <si>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</si>
  <si>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</si>
  <si>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</si>
  <si>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</si>
  <si>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</si>
  <si>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</si>
  <si>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</si>
  <si>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</si>
  <si>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</si>
  <si>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</si>
  <si>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</si>
  <si>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</si>
  <si>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</si>
  <si>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</si>
  <si>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</si>
  <si>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</si>
  <si>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</si>
  <si>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</si>
  <si>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</si>
  <si>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</si>
  <si>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</si>
  <si>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</si>
  <si>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</si>
  <si>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</si>
  <si>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</si>
  <si>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</si>
  <si>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</si>
  <si>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</si>
  <si>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</si>
  <si>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</si>
  <si>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</si>
  <si>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</si>
  <si>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</si>
  <si>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</si>
  <si>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</si>
  <si>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</si>
  <si>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</si>
  <si>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</si>
  <si>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</si>
  <si>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</si>
  <si>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</si>
  <si>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</si>
  <si>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</si>
  <si>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</si>
  <si>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</si>
  <si>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</si>
  <si>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</si>
  <si>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</si>
  <si>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</si>
  <si>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</si>
  <si>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</si>
  <si>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</si>
  <si>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</si>
  <si>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</si>
  <si>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</si>
  <si>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</si>
  <si>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</si>
  <si>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</si>
  <si>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</si>
  <si>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</si>
  <si>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</si>
  <si>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</si>
  <si>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</si>
  <si>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</si>
  <si>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</si>
  <si>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</si>
  <si>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</si>
  <si>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</si>
  <si>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</si>
  <si>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</si>
  <si>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</si>
  <si>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</si>
  <si>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</si>
  <si>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</si>
  <si>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</si>
  <si>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</si>
  <si>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</si>
  <si>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</si>
  <si>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</si>
  <si>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</si>
  <si>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</si>
  <si>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</si>
  <si>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</si>
  <si>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</si>
  <si>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</si>
  <si>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</si>
  <si>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</si>
  <si>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</si>
  <si>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</si>
  <si>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</si>
  <si>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</si>
  <si>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</si>
  <si>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</si>
  <si>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</si>
  <si>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</si>
  <si>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</si>
  <si>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</si>
  <si>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</si>
  <si>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</si>
  <si>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</si>
  <si>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</si>
  <si>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</si>
  <si>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</si>
  <si>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</si>
  <si>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</si>
  <si>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</si>
  <si>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</si>
  <si>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</si>
  <si>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</si>
  <si>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</si>
  <si>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</si>
  <si>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</si>
  <si>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</si>
  <si>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</si>
  <si>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</si>
  <si>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</si>
  <si>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</si>
  <si>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</si>
  <si>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</si>
  <si>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</si>
  <si>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</si>
  <si>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</si>
  <si>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</si>
  <si>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</si>
  <si>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</si>
  <si>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</si>
  <si>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</si>
  <si>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</si>
  <si>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</si>
  <si>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</si>
  <si>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</si>
  <si>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</si>
  <si>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</si>
  <si>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</si>
  <si>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</si>
  <si>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</si>
  <si>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</si>
  <si>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</si>
  <si>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</si>
  <si>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</si>
  <si>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</si>
  <si>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</si>
  <si>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</si>
  <si>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</si>
  <si>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</si>
  <si>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</si>
  <si>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</si>
  <si>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</si>
  <si>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</si>
  <si>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</si>
  <si>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</si>
  <si>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</si>
  <si>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</si>
  <si>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</si>
  <si>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</si>
  <si>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</si>
  <si>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</si>
  <si>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</si>
  <si>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</si>
  <si>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</si>
  <si>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</si>
  <si>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</si>
  <si>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</si>
  <si>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</si>
  <si>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</si>
  <si>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</si>
  <si>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</si>
  <si>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</si>
  <si>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</si>
  <si>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</si>
  <si>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</si>
  <si>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</si>
  <si>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</si>
  <si>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</si>
  <si>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</si>
  <si>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</si>
  <si>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</si>
  <si>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Azul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</si>
  <si>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</si>
  <si>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</si>
  <si>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</si>
  <si>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</si>
  <si>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</si>
  <si>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</si>
  <si>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</si>
  <si>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</si>
  <si>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</si>
  <si>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</si>
  <si>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</si>
  <si>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</si>
  <si>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</si>
  <si>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</si>
  <si>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</si>
  <si>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</si>
  <si>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</si>
  <si>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</si>
  <si>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</si>
  <si>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</si>
  <si>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</si>
  <si>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</si>
  <si>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</si>
  <si>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</si>
  <si>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</si>
  <si>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</si>
  <si>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</si>
  <si>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</si>
  <si>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 xml:space="preserve">Hélvio Neves Guerra </t>
  </si>
  <si>
    <t>48500.004970/2021-11</t>
  </si>
  <si>
    <t>DSP  939/2021</t>
  </si>
  <si>
    <t>EUST - FR</t>
  </si>
  <si>
    <t>EUST - RB</t>
  </si>
  <si>
    <t>Covid Demais Componentes</t>
  </si>
  <si>
    <t>A3 ( 69 kV)</t>
  </si>
  <si>
    <t>01-20217418326380-24</t>
  </si>
  <si>
    <t>01-20217513095491-31</t>
  </si>
  <si>
    <t>01-20217663039799-56</t>
  </si>
  <si>
    <t>01-20217820470910-46</t>
  </si>
  <si>
    <t>01-20218058401416-74</t>
  </si>
  <si>
    <t>01-20218171456327-96</t>
  </si>
  <si>
    <t>01-20228339027573-0</t>
  </si>
  <si>
    <t>01-20228483466838-29</t>
  </si>
  <si>
    <t>01-20228640270447-60</t>
  </si>
  <si>
    <t>01-20228723188793-30</t>
  </si>
  <si>
    <t>01-20228888328460</t>
  </si>
  <si>
    <t>01-20229025731034-30</t>
  </si>
  <si>
    <t>01-20229166328451-94</t>
  </si>
  <si>
    <t>FORQUILHINHA - 69 kV (A)</t>
  </si>
  <si>
    <t>69</t>
  </si>
  <si>
    <t>Ofício nº 019/2022 de 31/08/22</t>
  </si>
  <si>
    <t>Diferimento de Parcela B</t>
  </si>
  <si>
    <t>Diferimento de Energia</t>
  </si>
  <si>
    <t>Repasse de ICMS</t>
  </si>
  <si>
    <t>Diferimento de PIS COFINS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</si>
  <si>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</si>
  <si>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</si>
  <si>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</si>
  <si>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</si>
  <si>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Reversão do Diferimento de Pis Cofins</t>
  </si>
  <si>
    <t>01-20229309989072-1</t>
  </si>
  <si>
    <t>COOPERATIVA PIONEIRA DE ELETRIFICAÇÃO - COOPERA</t>
  </si>
  <si>
    <t>Subvenção Baixa Densidade Carga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</si>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</sst>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9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_-&quot;R$&quot;\ * #,##0.00_-;\-&quot;R$&quot;\ * #,##0.00_-;_-&quot;R$&quot;\ * &quot;-&quot;??_-;_-@_-"/>
    <numFmt numFmtId="165" formatCode="_(* #,##0_);_(* \(#,##0\);_(* &quot;-&quot;_);_(@_)"/>
    <numFmt numFmtId="166" formatCode="_(&quot;R$ &quot;* #,##0.00_);_(&quot;R$ &quot;* \(#,##0.00\);_(&quot;R$ &quot;* &quot;-&quot;??_);_(@_)"/>
    <numFmt numFmtId="167" formatCode="_(* #,##0.00_);_(* \(#,##0.00\);_(* &quot;-&quot;??_);_(@_)"/>
    <numFmt numFmtId="168" formatCode="&quot;$&quot;#,##0_);[Red]\(&quot;$&quot;#,##0\)"/>
    <numFmt numFmtId="169" formatCode="_(* #,##0_);_(* \(#,##0\);_(* &quot;-&quot;??_);_(@_)"/>
    <numFmt numFmtId="170" formatCode="[$-416]mmm\-yy;@"/>
    <numFmt numFmtId="171" formatCode="_(* #,##0.0000_);_(* \(#,##0.0000\);_(* &quot;-&quot;??_);_(@_)"/>
    <numFmt numFmtId="172" formatCode="0.0000"/>
    <numFmt numFmtId="173" formatCode="0.000"/>
    <numFmt numFmtId="174" formatCode="#,##0.0_);\(#,##0.0\)"/>
    <numFmt numFmtId="175" formatCode="#,##0.000"/>
    <numFmt numFmtId="176" formatCode="m\-d\-\y\y"/>
    <numFmt numFmtId="177" formatCode="General_)"/>
    <numFmt numFmtId="178" formatCode="#\ ###\ ###\ ##0\ "/>
    <numFmt numFmtId="179" formatCode="yyyy"/>
    <numFmt numFmtId="180" formatCode="&quot;\&quot;#,##0.00;[Red]&quot;\&quot;\-#,##0.00"/>
    <numFmt numFmtId="181" formatCode="&quot;$&quot;#,##0\ ;\(&quot;$&quot;#,##0\)"/>
    <numFmt numFmtId="182" formatCode="\U\S\$#,##0.00;\(\U\S\$#,##0.00\)"/>
    <numFmt numFmtId="183" formatCode="_([$€]* #,##0.00_);_([$€]* \(#,##0.00\);_([$€]* &quot;-&quot;??_);_(@_)"/>
    <numFmt numFmtId="184" formatCode="_-* #,##0.0_-;\-* #,##0.0_-;_-* &quot;-&quot;??_-;_-@_-"/>
    <numFmt numFmtId="185" formatCode="#,#00"/>
    <numFmt numFmtId="186" formatCode="0.0%;_(&quot;-&quot;_)"/>
    <numFmt numFmtId="187" formatCode="\$#,"/>
    <numFmt numFmtId="188" formatCode="0.00_)"/>
    <numFmt numFmtId="189" formatCode="0.00%;\(0.00%\)"/>
    <numFmt numFmtId="190" formatCode="#,##0.00;\(#,##0.00\)"/>
    <numFmt numFmtId="191" formatCode="#,"/>
    <numFmt numFmtId="192" formatCode="#.##000"/>
    <numFmt numFmtId="193" formatCode="#.##0,"/>
    <numFmt numFmtId="194" formatCode="[$-416]mmmm\-yy;@"/>
    <numFmt numFmtId="195" formatCode="_(* #,##0.0000000_);_(* \(#,##0.0000000\);_(* &quot;-&quot;??_);_(@_)"/>
    <numFmt numFmtId="196" formatCode="000"/>
    <numFmt numFmtId="197" formatCode="_-&quot;$&quot;* #,##0_-;\-&quot;$&quot;* #,##0_-;_-&quot;$&quot;* &quot;-&quot;_-;_-@_-"/>
    <numFmt numFmtId="198" formatCode="_-&quot;$&quot;* #,##0.00_-;\-&quot;$&quot;* #,##0.00_-;_-&quot;$&quot;* &quot;-&quot;??_-;_-@_-"/>
    <numFmt numFmtId="199" formatCode="[Blue]General"/>
    <numFmt numFmtId="200" formatCode="#,##0.00&quot; $&quot;;\-#,##0.00&quot; $&quot;"/>
    <numFmt numFmtId="201" formatCode="_ * #,##0.00_ ;_ * \-#,##0.00_ ;_ * &quot;-&quot;??_ ;_ @_ "/>
    <numFmt numFmtId="202" formatCode="_-* #,##0.00\ &quot;kr&quot;_-;\-* #,##0.00\ &quot;kr&quot;_-;_-* &quot;-&quot;??\ &quot;kr&quot;_-;_-@_-"/>
    <numFmt numFmtId="203" formatCode="mm/yy"/>
    <numFmt numFmtId="204" formatCode="dd/mm/yy"/>
    <numFmt numFmtId="205" formatCode="###0;[Blue]\(###0\)"/>
    <numFmt numFmtId="206" formatCode="#,##0;[Blue]\(#,##0\)"/>
    <numFmt numFmtId="207" formatCode="#,##0.0;[Blue]\(#,##0.0\)"/>
    <numFmt numFmtId="208" formatCode="0%;[Red]\(0%\)"/>
    <numFmt numFmtId="209" formatCode="#,##0.0%;[Blue]\(#,##0.0%\)"/>
    <numFmt numFmtId="210" formatCode="0.0%;[Blue]\(0.0%\)"/>
    <numFmt numFmtId="211" formatCode="0.00%;[Red]\(0.00%\)"/>
    <numFmt numFmtId="212" formatCode="#,##0.0_);[Red]\(#,##0.0\)"/>
    <numFmt numFmtId="213" formatCode="&quot;R$&quot;\ #,##0.00"/>
    <numFmt numFmtId="214" formatCode="_(* #,##0.0_);_(* \(#,##0.0\);_(* &quot;-&quot;??_);_(@_)"/>
    <numFmt numFmtId="215" formatCode="_(* #,##0.000_);_(* \(#,##0.000\);_(* &quot;-&quot;??_);_(@_)"/>
    <numFmt numFmtId="216" formatCode="0.0%"/>
    <numFmt numFmtId="217" formatCode="_([$€]\ * #,##0.00_);_([$€]\ * \(#,##0.00\);_([$€]\ * &quot;-&quot;??_);_(@_)"/>
    <numFmt numFmtId="218" formatCode="_(* #,##0_)&quot;MWh&quot;;_(* \(#,##0\)&quot;MWh&quot;;_(* &quot;-&quot;??_)&quot;MWh&quot;;_(@_)"/>
    <numFmt numFmtId="219" formatCode="_([$€-2]* #,##0.00_);_([$€-2]* \(#,##0.00\);_([$€-2]* &quot;-&quot;??_)"/>
    <numFmt numFmtId="220" formatCode="_([$€-2]* #,##0.0000_);_([$€-2]* \(#,##0.0000\);_([$€-2]* &quot;-&quot;??_)"/>
    <numFmt numFmtId="221" formatCode="&quot;$&quot;#,##0_);\(&quot;$&quot;#,##0\)"/>
    <numFmt numFmtId="222" formatCode="_(* #,##0.0_);_(* \(#,##0.0\);_(* &quot;-&quot;?_);_(@_)"/>
    <numFmt numFmtId="223" formatCode="#,##0.00\ &quot;m³/d&quot;"/>
    <numFmt numFmtId="224" formatCode="0.000_)"/>
    <numFmt numFmtId="225" formatCode="#,##0_);[Red]\(#,##0\);"/>
    <numFmt numFmtId="226" formatCode="#,##0.0000_);[Red]\(#,##0.00000\)"/>
    <numFmt numFmtId="227" formatCode="&quot;$&quot;#,##0_);[Red]\(&quot;$&quot;#,##0\);"/>
    <numFmt numFmtId="228" formatCode="_(* #,##0.00_);_(* \(#,##0.00\);_(* \-??_);_(@_)"/>
    <numFmt numFmtId="229" formatCode=";;;"/>
    <numFmt numFmtId="230" formatCode="#,##0.00\ &quot;Pts&quot;;\-#,##0.00\ &quot;Pts&quot;"/>
    <numFmt numFmtId="231" formatCode="0.00000000"/>
    <numFmt numFmtId="232" formatCode="#,##0.00&quot;F&quot;_);\(#,##0.00&quot;F&quot;\)"/>
    <numFmt numFmtId="233" formatCode="0\ 000\ 000\ 000"/>
    <numFmt numFmtId="234" formatCode="#,##0;\(#,##0\)"/>
    <numFmt numFmtId="235" formatCode="_-* #,##0.00\ &quot;Kč&quot;_-;\-* #,##0.00\ &quot;Kč&quot;_-;_-* &quot;-&quot;??\ &quot;Kč&quot;_-;_-@_-"/>
    <numFmt numFmtId="236" formatCode="_ * #,##0_ ;_ * \-#,##0_ ;_ * &quot;-&quot;_ ;_ @_ "/>
    <numFmt numFmtId="237" formatCode="0.0000000000"/>
    <numFmt numFmtId="238" formatCode="_(&quot;N$&quot;* #,##0_);_(&quot;N$&quot;* \(#,##0\);_(&quot;N$&quot;* &quot;-&quot;_);_(@_)"/>
    <numFmt numFmtId="239" formatCode="_(&quot;N$&quot;* #,##0.00_);_(&quot;N$&quot;* \(#,##0.00\);_(&quot;N$&quot;* &quot;-&quot;??_);_(@_)"/>
    <numFmt numFmtId="240" formatCode="&quot;$&quot;#,##0.00_);\(&quot;$&quot;#,##0.00\)"/>
    <numFmt numFmtId="241" formatCode="&quot;$&quot;#,##0.00_);[Red]\(&quot;$&quot;#,##0.00\)"/>
    <numFmt numFmtId="242" formatCode="#,##0.0%;[Red]\(#,##0.0%\)"/>
    <numFmt numFmtId="243" formatCode="0.000000000"/>
    <numFmt numFmtId="244" formatCode="0_)%;[Red]\(0\)%"/>
    <numFmt numFmtId="245" formatCode="0.0\ %;[Red]\(0.0\)%"/>
    <numFmt numFmtId="246" formatCode="0.00\ %;[Red]\(0.00\)%"/>
    <numFmt numFmtId="247" formatCode="_(&quot;$&quot;* #,##0_);_(&quot;$&quot;* \(#,##0\);_(&quot;$&quot;* &quot;-&quot;_);_(@_)"/>
    <numFmt numFmtId="248" formatCode="_(&quot;$&quot;* #,##0.00_);_(&quot;$&quot;* \(#,##0.00\);_(&quot;$&quot;* &quot;-&quot;??_);_(@_)"/>
    <numFmt numFmtId="249" formatCode="%#,#00"/>
    <numFmt numFmtId="250" formatCode="_-* #,##0.00\ _€_-;\-* #,##0.00\ _€_-;_-* &quot;-&quot;??\ _€_-;_-@_-"/>
    <numFmt numFmtId="251" formatCode="0000"/>
    <numFmt numFmtId="252" formatCode="00"/>
    <numFmt numFmtId="253" formatCode="0.0"/>
    <numFmt numFmtId="254" formatCode="_(* #,##0.00000_);_(* \(#,##0.00000\);_(* &quot;-&quot;??_);_(@_)"/>
    <numFmt numFmtId="255" formatCode="_(* #,##0.00_)&quot;MWh&quot;;_(* \(#,##0.00\)&quot;MWh&quot;;_(* &quot;-&quot;??_)&quot;MWh&quot;;_(@_)"/>
    <numFmt numFmtId="256" formatCode="dd\ &quot;de&quot;\ mmmm\ &quot;de&quot;\ yyyy"/>
    <numFmt numFmtId="257" formatCode="mmmm\ &quot;de&quot;\ yyyy"/>
    <numFmt numFmtId="258" formatCode="mmmm/yyyy"/>
    <numFmt numFmtId="259" formatCode="d&quot; de &quot;mmmm&quot; de &quot;yyyy"/>
    <numFmt numFmtId="260" formatCode="#,###.00%"/>
    <numFmt numFmtId="261" formatCode="#,##0.00%"/>
    <numFmt numFmtId="262" formatCode="dd/mm/yy\ hh:mm"/>
    <numFmt numFmtId="263" formatCode="d/m;@"/>
    <numFmt numFmtId="264" formatCode="_-* #,##0.0000_-;\-* #,##0.0000_-;_-* &quot;-&quot;??_-;_-@_-"/>
    <numFmt numFmtId="265" formatCode="_-* #,##0.00000_-;\-* #,##0.00000_-;_-* &quot;-&quot;??_-;_-@_-"/>
    <numFmt numFmtId="266" formatCode="dd\-mmm\-yy"/>
    <numFmt numFmtId="267" formatCode="0.000%"/>
    <numFmt numFmtId="268" formatCode="#,##0.00;\ \(#,##0.00\);;@"/>
    <numFmt numFmtId="269" formatCode="#,##0.00;\ \(#,##0.00\);0.00;@"/>
    <numFmt numFmtId="270" formatCode="#,##0.0000;\ \(#,##0.0000\);0.0000;@"/>
    <numFmt numFmtId="271" formatCode="_(* #,##0.000000_);_(* \(#,##0.000000\);_(* &quot;-&quot;??_);_(@_)"/>
    <numFmt numFmtId="272" formatCode="0.0000%"/>
    <numFmt numFmtId="273" formatCode="_-* #,##0_-;\-* #,##0_-;_-* &quot;-&quot;??_-;_-@_-"/>
    <numFmt numFmtId="274" formatCode="_(&quot;R$ &quot;* #,##0.0000_);_(&quot;R$ &quot;* \(#,##0.0000\);_(&quot;R$ &quot;* &quot;-&quot;??_);_(@_)"/>
    <numFmt numFmtId="275" formatCode="&quot;R$&quot;#,##0.00"/>
    <numFmt numFmtId="276" formatCode="#,##0_ ;[Red]\-#,##0\ "/>
    <numFmt numFmtId="277" formatCode="_(&quot;R$&quot;* #,##0.00_);_(&quot;R$&quot;* \(#,##0.00\);_(&quot;R$&quot;* &quot;-&quot;??_);_(@_)"/>
    <numFmt numFmtId="278" formatCode="[$-409]dd/mm/yyyy"/>
    <numFmt numFmtId="279" formatCode="mmm/yyyy"/>
  </numFmts>
  <fonts count="333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sz val="12"/>
      <color rgb="FFFF000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6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7" fontId="61" fillId="0" borderId="0">
      <alignment vertical="top"/>
    </xf>
    <xf numFmtId="178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79" fontId="43" fillId="0" borderId="0" applyFill="0" applyBorder="0" applyAlignment="0"/>
    <xf numFmtId="177" fontId="66" fillId="0" borderId="0" applyFill="0" applyBorder="0" applyAlignment="0"/>
    <xf numFmtId="173" fontId="66" fillId="0" borderId="0" applyFill="0" applyBorder="0" applyAlignment="0"/>
    <xf numFmtId="174" fontId="48" fillId="0" borderId="0" applyFill="0" applyBorder="0" applyAlignment="0"/>
    <xf numFmtId="180" fontId="33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7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7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7" fontId="115" fillId="0" borderId="0" applyFont="0" applyFill="0" applyBorder="0" applyAlignment="0" applyProtection="0"/>
    <xf numFmtId="177" fontId="66" fillId="0" borderId="0" applyFont="0" applyFill="0" applyBorder="0" applyAlignment="0" applyProtection="0"/>
    <xf numFmtId="198" fontId="115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64" fillId="0" borderId="0">
      <protection locked="0"/>
    </xf>
    <xf numFmtId="168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2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3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4" fontId="33" fillId="0" borderId="0">
      <protection locked="0"/>
    </xf>
    <xf numFmtId="185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0" fontId="69" fillId="0" borderId="8" applyNumberFormat="0" applyFill="0" applyAlignment="0" applyProtection="0"/>
    <xf numFmtId="166" fontId="31" fillId="0" borderId="0" applyFont="0" applyFill="0" applyBorder="0" applyAlignment="0" applyProtection="0"/>
    <xf numFmtId="187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8" fontId="91" fillId="0" borderId="0"/>
    <xf numFmtId="189" fontId="92" fillId="0" borderId="0"/>
    <xf numFmtId="190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79" fontId="43" fillId="0" borderId="0" applyFill="0" applyBorder="0" applyAlignment="0"/>
    <xf numFmtId="177" fontId="66" fillId="0" borderId="0" applyFill="0" applyBorder="0" applyAlignment="0"/>
    <xf numFmtId="179" fontId="43" fillId="0" borderId="0" applyFill="0" applyBorder="0" applyAlignment="0"/>
    <xf numFmtId="0" fontId="43" fillId="0" borderId="0" applyFill="0" applyBorder="0" applyAlignment="0"/>
    <xf numFmtId="177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6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2" fontId="64" fillId="0" borderId="0">
      <protection locked="0"/>
    </xf>
    <xf numFmtId="193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6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199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7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200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66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2" fontId="33" fillId="0" borderId="0"/>
    <xf numFmtId="202" fontId="33" fillId="0" borderId="0"/>
    <xf numFmtId="202" fontId="33" fillId="0" borderId="0"/>
    <xf numFmtId="202" fontId="33" fillId="0" borderId="0"/>
    <xf numFmtId="189" fontId="119" fillId="0" borderId="0"/>
    <xf numFmtId="190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3" fontId="73" fillId="0" borderId="0"/>
    <xf numFmtId="183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69" fontId="33" fillId="0" borderId="0"/>
    <xf numFmtId="0" fontId="121" fillId="0" borderId="0"/>
    <xf numFmtId="0" fontId="33" fillId="0" borderId="0"/>
    <xf numFmtId="0" fontId="30" fillId="0" borderId="0"/>
    <xf numFmtId="169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7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6" fontId="44" fillId="0" borderId="0" applyFont="0" applyFill="0" applyBorder="0" applyAlignment="0" applyProtection="0"/>
    <xf numFmtId="205" fontId="127" fillId="0" borderId="0" applyFill="0" applyBorder="0" applyProtection="0">
      <alignment horizontal="right"/>
      <protection locked="0"/>
    </xf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6" fontId="127" fillId="0" borderId="0" applyFont="0" applyFill="0" applyBorder="0" applyAlignment="0"/>
    <xf numFmtId="207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8" fontId="119" fillId="0" borderId="0" applyFill="0" applyBorder="0" applyProtection="0">
      <alignment horizontal="right"/>
      <protection locked="0"/>
    </xf>
    <xf numFmtId="209" fontId="127" fillId="0" borderId="41" applyFont="0" applyFill="0" applyBorder="0" applyAlignment="0"/>
    <xf numFmtId="210" fontId="127" fillId="0" borderId="0" applyFill="0" applyBorder="0" applyProtection="0">
      <alignment horizontal="right"/>
      <protection locked="0"/>
    </xf>
    <xf numFmtId="211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7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8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6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2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12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7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2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166" fontId="27" fillId="0" borderId="0" applyFont="0" applyFill="0" applyBorder="0" applyAlignment="0" applyProtection="0"/>
    <xf numFmtId="0" fontId="89" fillId="31" borderId="0" applyNumberFormat="0" applyBorder="0" applyAlignment="0" applyProtection="0"/>
    <xf numFmtId="189" fontId="119" fillId="0" borderId="0"/>
    <xf numFmtId="189" fontId="119" fillId="0" borderId="0"/>
    <xf numFmtId="190" fontId="119" fillId="0" borderId="0"/>
    <xf numFmtId="190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7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6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09" fontId="127" fillId="0" borderId="56" applyFont="0" applyFill="0" applyBorder="0" applyAlignment="0"/>
    <xf numFmtId="166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6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09" fontId="127" fillId="0" borderId="62" applyFont="0" applyFill="0" applyBorder="0" applyAlignment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6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6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09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6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09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6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09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09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09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6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6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6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6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09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8" fontId="92" fillId="0" borderId="0" applyFill="0" applyBorder="0" applyProtection="0">
      <alignment horizontal="right"/>
      <protection locked="0"/>
    </xf>
    <xf numFmtId="211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6" fontId="3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86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09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09" fontId="127" fillId="0" borderId="85" applyFont="0" applyFill="0" applyBorder="0" applyAlignment="0"/>
    <xf numFmtId="209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6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6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1" fontId="64" fillId="0" borderId="0">
      <protection locked="0"/>
    </xf>
    <xf numFmtId="191" fontId="64" fillId="0" borderId="0">
      <protection locked="0"/>
    </xf>
    <xf numFmtId="191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20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3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20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4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20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5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20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7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20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219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20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1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20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12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20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6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20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0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20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219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20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4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20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1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20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2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19" fontId="53" fillId="17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3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3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6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3" fontId="33" fillId="0" borderId="0"/>
    <xf numFmtId="180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172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7" fontId="158" fillId="0" borderId="0">
      <alignment horizontal="right"/>
    </xf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20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19" fontId="63" fillId="5" borderId="0" applyNumberFormat="0" applyBorder="0" applyAlignment="0" applyProtection="0"/>
    <xf numFmtId="221" fontId="122" fillId="0" borderId="63" applyAlignment="0" applyProtection="0"/>
    <xf numFmtId="220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79" fontId="33" fillId="0" borderId="0" applyFill="0" applyBorder="0" applyAlignment="0"/>
    <xf numFmtId="174" fontId="47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80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219" fontId="67" fillId="26" borderId="93" applyNumberFormat="0" applyAlignment="0" applyProtection="0"/>
    <xf numFmtId="220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19" fontId="67" fillId="26" borderId="93" applyNumberFormat="0" applyAlignment="0" applyProtection="0"/>
    <xf numFmtId="222" fontId="33" fillId="0" borderId="0" applyFont="0" applyFill="0" applyBorder="0" applyAlignment="0" applyProtection="0"/>
    <xf numFmtId="223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4" fontId="161" fillId="0" borderId="0"/>
    <xf numFmtId="224" fontId="161" fillId="0" borderId="0"/>
    <xf numFmtId="212" fontId="127" fillId="0" borderId="0" applyFill="0" applyBorder="0" applyAlignment="0" applyProtection="0"/>
    <xf numFmtId="40" fontId="127" fillId="0" borderId="0" applyFill="0" applyBorder="0" applyAlignment="0" applyProtection="0"/>
    <xf numFmtId="225" fontId="127" fillId="82" borderId="0" applyFill="0" applyBorder="0" applyAlignment="0">
      <alignment vertical="top"/>
    </xf>
    <xf numFmtId="226" fontId="127" fillId="0" borderId="0" applyFill="0" applyBorder="0" applyAlignment="0" applyProtection="0"/>
    <xf numFmtId="179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5" fontId="38" fillId="0" borderId="0" applyProtection="0"/>
    <xf numFmtId="222" fontId="38" fillId="0" borderId="0" applyProtection="0"/>
    <xf numFmtId="167" fontId="38" fillId="0" borderId="0" applyProtection="0"/>
    <xf numFmtId="165" fontId="86" fillId="0" borderId="0" applyProtection="0"/>
    <xf numFmtId="222" fontId="86" fillId="0" borderId="0" applyProtection="0"/>
    <xf numFmtId="167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167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7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1" fontId="72" fillId="0" borderId="0" applyFont="0" applyFill="0" applyBorder="0" applyAlignment="0" applyProtection="0"/>
    <xf numFmtId="181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2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20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8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20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19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20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20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20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5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20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16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19" fontId="53" fillId="21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219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3" fontId="33" fillId="0" borderId="0" applyFont="0" applyFill="0" applyBorder="0" applyAlignment="0" applyProtection="0"/>
    <xf numFmtId="219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228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4" fontId="33" fillId="0" borderId="0">
      <protection locked="0"/>
    </xf>
    <xf numFmtId="185" fontId="64" fillId="0" borderId="0">
      <protection locked="0"/>
    </xf>
    <xf numFmtId="185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3" fontId="85" fillId="0" borderId="0" applyNumberFormat="0" applyFill="0" applyBorder="0" applyAlignment="0" applyProtection="0"/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186" fontId="33" fillId="0" borderId="0">
      <protection locked="0"/>
    </xf>
    <xf numFmtId="229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0" fontId="33" fillId="0" borderId="0" applyNumberFormat="0" applyFill="0" applyBorder="0" applyAlignment="0" applyProtection="0"/>
    <xf numFmtId="230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1" fontId="141" fillId="0" borderId="0"/>
    <xf numFmtId="231" fontId="141" fillId="0" borderId="0"/>
    <xf numFmtId="231" fontId="141" fillId="0" borderId="0"/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4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5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6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51" fillId="0" borderId="0" applyFont="0" applyFill="0" applyBorder="0" applyAlignment="0" applyProtection="0"/>
    <xf numFmtId="187" fontId="64" fillId="0" borderId="0">
      <protection locked="0"/>
    </xf>
    <xf numFmtId="187" fontId="64" fillId="0" borderId="0">
      <protection locked="0"/>
    </xf>
    <xf numFmtId="238" fontId="33" fillId="0" borderId="0" applyFont="0" applyFill="0" applyBorder="0" applyAlignment="0" applyProtection="0"/>
    <xf numFmtId="239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147" fillId="0" borderId="0" applyProtection="0"/>
    <xf numFmtId="240" fontId="147" fillId="0" borderId="0" applyProtection="0"/>
    <xf numFmtId="241" fontId="147" fillId="0" borderId="0" applyProtection="0"/>
    <xf numFmtId="168" fontId="147" fillId="0" borderId="0" applyProtection="0"/>
    <xf numFmtId="240" fontId="147" fillId="0" borderId="0" applyProtection="0"/>
    <xf numFmtId="241" fontId="147" fillId="0" borderId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20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219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42" fontId="33" fillId="0" borderId="0"/>
    <xf numFmtId="232" fontId="141" fillId="0" borderId="0"/>
    <xf numFmtId="232" fontId="141" fillId="0" borderId="0"/>
    <xf numFmtId="232" fontId="141" fillId="0" borderId="0"/>
    <xf numFmtId="243" fontId="141" fillId="0" borderId="0">
      <alignment horizontal="right"/>
    </xf>
    <xf numFmtId="243" fontId="141" fillId="0" borderId="0">
      <alignment horizontal="right"/>
    </xf>
    <xf numFmtId="243" fontId="141" fillId="0" borderId="0">
      <alignment horizontal="right"/>
    </xf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0" fontId="31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219" fontId="22" fillId="0" borderId="0"/>
    <xf numFmtId="219" fontId="22" fillId="0" borderId="0"/>
    <xf numFmtId="219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33" fillId="0" borderId="0"/>
    <xf numFmtId="219" fontId="73" fillId="0" borderId="0"/>
    <xf numFmtId="219" fontId="73" fillId="0" borderId="0"/>
    <xf numFmtId="219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19" fontId="33" fillId="0" borderId="0"/>
    <xf numFmtId="0" fontId="33" fillId="0" borderId="0"/>
    <xf numFmtId="220" fontId="33" fillId="0" borderId="0"/>
    <xf numFmtId="0" fontId="33" fillId="0" borderId="0"/>
    <xf numFmtId="0" fontId="33" fillId="0" borderId="0"/>
    <xf numFmtId="219" fontId="33" fillId="0" borderId="0"/>
    <xf numFmtId="220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0" fontId="33" fillId="0" borderId="0"/>
    <xf numFmtId="219" fontId="33" fillId="0" borderId="0"/>
    <xf numFmtId="0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19" fontId="33" fillId="0" borderId="0"/>
    <xf numFmtId="219" fontId="33" fillId="0" borderId="0"/>
    <xf numFmtId="219" fontId="33" fillId="0" borderId="0"/>
    <xf numFmtId="219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0" fontId="22" fillId="0" borderId="0"/>
    <xf numFmtId="0" fontId="73" fillId="0" borderId="0"/>
    <xf numFmtId="220" fontId="73" fillId="0" borderId="0"/>
    <xf numFmtId="219" fontId="33" fillId="0" borderId="0"/>
    <xf numFmtId="0" fontId="33" fillId="0" borderId="0"/>
    <xf numFmtId="220" fontId="33" fillId="0" borderId="0"/>
    <xf numFmtId="219" fontId="33" fillId="0" borderId="0"/>
    <xf numFmtId="220" fontId="33" fillId="0" borderId="0"/>
    <xf numFmtId="219" fontId="33" fillId="0" borderId="0"/>
    <xf numFmtId="219" fontId="33" fillId="0" borderId="0"/>
    <xf numFmtId="219" fontId="33" fillId="0" borderId="0"/>
    <xf numFmtId="183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20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219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7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4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5" fontId="127" fillId="82" borderId="0" applyFill="0" applyBorder="0" applyAlignment="0" applyProtection="0">
      <alignment vertical="top"/>
    </xf>
    <xf numFmtId="246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247" fontId="147" fillId="0" borderId="0" applyProtection="0"/>
    <xf numFmtId="248" fontId="147" fillId="0" borderId="0" applyProtection="0"/>
    <xf numFmtId="173" fontId="147" fillId="0" borderId="0" applyProtection="0"/>
    <xf numFmtId="10" fontId="72" fillId="0" borderId="0" applyFont="0" applyFill="0" applyBorder="0" applyAlignment="0" applyProtection="0"/>
    <xf numFmtId="249" fontId="64" fillId="0" borderId="0">
      <protection locked="0"/>
    </xf>
    <xf numFmtId="192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79" fontId="33" fillId="0" borderId="0" applyFill="0" applyBorder="0" applyAlignment="0"/>
    <xf numFmtId="179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0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19" fontId="93" fillId="26" borderId="98" applyNumberFormat="0" applyAlignment="0" applyProtection="0"/>
    <xf numFmtId="220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219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1" fontId="96" fillId="0" borderId="0">
      <protection locked="0"/>
    </xf>
    <xf numFmtId="191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120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50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5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219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3" fontId="102" fillId="0" borderId="0" applyNumberFormat="0" applyFill="0" applyBorder="0" applyAlignment="0" applyProtection="0"/>
    <xf numFmtId="219" fontId="104" fillId="0" borderId="25" applyNumberFormat="0" applyFill="0" applyAlignment="0" applyProtection="0"/>
    <xf numFmtId="220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4" fillId="0" borderId="25" applyNumberFormat="0" applyFill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5" fillId="0" borderId="26" applyNumberFormat="0" applyFill="0" applyAlignment="0" applyProtection="0"/>
    <xf numFmtId="220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105" fillId="0" borderId="26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20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219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219" fontId="102" fillId="0" borderId="0" applyNumberFormat="0" applyFill="0" applyBorder="0" applyAlignment="0" applyProtection="0"/>
    <xf numFmtId="191" fontId="165" fillId="0" borderId="0">
      <protection locked="0"/>
    </xf>
    <xf numFmtId="191" fontId="165" fillId="0" borderId="0">
      <protection locked="0"/>
    </xf>
    <xf numFmtId="0" fontId="33" fillId="91" borderId="0"/>
    <xf numFmtId="0" fontId="184" fillId="26" borderId="10"/>
    <xf numFmtId="177" fontId="197" fillId="0" borderId="0">
      <alignment horizontal="left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1" fontId="33" fillId="0" borderId="60" applyFont="0" applyFill="0" applyBorder="0" applyProtection="0">
      <alignment horizontal="center"/>
      <protection locked="0"/>
    </xf>
    <xf numFmtId="252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196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88" fontId="147" fillId="0" borderId="0" applyFont="0" applyFill="0" applyBorder="0" applyAlignment="0" applyProtection="0"/>
    <xf numFmtId="188" fontId="147" fillId="0" borderId="0" applyFont="0" applyFill="0" applyBorder="0" applyAlignment="0" applyProtection="0"/>
    <xf numFmtId="20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4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7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09" fontId="127" fillId="0" borderId="110" applyFont="0" applyFill="0" applyBorder="0" applyAlignment="0"/>
    <xf numFmtId="209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7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82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7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6" fontId="44" fillId="41" borderId="0" xfId="907" applyNumberFormat="1" applyFont="1" applyFill="1"/>
    <xf numFmtId="166" fontId="138" fillId="41" borderId="0" xfId="1033" applyFont="1" applyFill="1" applyBorder="1"/>
    <xf numFmtId="166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6" fontId="44" fillId="41" borderId="0" xfId="815" applyFont="1" applyFill="1" applyBorder="1" applyAlignment="1" applyProtection="1"/>
    <xf numFmtId="166" fontId="39" fillId="41" borderId="0" xfId="907" applyNumberFormat="1" applyFont="1" applyFill="1" applyProtection="1">
      <protection hidden="1"/>
    </xf>
    <xf numFmtId="166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6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6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6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6" fontId="111" fillId="41" borderId="0" xfId="815" applyFont="1" applyFill="1" applyBorder="1"/>
    <xf numFmtId="216" fontId="44" fillId="33" borderId="0" xfId="1095" applyNumberFormat="1" applyFont="1" applyFill="1" applyBorder="1" applyAlignment="1">
      <alignment horizontal="center"/>
    </xf>
    <xf numFmtId="166" fontId="44" fillId="33" borderId="0" xfId="815" applyFont="1" applyFill="1" applyBorder="1"/>
    <xf numFmtId="216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6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6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1" fontId="33" fillId="0" borderId="0" xfId="863" applyNumberFormat="1" applyFont="1"/>
    <xf numFmtId="254" fontId="33" fillId="0" borderId="0" xfId="863" applyNumberFormat="1" applyFont="1"/>
    <xf numFmtId="0" fontId="206" fillId="0" borderId="0" xfId="0" applyFont="1"/>
    <xf numFmtId="167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6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6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3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7" fontId="206" fillId="45" borderId="0" xfId="863" applyFont="1" applyFill="1" applyBorder="1"/>
    <xf numFmtId="167" fontId="206" fillId="41" borderId="0" xfId="863" applyFont="1" applyFill="1" applyBorder="1"/>
    <xf numFmtId="167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7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7" fontId="206" fillId="41" borderId="0" xfId="43185" applyNumberFormat="1" applyFont="1" applyFill="1" applyBorder="1" applyAlignment="1" applyProtection="1">
      <alignment horizontal="right"/>
      <protection locked="0"/>
    </xf>
    <xf numFmtId="166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4" fontId="206" fillId="0" borderId="0" xfId="43184" applyFont="1" applyBorder="1"/>
    <xf numFmtId="43" fontId="206" fillId="0" borderId="0" xfId="2697" applyNumberFormat="1" applyFont="1"/>
    <xf numFmtId="164" fontId="206" fillId="0" borderId="0" xfId="2697" applyNumberFormat="1" applyFont="1"/>
    <xf numFmtId="164" fontId="210" fillId="0" borderId="0" xfId="2697" applyNumberFormat="1" applyFont="1"/>
    <xf numFmtId="166" fontId="206" fillId="0" borderId="0" xfId="815" applyFont="1"/>
    <xf numFmtId="166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6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4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6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4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69" fontId="206" fillId="0" borderId="0" xfId="863" applyNumberFormat="1" applyFont="1" applyBorder="1"/>
    <xf numFmtId="43" fontId="206" fillId="57" borderId="0" xfId="863" applyNumberFormat="1" applyFont="1" applyFill="1" applyBorder="1"/>
    <xf numFmtId="166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5" fontId="209" fillId="0" borderId="0" xfId="907" applyNumberFormat="1" applyFont="1"/>
    <xf numFmtId="167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7" fontId="206" fillId="0" borderId="0" xfId="863" applyFont="1" applyBorder="1"/>
    <xf numFmtId="43" fontId="206" fillId="0" borderId="0" xfId="0" applyNumberFormat="1" applyFont="1"/>
    <xf numFmtId="164" fontId="206" fillId="0" borderId="0" xfId="0" applyNumberFormat="1" applyFont="1"/>
    <xf numFmtId="166" fontId="206" fillId="0" borderId="0" xfId="0" applyNumberFormat="1" applyFont="1"/>
    <xf numFmtId="0" fontId="206" fillId="0" borderId="0" xfId="907" applyFont="1" applyAlignment="1">
      <alignment horizontal="left" indent="2"/>
    </xf>
    <xf numFmtId="218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7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69" fontId="206" fillId="33" borderId="0" xfId="863" applyNumberFormat="1" applyFont="1" applyFill="1" applyAlignment="1">
      <alignment vertical="center"/>
    </xf>
    <xf numFmtId="169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5" fontId="206" fillId="0" borderId="0" xfId="863" applyNumberFormat="1" applyFont="1" applyFill="1" applyBorder="1" applyAlignment="1">
      <alignment vertical="center"/>
    </xf>
    <xf numFmtId="167" fontId="209" fillId="33" borderId="0" xfId="831" applyNumberFormat="1" applyFont="1" applyFill="1" applyAlignment="1">
      <alignment vertical="center"/>
    </xf>
    <xf numFmtId="169" fontId="209" fillId="33" borderId="0" xfId="863" applyNumberFormat="1" applyFont="1" applyFill="1" applyBorder="1" applyAlignment="1">
      <alignment vertical="center"/>
    </xf>
    <xf numFmtId="167" fontId="209" fillId="33" borderId="0" xfId="863" applyFont="1" applyFill="1" applyBorder="1" applyAlignment="1">
      <alignment vertical="center"/>
    </xf>
    <xf numFmtId="175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69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69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7" fontId="209" fillId="41" borderId="0" xfId="863" applyFont="1" applyFill="1" applyBorder="1"/>
    <xf numFmtId="167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69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7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7" fontId="209" fillId="54" borderId="0" xfId="903" applyFont="1" applyFill="1" applyBorder="1" applyAlignment="1">
      <alignment horizontal="right"/>
    </xf>
    <xf numFmtId="167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6" fontId="206" fillId="0" borderId="0" xfId="815" applyFont="1" applyFill="1"/>
    <xf numFmtId="167" fontId="206" fillId="54" borderId="0" xfId="903" applyFont="1" applyFill="1" applyBorder="1" applyAlignment="1">
      <alignment horizontal="left" vertical="top"/>
    </xf>
    <xf numFmtId="214" fontId="206" fillId="54" borderId="0" xfId="903" applyNumberFormat="1" applyFont="1" applyFill="1" applyBorder="1" applyAlignment="1">
      <alignment horizontal="right"/>
    </xf>
    <xf numFmtId="167" fontId="206" fillId="41" borderId="0" xfId="903" applyFont="1" applyFill="1" applyBorder="1" applyAlignment="1">
      <alignment horizontal="left" vertical="top" wrapText="1"/>
    </xf>
    <xf numFmtId="166" fontId="206" fillId="0" borderId="0" xfId="815" applyFont="1" applyFill="1" applyBorder="1" applyAlignment="1">
      <alignment horizontal="right"/>
    </xf>
    <xf numFmtId="166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6" fontId="206" fillId="0" borderId="0" xfId="815" applyFont="1" applyAlignment="1">
      <alignment vertical="center"/>
    </xf>
    <xf numFmtId="166" fontId="206" fillId="41" borderId="20" xfId="815" applyFont="1" applyFill="1" applyBorder="1"/>
    <xf numFmtId="196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7" fontId="206" fillId="41" borderId="0" xfId="863" applyFont="1" applyFill="1"/>
    <xf numFmtId="167" fontId="206" fillId="41" borderId="0" xfId="863" applyFont="1" applyFill="1" applyAlignment="1">
      <alignment vertical="center"/>
    </xf>
    <xf numFmtId="166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6" fontId="206" fillId="0" borderId="20" xfId="815" applyFont="1" applyBorder="1"/>
    <xf numFmtId="166" fontId="206" fillId="0" borderId="20" xfId="815" applyFont="1" applyFill="1" applyBorder="1"/>
    <xf numFmtId="166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4" fontId="206" fillId="46" borderId="0" xfId="2697" applyNumberFormat="1" applyFont="1" applyFill="1"/>
    <xf numFmtId="167" fontId="0" fillId="0" borderId="0" xfId="863" applyFont="1"/>
    <xf numFmtId="167" fontId="31" fillId="0" borderId="0" xfId="863" applyFont="1"/>
    <xf numFmtId="167" fontId="232" fillId="0" borderId="0" xfId="863" applyFont="1"/>
    <xf numFmtId="0" fontId="233" fillId="0" borderId="122" xfId="0" applyFont="1" applyBorder="1"/>
    <xf numFmtId="167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7" fontId="233" fillId="62" borderId="122" xfId="863" applyFont="1" applyFill="1" applyBorder="1"/>
    <xf numFmtId="14" fontId="233" fillId="62" borderId="122" xfId="0" applyNumberFormat="1" applyFont="1" applyFill="1" applyBorder="1"/>
    <xf numFmtId="167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7" fontId="234" fillId="0" borderId="0" xfId="0" applyNumberFormat="1" applyFont="1"/>
    <xf numFmtId="167" fontId="0" fillId="0" borderId="0" xfId="863" applyFont="1" applyBorder="1"/>
    <xf numFmtId="10" fontId="0" fillId="0" borderId="0" xfId="847" applyNumberFormat="1" applyFont="1"/>
    <xf numFmtId="257" fontId="206" fillId="0" borderId="0" xfId="847" applyNumberFormat="1" applyFont="1" applyAlignment="1">
      <alignment horizontal="left"/>
    </xf>
    <xf numFmtId="256" fontId="206" fillId="0" borderId="0" xfId="847" applyNumberFormat="1" applyFont="1" applyAlignment="1">
      <alignment horizontal="left"/>
    </xf>
    <xf numFmtId="169" fontId="206" fillId="0" borderId="0" xfId="863" applyNumberFormat="1" applyFont="1" applyAlignment="1">
      <alignment horizontal="left" vertical="top"/>
    </xf>
    <xf numFmtId="169" fontId="206" fillId="41" borderId="0" xfId="863" applyNumberFormat="1" applyFont="1" applyFill="1" applyBorder="1" applyAlignment="1">
      <alignment horizontal="right"/>
    </xf>
    <xf numFmtId="261" fontId="206" fillId="0" borderId="0" xfId="847" applyNumberFormat="1" applyFont="1" applyBorder="1"/>
    <xf numFmtId="261" fontId="206" fillId="0" borderId="0" xfId="847" applyNumberFormat="1" applyFont="1" applyFill="1" applyBorder="1" applyAlignment="1">
      <alignment horizontal="right"/>
    </xf>
    <xf numFmtId="261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2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6" fontId="206" fillId="0" borderId="0" xfId="801" applyNumberFormat="1" applyFont="1" applyBorder="1" applyAlignment="1" applyProtection="1"/>
    <xf numFmtId="166" fontId="206" fillId="0" borderId="0" xfId="815" applyFont="1" applyFill="1" applyBorder="1" applyAlignment="1">
      <alignment horizontal="right" indent="2"/>
    </xf>
    <xf numFmtId="166" fontId="206" fillId="0" borderId="0" xfId="815" applyFont="1" applyFill="1" applyBorder="1" applyAlignment="1">
      <alignment horizontal="right" indent="5"/>
    </xf>
    <xf numFmtId="166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0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6" fontId="209" fillId="0" borderId="0" xfId="0" applyNumberFormat="1" applyFont="1"/>
    <xf numFmtId="0" fontId="31" fillId="0" borderId="0" xfId="907"/>
    <xf numFmtId="170" fontId="31" fillId="0" borderId="10" xfId="907" applyNumberFormat="1" applyBorder="1" applyAlignment="1">
      <alignment horizontal="center"/>
    </xf>
    <xf numFmtId="167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6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7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6" fontId="34" fillId="0" borderId="0" xfId="815" applyFont="1" applyFill="1" applyBorder="1"/>
    <xf numFmtId="170" fontId="34" fillId="0" borderId="0" xfId="907" applyNumberFormat="1" applyFont="1"/>
    <xf numFmtId="0" fontId="147" fillId="41" borderId="0" xfId="907" applyFont="1" applyFill="1"/>
    <xf numFmtId="167" fontId="117" fillId="0" borderId="0" xfId="863" applyFont="1"/>
    <xf numFmtId="167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6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6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6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6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69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6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6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7" fontId="206" fillId="0" borderId="0" xfId="863" applyFont="1" applyFill="1" applyBorder="1" applyAlignment="1"/>
    <xf numFmtId="167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3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3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69" fontId="39" fillId="55" borderId="137" xfId="863" applyNumberFormat="1" applyFont="1" applyFill="1" applyBorder="1" applyAlignment="1">
      <alignment horizontal="center" vertical="center"/>
    </xf>
    <xf numFmtId="169" fontId="39" fillId="55" borderId="138" xfId="863" applyNumberFormat="1" applyFont="1" applyFill="1" applyBorder="1" applyAlignment="1">
      <alignment horizontal="center" vertical="center"/>
    </xf>
    <xf numFmtId="169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7" fontId="209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horizontal="center" vertical="center"/>
    </xf>
    <xf numFmtId="167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69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6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7" fontId="44" fillId="41" borderId="0" xfId="863" applyFont="1" applyFill="1" applyBorder="1" applyAlignment="1">
      <alignment horizontal="right"/>
    </xf>
    <xf numFmtId="0" fontId="221" fillId="0" borderId="0" xfId="0" applyFont="1"/>
    <xf numFmtId="167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7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0" fontId="251" fillId="0" borderId="0" xfId="1095" applyNumberFormat="1" applyFont="1" applyBorder="1" applyAlignment="1">
      <alignment horizontal="right" vertical="center"/>
    </xf>
    <xf numFmtId="166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7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7" fontId="251" fillId="0" borderId="0" xfId="43165" applyFont="1" applyAlignment="1"/>
    <xf numFmtId="167" fontId="251" fillId="0" borderId="0" xfId="43165" applyFont="1" applyAlignment="1">
      <alignment horizontal="left" vertical="center"/>
    </xf>
    <xf numFmtId="167" fontId="252" fillId="0" borderId="0" xfId="43165" applyFont="1" applyAlignment="1"/>
    <xf numFmtId="167" fontId="252" fillId="0" borderId="0" xfId="43165" applyFont="1" applyAlignment="1">
      <alignment horizontal="center"/>
    </xf>
    <xf numFmtId="164" fontId="206" fillId="0" borderId="0" xfId="815" applyNumberFormat="1" applyFont="1" applyBorder="1"/>
    <xf numFmtId="164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0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7" fontId="251" fillId="0" borderId="0" xfId="43165" applyFont="1" applyFill="1" applyBorder="1" applyAlignment="1">
      <alignment horizontal="center"/>
    </xf>
    <xf numFmtId="167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7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6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7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7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59" fontId="31" fillId="0" borderId="0" xfId="0" applyNumberFormat="1" applyFont="1"/>
    <xf numFmtId="167" fontId="31" fillId="0" borderId="0" xfId="863" applyFont="1" applyFill="1"/>
    <xf numFmtId="170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7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7" fontId="31" fillId="61" borderId="0" xfId="863" applyFont="1" applyFill="1"/>
    <xf numFmtId="167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7" fontId="206" fillId="109" borderId="0" xfId="863" applyFont="1" applyFill="1" applyBorder="1"/>
    <xf numFmtId="167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7" fontId="238" fillId="0" borderId="0" xfId="863" applyFont="1" applyFill="1" applyBorder="1" applyAlignment="1">
      <alignment horizontal="right" vertical="center" wrapText="1"/>
    </xf>
    <xf numFmtId="167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3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6" fontId="44" fillId="0" borderId="0" xfId="815" applyFont="1" applyFill="1" applyBorder="1" applyAlignment="1">
      <alignment horizontal="left"/>
    </xf>
    <xf numFmtId="166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6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29" fontId="31" fillId="109" borderId="0" xfId="863" applyNumberFormat="1" applyFont="1" applyFill="1" applyBorder="1" applyAlignment="1">
      <alignment horizontal="left"/>
    </xf>
    <xf numFmtId="229" fontId="31" fillId="109" borderId="0" xfId="0" applyNumberFormat="1" applyFont="1" applyFill="1"/>
    <xf numFmtId="229" fontId="31" fillId="109" borderId="0" xfId="0" applyNumberFormat="1" applyFont="1" applyFill="1" applyAlignment="1">
      <alignment horizontal="left"/>
    </xf>
    <xf numFmtId="229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4" fontId="31" fillId="0" borderId="0" xfId="863" applyNumberFormat="1" applyFont="1" applyFill="1" applyBorder="1"/>
    <xf numFmtId="167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7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7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7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0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4" fontId="31" fillId="0" borderId="0" xfId="0" applyNumberFormat="1" applyFont="1"/>
    <xf numFmtId="167" fontId="31" fillId="0" borderId="0" xfId="863" applyFont="1" applyFill="1" applyBorder="1" applyAlignment="1"/>
    <xf numFmtId="169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2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59" fontId="31" fillId="109" borderId="0" xfId="0" applyNumberFormat="1" applyFont="1" applyFill="1"/>
    <xf numFmtId="256" fontId="31" fillId="109" borderId="0" xfId="863" applyNumberFormat="1" applyFont="1" applyFill="1" applyBorder="1" applyAlignment="1">
      <alignment horizontal="left"/>
    </xf>
    <xf numFmtId="257" fontId="31" fillId="109" borderId="0" xfId="847" applyNumberFormat="1" applyFont="1" applyFill="1" applyBorder="1" applyAlignment="1">
      <alignment horizontal="left"/>
    </xf>
    <xf numFmtId="258" fontId="31" fillId="109" borderId="0" xfId="0" applyNumberFormat="1" applyFont="1" applyFill="1" applyAlignment="1">
      <alignment horizontal="left"/>
    </xf>
    <xf numFmtId="229" fontId="31" fillId="109" borderId="0" xfId="2697" applyNumberFormat="1" applyFill="1"/>
    <xf numFmtId="256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7" fontId="206" fillId="0" borderId="0" xfId="43185" applyNumberFormat="1" applyFont="1" applyFill="1" applyBorder="1" applyAlignment="1" applyProtection="1">
      <alignment horizontal="right"/>
      <protection locked="0"/>
    </xf>
    <xf numFmtId="167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29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6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6" fontId="39" fillId="0" borderId="0" xfId="815" applyFont="1" applyFill="1" applyBorder="1" applyAlignment="1">
      <alignment horizontal="center" vertical="center" wrapText="1"/>
    </xf>
    <xf numFmtId="166" fontId="44" fillId="0" borderId="0" xfId="815" applyFont="1" applyFill="1" applyBorder="1" applyAlignment="1">
      <alignment wrapText="1"/>
    </xf>
    <xf numFmtId="166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6" fontId="111" fillId="0" borderId="0" xfId="1823" applyNumberFormat="1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horizontal="center" vertical="center" wrapText="1"/>
    </xf>
    <xf numFmtId="166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1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8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8" fontId="44" fillId="0" borderId="20" xfId="2697" applyNumberFormat="1" applyFont="1" applyBorder="1" applyAlignment="1">
      <alignment vertical="center"/>
    </xf>
    <xf numFmtId="268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8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0" fontId="118" fillId="43" borderId="0" xfId="2697" applyNumberFormat="1" applyFont="1" applyFill="1" applyAlignment="1">
      <alignment horizontal="center" vertical="center" wrapText="1"/>
    </xf>
    <xf numFmtId="170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69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69" fontId="44" fillId="115" borderId="20" xfId="2697" applyNumberFormat="1" applyFont="1" applyFill="1" applyBorder="1" applyAlignment="1">
      <alignment vertical="center"/>
    </xf>
    <xf numFmtId="269" fontId="44" fillId="115" borderId="0" xfId="2697" applyNumberFormat="1" applyFont="1" applyFill="1" applyAlignment="1">
      <alignment vertical="center"/>
    </xf>
    <xf numFmtId="269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7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7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7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6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7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0" fontId="31" fillId="108" borderId="167" xfId="907" applyNumberFormat="1" applyFill="1" applyBorder="1"/>
    <xf numFmtId="170" fontId="31" fillId="108" borderId="170" xfId="907" applyNumberFormat="1" applyFill="1" applyBorder="1"/>
    <xf numFmtId="170" fontId="31" fillId="59" borderId="170" xfId="907" applyNumberFormat="1" applyFill="1" applyBorder="1"/>
    <xf numFmtId="170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0" fontId="31" fillId="108" borderId="172" xfId="907" applyNumberFormat="1" applyFill="1" applyBorder="1"/>
    <xf numFmtId="166" fontId="31" fillId="109" borderId="171" xfId="815" applyFont="1" applyFill="1" applyBorder="1" applyAlignment="1">
      <alignment horizontal="center" vertical="center"/>
    </xf>
    <xf numFmtId="167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7" fontId="209" fillId="41" borderId="178" xfId="863" applyFont="1" applyFill="1" applyBorder="1"/>
    <xf numFmtId="271" fontId="209" fillId="41" borderId="178" xfId="863" applyNumberFormat="1" applyFont="1" applyFill="1" applyBorder="1"/>
    <xf numFmtId="166" fontId="31" fillId="44" borderId="173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7" fontId="209" fillId="41" borderId="178" xfId="0" applyNumberFormat="1" applyFont="1" applyFill="1" applyBorder="1"/>
    <xf numFmtId="166" fontId="31" fillId="44" borderId="179" xfId="815" applyFont="1" applyFill="1" applyBorder="1" applyAlignment="1">
      <alignment horizontal="center" vertical="center"/>
    </xf>
    <xf numFmtId="166" fontId="31" fillId="44" borderId="180" xfId="815" applyFont="1" applyFill="1" applyBorder="1" applyAlignment="1">
      <alignment horizontal="center" vertical="center"/>
    </xf>
    <xf numFmtId="166" fontId="31" fillId="59" borderId="179" xfId="815" applyFont="1" applyFill="1" applyBorder="1" applyAlignment="1">
      <alignment horizontal="center" vertical="center"/>
    </xf>
    <xf numFmtId="166" fontId="31" fillId="59" borderId="173" xfId="815" applyFont="1" applyFill="1" applyBorder="1" applyAlignment="1">
      <alignment horizontal="center" vertical="center"/>
    </xf>
    <xf numFmtId="166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6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6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7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6" fontId="31" fillId="42" borderId="178" xfId="815" applyFont="1" applyFill="1" applyBorder="1" applyAlignment="1">
      <alignment horizontal="left"/>
    </xf>
    <xf numFmtId="167" fontId="44" fillId="0" borderId="0" xfId="0" applyNumberFormat="1" applyFont="1"/>
    <xf numFmtId="0" fontId="31" fillId="0" borderId="0" xfId="0" applyFont="1" applyAlignment="1">
      <alignment horizontal="right"/>
    </xf>
    <xf numFmtId="167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3" fontId="206" fillId="41" borderId="0" xfId="863" applyNumberFormat="1" applyFont="1" applyFill="1" applyBorder="1" applyAlignment="1">
      <alignment horizontal="right"/>
    </xf>
    <xf numFmtId="167" fontId="217" fillId="0" borderId="0" xfId="863" applyFont="1"/>
    <xf numFmtId="167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7" fontId="44" fillId="41" borderId="0" xfId="847" applyNumberFormat="1" applyFont="1" applyFill="1" applyBorder="1"/>
    <xf numFmtId="167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7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7" fontId="31" fillId="61" borderId="144" xfId="863" applyFont="1" applyFill="1" applyBorder="1" applyAlignment="1">
      <alignment horizontal="right"/>
    </xf>
    <xf numFmtId="167" fontId="31" fillId="61" borderId="0" xfId="863" applyFont="1" applyFill="1" applyBorder="1" applyAlignment="1">
      <alignment horizontal="right"/>
    </xf>
    <xf numFmtId="167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4" fontId="0" fillId="0" borderId="0" xfId="0" applyNumberFormat="1"/>
    <xf numFmtId="167" fontId="206" fillId="42" borderId="0" xfId="863" applyFont="1" applyFill="1"/>
    <xf numFmtId="166" fontId="206" fillId="109" borderId="0" xfId="815" applyFont="1" applyFill="1"/>
    <xf numFmtId="167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6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4" fontId="295" fillId="0" borderId="0" xfId="815" applyNumberFormat="1" applyFont="1" applyFill="1" applyBorder="1"/>
    <xf numFmtId="167" fontId="206" fillId="109" borderId="0" xfId="863" applyFont="1" applyFill="1"/>
    <xf numFmtId="0" fontId="294" fillId="0" borderId="20" xfId="907" applyFont="1" applyBorder="1"/>
    <xf numFmtId="216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4" fontId="295" fillId="42" borderId="0" xfId="815" applyNumberFormat="1" applyFont="1" applyFill="1"/>
    <xf numFmtId="167" fontId="209" fillId="0" borderId="0" xfId="863" applyFont="1"/>
    <xf numFmtId="166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6" fontId="206" fillId="109" borderId="0" xfId="815" applyFont="1" applyFill="1" applyBorder="1"/>
    <xf numFmtId="167" fontId="0" fillId="0" borderId="0" xfId="863" applyFont="1" applyFill="1"/>
    <xf numFmtId="167" fontId="0" fillId="109" borderId="0" xfId="863" applyFont="1" applyFill="1"/>
    <xf numFmtId="0" fontId="301" fillId="0" borderId="0" xfId="0" applyFont="1"/>
    <xf numFmtId="167" fontId="31" fillId="109" borderId="178" xfId="863" applyFont="1" applyFill="1" applyBorder="1"/>
    <xf numFmtId="167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6" fontId="31" fillId="109" borderId="183" xfId="815" applyFont="1" applyFill="1" applyBorder="1" applyAlignment="1">
      <alignment horizontal="center" vertical="center"/>
    </xf>
    <xf numFmtId="196" fontId="206" fillId="61" borderId="0" xfId="0" applyNumberFormat="1" applyFont="1" applyFill="1"/>
    <xf numFmtId="170" fontId="206" fillId="61" borderId="0" xfId="0" applyNumberFormat="1" applyFont="1" applyFill="1"/>
    <xf numFmtId="166" fontId="206" fillId="61" borderId="10" xfId="815" applyFont="1" applyFill="1" applyBorder="1"/>
    <xf numFmtId="166" fontId="206" fillId="61" borderId="29" xfId="815" applyFont="1" applyFill="1" applyBorder="1"/>
    <xf numFmtId="166" fontId="206" fillId="61" borderId="20" xfId="815" applyFont="1" applyFill="1" applyBorder="1"/>
    <xf numFmtId="166" fontId="206" fillId="61" borderId="0" xfId="815" applyFont="1" applyFill="1" applyBorder="1"/>
    <xf numFmtId="0" fontId="206" fillId="61" borderId="0" xfId="0" applyFont="1" applyFill="1"/>
    <xf numFmtId="166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4" fontId="44" fillId="41" borderId="0" xfId="863" applyNumberFormat="1" applyFont="1" applyFill="1" applyBorder="1"/>
    <xf numFmtId="4" fontId="206" fillId="0" borderId="0" xfId="0" applyNumberFormat="1" applyFont="1"/>
    <xf numFmtId="170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69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7" fontId="44" fillId="0" borderId="0" xfId="863" applyFont="1" applyFill="1" applyBorder="1"/>
    <xf numFmtId="268" fontId="44" fillId="0" borderId="0" xfId="2697" applyNumberFormat="1" applyFont="1" applyAlignment="1">
      <alignment vertical="center"/>
    </xf>
    <xf numFmtId="270" fontId="44" fillId="0" borderId="0" xfId="2697" applyNumberFormat="1" applyFont="1" applyAlignment="1">
      <alignment vertical="center"/>
    </xf>
    <xf numFmtId="269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3" fontId="251" fillId="115" borderId="0" xfId="0" applyNumberFormat="1" applyFont="1" applyFill="1" applyAlignment="1">
      <alignment vertical="center"/>
    </xf>
    <xf numFmtId="0" fontId="251" fillId="0" borderId="0" xfId="907" applyFont="1"/>
    <xf numFmtId="167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7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69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6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69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6" fontId="252" fillId="60" borderId="178" xfId="43439" applyNumberFormat="1" applyFont="1" applyFill="1" applyBorder="1" applyAlignment="1">
      <alignment vertical="center" wrapText="1"/>
    </xf>
    <xf numFmtId="169" fontId="251" fillId="41" borderId="0" xfId="863" applyNumberFormat="1" applyFont="1" applyFill="1" applyBorder="1" applyAlignment="1">
      <alignment vertical="center"/>
    </xf>
    <xf numFmtId="169" fontId="251" fillId="0" borderId="0" xfId="863" applyNumberFormat="1" applyFont="1" applyFill="1" applyBorder="1" applyAlignment="1">
      <alignment vertical="center" wrapText="1"/>
    </xf>
    <xf numFmtId="169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69" fontId="252" fillId="41" borderId="0" xfId="863" applyNumberFormat="1" applyFont="1" applyFill="1" applyBorder="1" applyAlignment="1">
      <alignment vertical="center"/>
    </xf>
    <xf numFmtId="169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1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3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3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7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3" fontId="251" fillId="0" borderId="0" xfId="0" applyNumberFormat="1" applyFont="1" applyAlignment="1">
      <alignment vertical="center"/>
    </xf>
    <xf numFmtId="278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1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1" fontId="251" fillId="41" borderId="0" xfId="907" applyNumberFormat="1" applyFont="1" applyFill="1"/>
    <xf numFmtId="261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7" fontId="251" fillId="41" borderId="0" xfId="863" applyFont="1" applyFill="1" applyBorder="1" applyAlignment="1">
      <alignment horizontal="center" vertical="center" wrapText="1"/>
    </xf>
    <xf numFmtId="261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7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7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3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7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4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4" fontId="206" fillId="45" borderId="178" xfId="863" applyNumberFormat="1" applyFont="1" applyFill="1" applyBorder="1"/>
    <xf numFmtId="164" fontId="213" fillId="43" borderId="144" xfId="863" applyNumberFormat="1" applyFont="1" applyFill="1" applyBorder="1"/>
    <xf numFmtId="164" fontId="209" fillId="45" borderId="144" xfId="863" applyNumberFormat="1" applyFont="1" applyFill="1" applyBorder="1"/>
    <xf numFmtId="167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7" fontId="206" fillId="45" borderId="166" xfId="863" applyFont="1" applyFill="1" applyBorder="1"/>
    <xf numFmtId="167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0" fontId="31" fillId="0" borderId="152" xfId="863" applyNumberFormat="1" applyFont="1" applyFill="1" applyBorder="1" applyAlignment="1">
      <alignment horizontal="center"/>
    </xf>
    <xf numFmtId="170" fontId="31" fillId="0" borderId="152" xfId="863" applyNumberFormat="1" applyFont="1" applyBorder="1" applyAlignment="1">
      <alignment horizontal="center"/>
    </xf>
    <xf numFmtId="170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69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7" fontId="31" fillId="0" borderId="178" xfId="863" applyFont="1" applyFill="1" applyBorder="1" applyAlignment="1"/>
    <xf numFmtId="167" fontId="31" fillId="44" borderId="178" xfId="863" applyFont="1" applyFill="1" applyBorder="1" applyAlignment="1">
      <alignment horizontal="right"/>
    </xf>
    <xf numFmtId="169" fontId="31" fillId="0" borderId="166" xfId="0" applyNumberFormat="1" applyFont="1" applyBorder="1"/>
    <xf numFmtId="167" fontId="31" fillId="0" borderId="166" xfId="863" applyFont="1" applyFill="1" applyBorder="1" applyAlignment="1"/>
    <xf numFmtId="167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6" fontId="31" fillId="0" borderId="166" xfId="815" applyFont="1" applyFill="1" applyBorder="1" applyAlignment="1">
      <alignment horizontal="left"/>
    </xf>
    <xf numFmtId="166" fontId="31" fillId="0" borderId="178" xfId="815" applyFont="1" applyFill="1" applyBorder="1" applyAlignment="1">
      <alignment horizontal="left"/>
    </xf>
    <xf numFmtId="164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0" fontId="31" fillId="109" borderId="144" xfId="907" applyNumberFormat="1" applyFill="1" applyBorder="1" applyAlignment="1">
      <alignment horizontal="left"/>
    </xf>
    <xf numFmtId="167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7" fontId="31" fillId="109" borderId="144" xfId="863" applyFont="1" applyFill="1" applyBorder="1" applyAlignment="1">
      <alignment horizontal="left"/>
    </xf>
    <xf numFmtId="229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29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29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29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29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6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1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1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6" fontId="209" fillId="59" borderId="149" xfId="0" applyNumberFormat="1" applyFont="1" applyFill="1" applyBorder="1" applyProtection="1">
      <protection hidden="1"/>
    </xf>
    <xf numFmtId="166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1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6" fontId="209" fillId="59" borderId="156" xfId="0" applyNumberFormat="1" applyFont="1" applyFill="1" applyBorder="1" applyProtection="1">
      <protection hidden="1"/>
    </xf>
    <xf numFmtId="166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1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6" fontId="209" fillId="59" borderId="178" xfId="0" applyNumberFormat="1" applyFont="1" applyFill="1" applyBorder="1" applyProtection="1">
      <protection hidden="1"/>
    </xf>
    <xf numFmtId="166" fontId="209" fillId="112" borderId="178" xfId="0" applyNumberFormat="1" applyFont="1" applyFill="1" applyBorder="1" applyProtection="1">
      <protection hidden="1"/>
    </xf>
    <xf numFmtId="261" fontId="209" fillId="59" borderId="156" xfId="847" applyNumberFormat="1" applyFont="1" applyFill="1" applyBorder="1" applyAlignment="1" applyProtection="1">
      <alignment horizontal="center"/>
      <protection hidden="1"/>
    </xf>
    <xf numFmtId="261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6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6" fontId="44" fillId="33" borderId="178" xfId="2697" applyNumberFormat="1" applyFont="1" applyFill="1" applyBorder="1" applyAlignment="1">
      <alignment horizontal="center"/>
    </xf>
    <xf numFmtId="166" fontId="44" fillId="33" borderId="178" xfId="815" applyFont="1" applyFill="1" applyBorder="1"/>
    <xf numFmtId="216" fontId="111" fillId="94" borderId="144" xfId="1823" applyNumberFormat="1" applyFont="1" applyFill="1" applyBorder="1" applyAlignment="1">
      <alignment horizontal="center" vertical="center" wrapText="1"/>
    </xf>
    <xf numFmtId="166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6" fontId="44" fillId="94" borderId="144" xfId="2697" applyNumberFormat="1" applyFont="1" applyFill="1" applyBorder="1" applyAlignment="1">
      <alignment horizontal="center"/>
    </xf>
    <xf numFmtId="170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0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69" fontId="44" fillId="42" borderId="144" xfId="43199" applyNumberFormat="1" applyFont="1" applyFill="1" applyBorder="1" applyAlignment="1">
      <alignment horizontal="center" wrapText="1"/>
    </xf>
    <xf numFmtId="169" fontId="44" fillId="42" borderId="144" xfId="847" applyNumberFormat="1" applyFont="1" applyFill="1" applyBorder="1" applyAlignment="1">
      <alignment horizontal="center" wrapText="1"/>
    </xf>
    <xf numFmtId="169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69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center" vertical="center" wrapText="1"/>
    </xf>
    <xf numFmtId="261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1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1" fontId="252" fillId="59" borderId="144" xfId="905" applyNumberFormat="1" applyFont="1" applyFill="1" applyBorder="1" applyAlignment="1">
      <alignment horizontal="left"/>
    </xf>
    <xf numFmtId="261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1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1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1" fontId="316" fillId="55" borderId="144" xfId="1823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0" fontId="252" fillId="59" borderId="144" xfId="905" applyNumberFormat="1" applyFont="1" applyFill="1" applyBorder="1" applyAlignment="1">
      <alignment horizontal="center" vertical="center" wrapText="1"/>
    </xf>
    <xf numFmtId="171" fontId="252" fillId="59" borderId="144" xfId="43199" applyNumberFormat="1" applyFont="1" applyFill="1" applyBorder="1" applyAlignment="1">
      <alignment vertical="center"/>
    </xf>
    <xf numFmtId="167" fontId="252" fillId="59" borderId="144" xfId="863" applyFont="1" applyFill="1" applyBorder="1" applyAlignment="1">
      <alignment vertical="center"/>
    </xf>
    <xf numFmtId="171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3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69" fontId="209" fillId="41" borderId="186" xfId="43183" applyNumberFormat="1" applyFont="1" applyFill="1" applyBorder="1" applyAlignment="1" applyProtection="1">
      <alignment horizontal="center" vertical="center"/>
    </xf>
    <xf numFmtId="164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6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69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6" fontId="206" fillId="41" borderId="178" xfId="815" applyFont="1" applyFill="1" applyBorder="1"/>
    <xf numFmtId="167" fontId="209" fillId="41" borderId="186" xfId="43185" applyNumberFormat="1" applyFont="1" applyFill="1" applyBorder="1" applyAlignment="1" applyProtection="1">
      <alignment horizontal="right"/>
      <protection locked="0"/>
    </xf>
    <xf numFmtId="164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6" fontId="209" fillId="97" borderId="186" xfId="2697" applyNumberFormat="1" applyFont="1" applyFill="1" applyBorder="1"/>
    <xf numFmtId="0" fontId="231" fillId="0" borderId="186" xfId="2697" applyFont="1" applyBorder="1"/>
    <xf numFmtId="169" fontId="206" fillId="0" borderId="186" xfId="43183" applyNumberFormat="1" applyFont="1" applyFill="1" applyBorder="1" applyAlignment="1">
      <alignment vertical="center" wrapText="1"/>
    </xf>
    <xf numFmtId="169" fontId="209" fillId="41" borderId="186" xfId="43183" applyNumberFormat="1" applyFont="1" applyFill="1" applyBorder="1" applyAlignment="1" applyProtection="1">
      <alignment vertical="center"/>
    </xf>
    <xf numFmtId="164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4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4" fontId="209" fillId="0" borderId="186" xfId="2697" applyNumberFormat="1" applyFont="1" applyBorder="1"/>
    <xf numFmtId="167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4" fontId="206" fillId="0" borderId="191" xfId="43184" applyFont="1" applyBorder="1"/>
    <xf numFmtId="167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4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8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8" fontId="219" fillId="41" borderId="186" xfId="863" applyNumberFormat="1" applyFont="1" applyFill="1" applyBorder="1"/>
    <xf numFmtId="167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3" fontId="209" fillId="0" borderId="178" xfId="0" applyNumberFormat="1" applyFont="1" applyBorder="1"/>
    <xf numFmtId="167" fontId="206" fillId="0" borderId="191" xfId="863" applyFont="1" applyBorder="1"/>
    <xf numFmtId="0" fontId="209" fillId="59" borderId="186" xfId="907" applyFont="1" applyFill="1" applyBorder="1"/>
    <xf numFmtId="169" fontId="209" fillId="59" borderId="186" xfId="907" applyNumberFormat="1" applyFont="1" applyFill="1" applyBorder="1"/>
    <xf numFmtId="167" fontId="209" fillId="59" borderId="186" xfId="863" applyFont="1" applyFill="1" applyBorder="1"/>
    <xf numFmtId="166" fontId="209" fillId="59" borderId="186" xfId="907" applyNumberFormat="1" applyFont="1" applyFill="1" applyBorder="1"/>
    <xf numFmtId="167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7" fontId="209" fillId="97" borderId="186" xfId="0" applyNumberFormat="1" applyFont="1" applyFill="1" applyBorder="1"/>
    <xf numFmtId="271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6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8" fontId="294" fillId="117" borderId="186" xfId="43408" applyNumberFormat="1" applyFont="1" applyFill="1" applyBorder="1"/>
    <xf numFmtId="43" fontId="295" fillId="117" borderId="186" xfId="43408" applyFont="1" applyFill="1" applyBorder="1"/>
    <xf numFmtId="166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69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7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5" fontId="44" fillId="41" borderId="196" xfId="863" applyNumberFormat="1" applyFont="1" applyFill="1" applyBorder="1" applyAlignment="1">
      <alignment vertical="center"/>
    </xf>
    <xf numFmtId="175" fontId="206" fillId="0" borderId="187" xfId="863" applyNumberFormat="1" applyFont="1" applyFill="1" applyBorder="1" applyAlignment="1">
      <alignment vertical="center"/>
    </xf>
    <xf numFmtId="167" fontId="209" fillId="33" borderId="187" xfId="831" applyNumberFormat="1" applyFont="1" applyFill="1" applyBorder="1" applyAlignment="1">
      <alignment vertical="center"/>
    </xf>
    <xf numFmtId="167" fontId="209" fillId="33" borderId="187" xfId="863" applyFont="1" applyFill="1" applyBorder="1" applyAlignment="1">
      <alignment vertical="center"/>
    </xf>
    <xf numFmtId="167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5" fontId="34" fillId="0" borderId="187" xfId="907" applyNumberFormat="1" applyFont="1" applyBorder="1" applyAlignment="1">
      <alignment horizontal="center" vertical="center"/>
    </xf>
    <xf numFmtId="170" fontId="31" fillId="0" borderId="193" xfId="907" applyNumberFormat="1" applyBorder="1" applyAlignment="1">
      <alignment horizontal="center"/>
    </xf>
    <xf numFmtId="167" fontId="0" fillId="9" borderId="193" xfId="863" applyFont="1" applyFill="1" applyBorder="1"/>
    <xf numFmtId="167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7" fontId="31" fillId="0" borderId="187" xfId="863" applyFont="1" applyFill="1" applyBorder="1" applyAlignment="1"/>
    <xf numFmtId="170" fontId="31" fillId="0" borderId="196" xfId="907" applyNumberFormat="1" applyBorder="1" applyAlignment="1">
      <alignment horizontal="center"/>
    </xf>
    <xf numFmtId="167" fontId="0" fillId="9" borderId="196" xfId="863" applyFont="1" applyFill="1" applyBorder="1"/>
    <xf numFmtId="167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69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69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5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6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7" fontId="206" fillId="54" borderId="178" xfId="903" applyFont="1" applyFill="1" applyBorder="1" applyAlignment="1">
      <alignment horizontal="left" vertical="top" wrapText="1"/>
    </xf>
    <xf numFmtId="275" fontId="206" fillId="109" borderId="178" xfId="863" applyNumberFormat="1" applyFont="1" applyFill="1" applyBorder="1" applyAlignment="1">
      <alignment horizontal="right"/>
    </xf>
    <xf numFmtId="167" fontId="206" fillId="54" borderId="191" xfId="903" applyFont="1" applyFill="1" applyBorder="1" applyAlignment="1">
      <alignment horizontal="left" vertical="top"/>
    </xf>
    <xf numFmtId="167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6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6" fontId="206" fillId="109" borderId="191" xfId="815" applyFont="1" applyFill="1" applyBorder="1"/>
    <xf numFmtId="167" fontId="44" fillId="41" borderId="178" xfId="903" applyFont="1" applyFill="1" applyBorder="1" applyAlignment="1">
      <alignment horizontal="left" vertical="top" wrapText="1"/>
    </xf>
    <xf numFmtId="167" fontId="44" fillId="41" borderId="178" xfId="863" applyFont="1" applyFill="1" applyBorder="1" applyAlignment="1">
      <alignment horizontal="right"/>
    </xf>
    <xf numFmtId="167" fontId="206" fillId="41" borderId="178" xfId="903" applyFont="1" applyFill="1" applyBorder="1" applyAlignment="1">
      <alignment horizontal="left" vertical="top" wrapText="1"/>
    </xf>
    <xf numFmtId="166" fontId="206" fillId="41" borderId="178" xfId="815" applyFont="1" applyFill="1" applyBorder="1" applyAlignment="1">
      <alignment horizontal="right"/>
    </xf>
    <xf numFmtId="166" fontId="206" fillId="0" borderId="191" xfId="815" applyFont="1" applyFill="1" applyBorder="1"/>
    <xf numFmtId="167" fontId="111" fillId="41" borderId="178" xfId="903" applyFont="1" applyFill="1" applyBorder="1" applyAlignment="1">
      <alignment horizontal="left" vertical="top" wrapText="1"/>
    </xf>
    <xf numFmtId="166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6" fontId="206" fillId="109" borderId="178" xfId="815" applyFont="1" applyFill="1" applyBorder="1"/>
    <xf numFmtId="166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6" fontId="206" fillId="0" borderId="191" xfId="0" applyNumberFormat="1" applyFont="1" applyBorder="1"/>
    <xf numFmtId="43" fontId="206" fillId="0" borderId="178" xfId="0" applyNumberFormat="1" applyFont="1" applyBorder="1"/>
    <xf numFmtId="166" fontId="206" fillId="0" borderId="178" xfId="0" applyNumberFormat="1" applyFont="1" applyBorder="1"/>
    <xf numFmtId="164" fontId="206" fillId="0" borderId="191" xfId="0" applyNumberFormat="1" applyFont="1" applyBorder="1"/>
    <xf numFmtId="164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6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6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6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6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69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69" fontId="251" fillId="33" borderId="196" xfId="863" applyNumberFormat="1" applyFont="1" applyFill="1" applyBorder="1" applyAlignment="1">
      <alignment vertical="center"/>
    </xf>
    <xf numFmtId="167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8" fontId="44" fillId="0" borderId="189" xfId="2697" applyNumberFormat="1" applyFont="1" applyBorder="1" applyAlignment="1">
      <alignment vertical="center"/>
    </xf>
    <xf numFmtId="167" fontId="44" fillId="0" borderId="193" xfId="863" applyFont="1" applyBorder="1" applyAlignment="1">
      <alignment vertical="center"/>
    </xf>
    <xf numFmtId="268" fontId="44" fillId="0" borderId="193" xfId="2697" applyNumberFormat="1" applyFont="1" applyBorder="1" applyAlignment="1">
      <alignment vertical="center"/>
    </xf>
    <xf numFmtId="167" fontId="44" fillId="0" borderId="196" xfId="863" applyFont="1" applyBorder="1" applyAlignment="1">
      <alignment vertical="center"/>
    </xf>
    <xf numFmtId="268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69" fontId="111" fillId="59" borderId="187" xfId="43183" applyNumberFormat="1" applyFont="1" applyFill="1" applyBorder="1" applyAlignment="1">
      <alignment vertical="center"/>
    </xf>
    <xf numFmtId="269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0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69" fontId="111" fillId="98" borderId="186" xfId="2697" applyNumberFormat="1" applyFont="1" applyFill="1" applyBorder="1" applyAlignment="1">
      <alignment vertical="center"/>
    </xf>
    <xf numFmtId="269" fontId="111" fillId="60" borderId="186" xfId="2697" applyNumberFormat="1" applyFont="1" applyFill="1" applyBorder="1" applyAlignment="1">
      <alignment vertical="center"/>
    </xf>
    <xf numFmtId="270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0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0" fontId="118" fillId="55" borderId="189" xfId="2697" applyNumberFormat="1" applyFont="1" applyFill="1" applyBorder="1" applyAlignment="1">
      <alignment horizontal="center" vertical="center" wrapText="1"/>
    </xf>
    <xf numFmtId="170" fontId="118" fillId="55" borderId="191" xfId="2697" applyNumberFormat="1" applyFont="1" applyFill="1" applyBorder="1" applyAlignment="1">
      <alignment horizontal="center" vertical="center" wrapText="1"/>
    </xf>
    <xf numFmtId="170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4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1" fontId="216" fillId="0" borderId="187" xfId="863" applyNumberFormat="1" applyFont="1" applyFill="1" applyBorder="1" applyAlignment="1">
      <alignment vertical="top"/>
    </xf>
    <xf numFmtId="164" fontId="228" fillId="44" borderId="187" xfId="863" applyNumberFormat="1" applyFont="1" applyFill="1" applyBorder="1" applyAlignment="1">
      <alignment vertical="top"/>
    </xf>
    <xf numFmtId="164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0" fontId="206" fillId="0" borderId="191" xfId="0" applyNumberFormat="1" applyFont="1" applyBorder="1"/>
    <xf numFmtId="170" fontId="206" fillId="0" borderId="178" xfId="0" applyNumberFormat="1" applyFont="1" applyBorder="1"/>
    <xf numFmtId="166" fontId="209" fillId="0" borderId="188" xfId="815" applyFont="1" applyFill="1" applyBorder="1"/>
    <xf numFmtId="166" fontId="209" fillId="0" borderId="192" xfId="815" applyFont="1" applyFill="1" applyBorder="1"/>
    <xf numFmtId="166" fontId="209" fillId="0" borderId="186" xfId="815" applyFont="1" applyFill="1" applyBorder="1"/>
    <xf numFmtId="166" fontId="206" fillId="0" borderId="188" xfId="815" applyFont="1" applyFill="1" applyBorder="1"/>
    <xf numFmtId="166" fontId="206" fillId="0" borderId="192" xfId="815" applyFont="1" applyFill="1" applyBorder="1"/>
    <xf numFmtId="166" fontId="209" fillId="0" borderId="188" xfId="815" applyFont="1" applyBorder="1"/>
    <xf numFmtId="166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6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1" fontId="44" fillId="0" borderId="187" xfId="863" applyNumberFormat="1" applyFont="1" applyBorder="1" applyAlignment="1">
      <alignment horizontal="center"/>
    </xf>
    <xf numFmtId="195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6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3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3" fontId="251" fillId="0" borderId="187" xfId="7308" applyNumberFormat="1" applyFont="1" applyBorder="1"/>
    <xf numFmtId="265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3" fontId="251" fillId="0" borderId="187" xfId="43165" applyNumberFormat="1" applyFont="1" applyBorder="1"/>
    <xf numFmtId="166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6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6" fontId="252" fillId="41" borderId="187" xfId="902" applyFont="1" applyFill="1" applyBorder="1"/>
    <xf numFmtId="0" fontId="251" fillId="0" borderId="201" xfId="7308" applyFont="1" applyBorder="1"/>
    <xf numFmtId="166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6" fontId="259" fillId="42" borderId="187" xfId="902" applyFont="1" applyFill="1" applyBorder="1"/>
    <xf numFmtId="0" fontId="251" fillId="46" borderId="187" xfId="7308" applyFont="1" applyFill="1" applyBorder="1"/>
    <xf numFmtId="264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2" fontId="251" fillId="0" borderId="187" xfId="7308" applyNumberFormat="1" applyFont="1" applyBorder="1"/>
    <xf numFmtId="166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6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7" fontId="284" fillId="42" borderId="0" xfId="863" applyFont="1" applyFill="1" applyBorder="1"/>
    <xf numFmtId="166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7" fontId="206" fillId="106" borderId="178" xfId="863" applyFont="1" applyFill="1" applyBorder="1"/>
    <xf numFmtId="167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7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7" fontId="251" fillId="115" borderId="0" xfId="863" applyFont="1" applyFill="1" applyBorder="1" applyAlignment="1">
      <alignment vertical="center"/>
    </xf>
    <xf numFmtId="167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6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7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7" fontId="251" fillId="0" borderId="152" xfId="863" applyFont="1" applyBorder="1" applyAlignment="1">
      <alignment vertical="center"/>
    </xf>
    <xf numFmtId="271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3" fontId="251" fillId="0" borderId="0" xfId="0" applyNumberFormat="1" applyFont="1" applyAlignment="1">
      <alignment horizontal="center"/>
    </xf>
    <xf numFmtId="213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3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6" fontId="251" fillId="0" borderId="0" xfId="815" applyFont="1"/>
    <xf numFmtId="166" fontId="251" fillId="59" borderId="144" xfId="815" applyFont="1" applyFill="1" applyBorder="1"/>
    <xf numFmtId="0" fontId="252" fillId="0" borderId="149" xfId="0" applyFont="1" applyBorder="1"/>
    <xf numFmtId="213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3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69" fontId="258" fillId="0" borderId="0" xfId="863" applyNumberFormat="1" applyFont="1" applyFill="1" applyBorder="1" applyAlignment="1">
      <alignment vertical="center" wrapText="1"/>
    </xf>
    <xf numFmtId="169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7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69" fontId="252" fillId="0" borderId="0" xfId="863" applyNumberFormat="1" applyFont="1" applyFill="1" applyBorder="1" applyAlignment="1">
      <alignment vertical="center" wrapText="1"/>
    </xf>
    <xf numFmtId="169" fontId="252" fillId="0" borderId="0" xfId="863" applyNumberFormat="1" applyFont="1" applyFill="1" applyBorder="1" applyAlignment="1">
      <alignment vertical="center"/>
    </xf>
    <xf numFmtId="167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6" fontId="251" fillId="0" borderId="0" xfId="43439" applyNumberFormat="1" applyFont="1" applyFill="1" applyBorder="1" applyAlignment="1">
      <alignment vertical="center" wrapText="1"/>
    </xf>
    <xf numFmtId="276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7" fontId="314" fillId="126" borderId="196" xfId="863" applyFont="1" applyFill="1" applyBorder="1" applyAlignment="1">
      <alignment vertical="center"/>
    </xf>
    <xf numFmtId="167" fontId="314" fillId="126" borderId="188" xfId="863" applyFont="1" applyFill="1" applyBorder="1" applyAlignment="1">
      <alignment vertical="center"/>
    </xf>
    <xf numFmtId="167" fontId="314" fillId="126" borderId="192" xfId="863" applyFont="1" applyFill="1" applyBorder="1" applyAlignment="1">
      <alignment vertical="center"/>
    </xf>
    <xf numFmtId="167" fontId="251" fillId="0" borderId="196" xfId="863" applyFont="1" applyFill="1" applyBorder="1" applyAlignment="1">
      <alignment horizontal="right" vertical="center"/>
    </xf>
    <xf numFmtId="167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7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7" fontId="314" fillId="0" borderId="0" xfId="863" applyFont="1" applyAlignment="1">
      <alignment vertical="center"/>
    </xf>
    <xf numFmtId="279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7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79" fontId="321" fillId="0" borderId="188" xfId="43440" applyNumberFormat="1" applyFont="1" applyBorder="1" applyAlignment="1">
      <alignment horizontal="center" vertical="center"/>
    </xf>
    <xf numFmtId="167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7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69" fontId="251" fillId="0" borderId="10" xfId="863" applyNumberFormat="1" applyFont="1" applyFill="1" applyBorder="1" applyAlignment="1">
      <alignment vertical="center"/>
    </xf>
    <xf numFmtId="169" fontId="311" fillId="0" borderId="193" xfId="863" applyNumberFormat="1" applyFont="1" applyFill="1" applyBorder="1" applyAlignment="1">
      <alignment vertical="center"/>
    </xf>
    <xf numFmtId="169" fontId="251" fillId="0" borderId="193" xfId="863" applyNumberFormat="1" applyFont="1" applyFill="1" applyBorder="1" applyAlignment="1">
      <alignment vertical="center"/>
    </xf>
    <xf numFmtId="166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1" fontId="251" fillId="0" borderId="0" xfId="863" applyNumberFormat="1" applyFont="1" applyFill="1" applyBorder="1" applyAlignment="1">
      <alignment vertical="center"/>
    </xf>
    <xf numFmtId="277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69" fontId="206" fillId="0" borderId="0" xfId="863" applyNumberFormat="1" applyFont="1"/>
    <xf numFmtId="0" fontId="206" fillId="0" borderId="0" xfId="0" applyFont="1" applyAlignment="1">
      <alignment wrapText="1"/>
    </xf>
    <xf numFmtId="167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4" fontId="324" fillId="0" borderId="0" xfId="0" applyNumberFormat="1" applyFont="1"/>
    <xf numFmtId="204" fontId="324" fillId="0" borderId="0" xfId="0" applyNumberFormat="1" applyFont="1"/>
    <xf numFmtId="0" fontId="206" fillId="0" borderId="191" xfId="907" applyFont="1" applyBorder="1"/>
    <xf numFmtId="272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69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7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3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7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7" fontId="284" fillId="119" borderId="0" xfId="863" applyFont="1" applyFill="1" applyBorder="1"/>
    <xf numFmtId="0" fontId="284" fillId="130" borderId="10" xfId="0" applyFont="1" applyFill="1" applyBorder="1"/>
    <xf numFmtId="167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9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7" fontId="284" fillId="45" borderId="0" xfId="863" applyFont="1" applyFill="1" applyBorder="1"/>
    <xf numFmtId="166" fontId="284" fillId="119" borderId="10" xfId="5583" applyNumberFormat="1" applyFont="1" applyFill="1" applyBorder="1" applyAlignment="1">
      <alignment vertical="center"/>
    </xf>
    <xf numFmtId="166" fontId="284" fillId="112" borderId="10" xfId="5583" applyNumberFormat="1" applyFont="1" applyFill="1" applyBorder="1" applyAlignment="1">
      <alignment vertical="center"/>
    </xf>
    <xf numFmtId="166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0" fontId="284" fillId="111" borderId="10" xfId="0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6" fontId="31" fillId="109" borderId="190" xfId="815" applyFont="1" applyFill="1" applyBorder="1" applyAlignment="1"/>
    <xf numFmtId="0" fontId="31" fillId="59" borderId="20" xfId="907" applyFill="1" applyBorder="1"/>
    <xf numFmtId="166" fontId="31" fillId="109" borderId="29" xfId="815" applyFont="1" applyFill="1" applyBorder="1" applyAlignment="1"/>
    <xf numFmtId="0" fontId="31" fillId="59" borderId="201" xfId="907" applyFill="1" applyBorder="1"/>
    <xf numFmtId="166" fontId="31" fillId="109" borderId="211" xfId="815" applyFont="1" applyFill="1" applyBorder="1" applyAlignment="1"/>
    <xf numFmtId="167" fontId="31" fillId="41" borderId="190" xfId="863" applyFont="1" applyFill="1" applyBorder="1" applyAlignment="1"/>
    <xf numFmtId="167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7" fontId="325" fillId="0" borderId="187" xfId="863" applyFont="1" applyBorder="1" applyAlignment="1">
      <alignment horizontal="center" vertical="center"/>
    </xf>
    <xf numFmtId="167" fontId="121" fillId="0" borderId="187" xfId="863" applyFont="1" applyBorder="1" applyAlignment="1">
      <alignment vertical="center"/>
    </xf>
    <xf numFmtId="167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6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3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7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3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7" fontId="206" fillId="99" borderId="0" xfId="863" applyFont="1" applyFill="1"/>
    <xf numFmtId="2" fontId="206" fillId="99" borderId="0" xfId="863" applyNumberFormat="1" applyFont="1" applyFill="1"/>
    <xf numFmtId="166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6" fontId="206" fillId="106" borderId="29" xfId="815" applyFont="1" applyFill="1" applyBorder="1"/>
    <xf numFmtId="166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7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4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0" fontId="324" fillId="0" borderId="0" xfId="0" applyFont="1"/>
    <xf numFmtId="0" fontId="332" fillId="0" borderId="0" xfId="0" pivotButton="1" applyFont="1"/>
    <xf numFmtId="0" fontId="332" fillId="0" borderId="0" xfId="0" applyFont="1"/>
    <xf numFmtId="204" fontId="332" fillId="0" borderId="0" xfId="0" applyNumberFormat="1" applyFont="1" applyAlignment="1">
      <alignment horizontal="left"/>
    </xf>
    <xf numFmtId="167" fontId="332" fillId="0" borderId="0" xfId="0" applyNumberFormat="1" applyFont="1"/>
    <xf numFmtId="0" fontId="284" fillId="115" borderId="10" xfId="0" applyFont="1" applyFill="1" applyBorder="1"/>
    <xf numFmtId="167" fontId="284" fillId="115" borderId="0" xfId="863" applyFont="1" applyFill="1" applyBorder="1"/>
    <xf numFmtId="10" fontId="284" fillId="115" borderId="10" xfId="2578" applyNumberFormat="1" applyFont="1" applyFill="1" applyBorder="1" applyAlignment="1">
      <alignment horizontal="center"/>
    </xf>
    <xf numFmtId="10" fontId="284" fillId="115" borderId="0" xfId="847" applyNumberFormat="1" applyFont="1" applyFill="1" applyBorder="1" applyAlignment="1">
      <alignment horizontal="left"/>
    </xf>
    <xf numFmtId="10" fontId="284" fillId="115" borderId="10" xfId="847" applyNumberFormat="1" applyFont="1" applyFill="1" applyBorder="1" applyAlignment="1">
      <alignment horizontal="left"/>
    </xf>
    <xf numFmtId="0" fontId="284" fillId="115" borderId="0" xfId="2578" applyNumberFormat="1" applyFont="1" applyFill="1" applyBorder="1" applyAlignment="1">
      <alignment horizontal="center"/>
    </xf>
    <xf numFmtId="0" fontId="284" fillId="115" borderId="10" xfId="863" applyNumberFormat="1" applyFont="1" applyFill="1" applyBorder="1" applyAlignment="1">
      <alignment horizontal="center"/>
    </xf>
    <xf numFmtId="0" fontId="284" fillId="115" borderId="0" xfId="863" applyNumberFormat="1" applyFont="1" applyFill="1" applyBorder="1" applyAlignment="1">
      <alignment horizontal="center"/>
    </xf>
    <xf numFmtId="0" fontId="284" fillId="115" borderId="10" xfId="2578" applyNumberFormat="1" applyFont="1" applyFill="1" applyBorder="1" applyAlignment="1">
      <alignment horizontal="center"/>
    </xf>
    <xf numFmtId="10" fontId="284" fillId="115" borderId="10" xfId="847" applyNumberFormat="1" applyFont="1" applyFill="1" applyBorder="1" applyAlignment="1">
      <alignment horizontal="center"/>
    </xf>
    <xf numFmtId="0" fontId="284" fillId="115" borderId="0" xfId="847" applyNumberFormat="1" applyFont="1" applyFill="1" applyBorder="1" applyAlignment="1">
      <alignment horizontal="center"/>
    </xf>
    <xf numFmtId="0" fontId="284" fillId="115" borderId="10" xfId="847" applyNumberFormat="1" applyFont="1" applyFill="1" applyBorder="1" applyAlignment="1">
      <alignment horizontal="center"/>
    </xf>
    <xf numFmtId="167" fontId="284" fillId="112" borderId="0" xfId="863" applyFont="1" applyFill="1" applyBorder="1"/>
    <xf numFmtId="167" fontId="284" fillId="111" borderId="0" xfId="863" applyFont="1" applyFill="1" applyBorder="1"/>
    <xf numFmtId="0" fontId="328" fillId="42" borderId="10" xfId="0" applyFont="1" applyFill="1" applyBorder="1"/>
    <xf numFmtId="4" fontId="44" fillId="0" borderId="0" xfId="0" applyNumberFormat="1" applyFont="1"/>
    <xf numFmtId="0" fontId="206" fillId="0" borderId="29" xfId="907" applyFont="1" applyBorder="1" applyAlignment="1">
      <alignment horizontal="left" indent="1"/>
    </xf>
    <xf numFmtId="261" fontId="209" fillId="0" borderId="0" xfId="847" applyNumberFormat="1" applyFont="1" applyBorder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6" fontId="31" fillId="59" borderId="167" xfId="815" applyFont="1" applyFill="1" applyBorder="1" applyAlignment="1">
      <alignment horizontal="center" vertical="center"/>
    </xf>
    <xf numFmtId="166" fontId="31" fillId="59" borderId="176" xfId="815" applyFont="1" applyFill="1" applyBorder="1" applyAlignment="1">
      <alignment horizontal="center" vertical="center"/>
    </xf>
    <xf numFmtId="166" fontId="31" fillId="44" borderId="167" xfId="815" applyFont="1" applyFill="1" applyBorder="1" applyAlignment="1">
      <alignment horizontal="center" vertical="center"/>
    </xf>
    <xf numFmtId="166" fontId="31" fillId="44" borderId="176" xfId="815" applyFont="1" applyFill="1" applyBorder="1" applyAlignment="1">
      <alignment horizontal="center" vertical="center"/>
    </xf>
    <xf numFmtId="166" fontId="31" fillId="44" borderId="170" xfId="815" applyFont="1" applyFill="1" applyBorder="1" applyAlignment="1">
      <alignment horizontal="center" vertical="center"/>
    </xf>
    <xf numFmtId="166" fontId="31" fillId="44" borderId="175" xfId="815" applyFont="1" applyFill="1" applyBorder="1" applyAlignment="1">
      <alignment horizontal="center" vertical="center"/>
    </xf>
    <xf numFmtId="166" fontId="31" fillId="44" borderId="172" xfId="815" applyFont="1" applyFill="1" applyBorder="1" applyAlignment="1">
      <alignment horizontal="center" vertical="center"/>
    </xf>
    <xf numFmtId="166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6" fontId="31" fillId="59" borderId="172" xfId="815" applyFont="1" applyFill="1" applyBorder="1" applyAlignment="1">
      <alignment horizontal="center" vertical="center"/>
    </xf>
    <xf numFmtId="166" fontId="31" fillId="59" borderId="177" xfId="815" applyFont="1" applyFill="1" applyBorder="1" applyAlignment="1">
      <alignment horizontal="center" vertical="center"/>
    </xf>
    <xf numFmtId="166" fontId="31" fillId="59" borderId="170" xfId="815" applyFont="1" applyFill="1" applyBorder="1" applyAlignment="1">
      <alignment horizontal="center" vertical="center"/>
    </xf>
    <xf numFmtId="166" fontId="31" fillId="59" borderId="175" xfId="815" applyFont="1" applyFill="1" applyBorder="1" applyAlignment="1">
      <alignment horizontal="center" vertical="center"/>
    </xf>
    <xf numFmtId="167" fontId="117" fillId="102" borderId="144" xfId="863" applyFont="1" applyFill="1" applyBorder="1" applyAlignment="1">
      <alignment horizontal="center" vertical="top" wrapText="1"/>
    </xf>
    <xf numFmtId="166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69" fontId="118" fillId="55" borderId="132" xfId="863" applyNumberFormat="1" applyFont="1" applyFill="1" applyBorder="1" applyAlignment="1">
      <alignment horizontal="center" vertical="center" wrapText="1"/>
    </xf>
    <xf numFmtId="169" fontId="118" fillId="55" borderId="133" xfId="863" applyNumberFormat="1" applyFont="1" applyFill="1" applyBorder="1" applyAlignment="1">
      <alignment horizontal="center" vertical="center" wrapText="1"/>
    </xf>
    <xf numFmtId="169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3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69" fontId="39" fillId="55" borderId="128" xfId="863" applyNumberFormat="1" applyFont="1" applyFill="1" applyBorder="1" applyAlignment="1">
      <alignment horizontal="center" vertical="center"/>
    </xf>
    <xf numFmtId="169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6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3" fontId="251" fillId="0" borderId="188" xfId="43165" applyNumberFormat="1" applyFont="1" applyBorder="1" applyAlignment="1">
      <alignment horizontal="center"/>
    </xf>
    <xf numFmtId="213" fontId="251" fillId="0" borderId="186" xfId="43165" applyNumberFormat="1" applyFont="1" applyBorder="1" applyAlignment="1">
      <alignment horizontal="center"/>
    </xf>
    <xf numFmtId="213" fontId="251" fillId="0" borderId="192" xfId="43165" applyNumberFormat="1" applyFont="1" applyBorder="1" applyAlignment="1">
      <alignment horizontal="center"/>
    </xf>
    <xf numFmtId="213" fontId="251" fillId="0" borderId="188" xfId="7308" applyNumberFormat="1" applyFont="1" applyBorder="1" applyAlignment="1">
      <alignment horizontal="center"/>
    </xf>
    <xf numFmtId="213" fontId="251" fillId="0" borderId="186" xfId="7308" applyNumberFormat="1" applyFont="1" applyBorder="1" applyAlignment="1">
      <alignment horizontal="center"/>
    </xf>
    <xf numFmtId="213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69" formatCode="_(* #,##0_);_(* \(#,##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67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6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6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4" formatCode="dd/mm/yy"/>
    </dxf>
    <dxf>
      <numFmt numFmtId="204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7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3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69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3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CCECFF"/>
      <color rgb="FFFFFF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[Persas_RTA_2022_Coopera.xlsx]Calc_Mercado!Tabela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27449.428999999989</c:v>
                </c:pt>
                <c:pt idx="1">
                  <c:v>27436.698999999993</c:v>
                </c:pt>
                <c:pt idx="2">
                  <c:v>27773.555000000011</c:v>
                </c:pt>
                <c:pt idx="3">
                  <c:v>27149.897000000008</c:v>
                </c:pt>
                <c:pt idx="4">
                  <c:v>29351.427000000003</c:v>
                </c:pt>
                <c:pt idx="5">
                  <c:v>29390.044999999998</c:v>
                </c:pt>
                <c:pt idx="6">
                  <c:v>31334.365999999998</c:v>
                </c:pt>
                <c:pt idx="7">
                  <c:v>27796.749999999996</c:v>
                </c:pt>
                <c:pt idx="8">
                  <c:v>27971.403999999995</c:v>
                </c:pt>
                <c:pt idx="9">
                  <c:v>26739.928999999993</c:v>
                </c:pt>
                <c:pt idx="10">
                  <c:v>27199.986000000001</c:v>
                </c:pt>
                <c:pt idx="11">
                  <c:v>27199.986000000001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8DE8-4A5C-9DFA-0618D39DE00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8DE8-4A5C-9DFA-0618D39DE00C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7.4271607749714003E-2</c:v>
                </c:pt>
                <c:pt idx="1">
                  <c:v>2.0606971808841398E-2</c:v>
                </c:pt>
                <c:pt idx="2">
                  <c:v>-3.1537486659216338E-2</c:v>
                </c:pt>
                <c:pt idx="3">
                  <c:v>-4.8391631593352184E-2</c:v>
                </c:pt>
                <c:pt idx="4">
                  <c:v>-8.8999999999999999E-3</c:v>
                </c:pt>
                <c:pt idx="5">
                  <c:v>0.12039999999999999</c:v>
                </c:pt>
                <c:pt idx="6">
                  <c:v>0.12638835568023654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0.29845062131842554</c:v>
                </c:pt>
                <c:pt idx="1">
                  <c:v>0.3113117628920774</c:v>
                </c:pt>
                <c:pt idx="2">
                  <c:v>8.0863806602060287E-2</c:v>
                </c:pt>
                <c:pt idx="3">
                  <c:v>0</c:v>
                </c:pt>
                <c:pt idx="4">
                  <c:v>0</c:v>
                </c:pt>
                <c:pt idx="5">
                  <c:v>3.5962552111678273E-2</c:v>
                </c:pt>
                <c:pt idx="6">
                  <c:v>0.20059585615394721</c:v>
                </c:pt>
                <c:pt idx="7">
                  <c:v>7.2815400921811241E-2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45605514.477423474</c:v>
                </c:pt>
                <c:pt idx="1">
                  <c:v>39323417.770000003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45112111.140504189</c:v>
                </c:pt>
                <c:pt idx="1">
                  <c:v>41017982.991093092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7979344.5926966937</c:v>
                </c:pt>
                <c:pt idx="1">
                  <c:v>10654497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31120861.934685566</c:v>
                </c:pt>
                <c:pt idx="1">
                  <c:v>40762641.042700239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0.23076797783289793</c:v>
                </c:pt>
                <c:pt idx="1">
                  <c:v>0.24071246922133327</c:v>
                </c:pt>
                <c:pt idx="2">
                  <c:v>6.2525509402502719E-2</c:v>
                </c:pt>
                <c:pt idx="3">
                  <c:v>0.23921400473304341</c:v>
                </c:pt>
                <c:pt idx="4">
                  <c:v>0.22678003881022252</c:v>
                </c:pt>
                <c:pt idx="5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338.07</c:v>
                </c:pt>
                <c:pt idx="1">
                  <c:v>387.09</c:v>
                </c:pt>
                <c:pt idx="2">
                  <c:v>395.17</c:v>
                </c:pt>
                <c:pt idx="3">
                  <c:v>403.03</c:v>
                </c:pt>
                <c:pt idx="4">
                  <c:v>458.58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301.25091525502717</c:v>
                </c:pt>
                <c:pt idx="1">
                  <c:v>316.15939598366845</c:v>
                </c:pt>
                <c:pt idx="2">
                  <c:v>357.33685588761983</c:v>
                </c:pt>
                <c:pt idx="3">
                  <c:v>468.52342503553427</c:v>
                </c:pt>
                <c:pt idx="4">
                  <c:v>508.75764715227689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282.38945901045383</c:v>
                </c:pt>
                <c:pt idx="1">
                  <c:v>292.07150777654033</c:v>
                </c:pt>
                <c:pt idx="2">
                  <c:v>299.19356856640599</c:v>
                </c:pt>
                <c:pt idx="3">
                  <c:v>328.15482870140517</c:v>
                </c:pt>
                <c:pt idx="4">
                  <c:v>356.79385649297512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Coopera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208.08</c:v>
                </c:pt>
                <c:pt idx="1">
                  <c:v>214.45</c:v>
                </c:pt>
                <c:pt idx="2">
                  <c:v>249.71</c:v>
                </c:pt>
                <c:pt idx="3" formatCode="_(* #,##0.00_);_(* \(#,##0.00\);_(* &quot;-&quot;??_);_(@_)">
                  <c:v>296.18</c:v>
                </c:pt>
                <c:pt idx="4" formatCode="_(* #,##0.00_);_(* \(#,##0.00\);_(* &quot;-&quot;??_);_(@_)">
                  <c:v>309.25</c:v>
                </c:pt>
                <c:pt idx="5" formatCode="_(* #,##0.00_);_(* \(#,##0.00\);_(* &quot;-&quot;??_);_(@_)">
                  <c:v>338.07</c:v>
                </c:pt>
                <c:pt idx="6" formatCode="_(* #,##0.00_);_(* \(#,##0.00\);_(* &quot;-&quot;??_);_(@_)">
                  <c:v>387.09</c:v>
                </c:pt>
                <c:pt idx="7" formatCode="_(* #,##0.00_);_(* \(#,##0.00\);_(* &quot;-&quot;??_);_(@_)">
                  <c:v>395.17</c:v>
                </c:pt>
                <c:pt idx="8" formatCode="_(* #,##0.00_);_(* \(#,##0.00\);_(* &quot;-&quot;??_);_(@_)">
                  <c:v>403.03</c:v>
                </c:pt>
                <c:pt idx="9" formatCode="_(* #,##0.00_);_(* \(#,##0.00\);_(* &quot;-&quot;??_);_(@_)">
                  <c:v>458.58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208.08</c:v>
                </c:pt>
                <c:pt idx="1">
                  <c:v>234.73397540621946</c:v>
                </c:pt>
                <c:pt idx="2">
                  <c:v>252.46401222841379</c:v>
                </c:pt>
                <c:pt idx="3">
                  <c:v>281.46954017735555</c:v>
                </c:pt>
                <c:pt idx="4">
                  <c:v>276.65288804504092</c:v>
                </c:pt>
                <c:pt idx="5">
                  <c:v>301.25091525502717</c:v>
                </c:pt>
                <c:pt idx="6">
                  <c:v>316.15939598366845</c:v>
                </c:pt>
                <c:pt idx="7">
                  <c:v>357.33685588761983</c:v>
                </c:pt>
                <c:pt idx="8">
                  <c:v>468.52342503553427</c:v>
                </c:pt>
                <c:pt idx="9">
                  <c:v>508.75764715227689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208.08</c:v>
                </c:pt>
                <c:pt idx="1">
                  <c:v>221.63218765683925</c:v>
                </c:pt>
                <c:pt idx="2">
                  <c:v>242.74371153665513</c:v>
                </c:pt>
                <c:pt idx="3">
                  <c:v>264.52874010655006</c:v>
                </c:pt>
                <c:pt idx="4">
                  <c:v>271.02532390397084</c:v>
                </c:pt>
                <c:pt idx="5">
                  <c:v>282.38945901045383</c:v>
                </c:pt>
                <c:pt idx="6">
                  <c:v>292.07150777654033</c:v>
                </c:pt>
                <c:pt idx="7">
                  <c:v>299.19356856640599</c:v>
                </c:pt>
                <c:pt idx="8">
                  <c:v>328.15482870140517</c:v>
                </c:pt>
                <c:pt idx="9">
                  <c:v>356.79385649297512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8</xdr:col>
          <xdr:colOff>19050</xdr:colOff>
          <xdr:row>18</xdr:row>
          <xdr:rowOff>9525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180975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228600</xdr:colOff>
          <xdr:row>2</xdr:row>
          <xdr:rowOff>9525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0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04.71030914352" createdVersion="4" refreshedVersion="8" minRefreshableVersion="3" recordCount="573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573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4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51344"/>
    </cacheField>
    <cacheField name="Daj" numFmtId="4">
      <sharedItems containsSemiMixedTypes="0" containsString="0" containsNumber="1" minValue="0" maxValue="51344"/>
    </cacheField>
    <cacheField name="TUSD_E" numFmtId="4">
      <sharedItems containsSemiMixedTypes="0" containsString="0" containsNumber="1" minValue="-71.263000000000005" maxValue="14615.763000000001"/>
    </cacheField>
    <cacheField name="TUSD_Eaj" numFmtId="4">
      <sharedItems containsSemiMixedTypes="0" containsString="0" containsNumber="1" minValue="-71.263000000000005" maxValue="14615.763000000001"/>
    </cacheField>
    <cacheField name="TE_E" numFmtId="4">
      <sharedItems containsSemiMixedTypes="0" containsString="0" containsNumber="1" minValue="-71.263000000000005" maxValue="14615.763000000001"/>
    </cacheField>
    <cacheField name="TE_Eaj" numFmtId="4">
      <sharedItems containsSemiMixedTypes="0" containsString="0" containsNumber="1" minValue="-71.263000000000005" maxValue="14615.763000000001"/>
    </cacheField>
    <cacheField name="TUSD/KW" numFmtId="4">
      <sharedItems containsString="0" containsBlank="1" containsNumber="1" minValue="9.92" maxValue="52.19"/>
    </cacheField>
    <cacheField name="TUSD/MWh" numFmtId="4">
      <sharedItems containsString="0" containsBlank="1" containsNumber="1" minValue="75.12" maxValue="1351.49"/>
    </cacheField>
    <cacheField name="TE" numFmtId="4">
      <sharedItems containsString="0" containsBlank="1" containsNumber="1" minValue="70.459999999999994" maxValue="128.11000000000001"/>
    </cacheField>
    <cacheField name="ReceitaD" numFmtId="4">
      <sharedItems containsString="0" containsBlank="1" containsNumber="1" minValue="1721.4" maxValue="930353.28"/>
    </cacheField>
    <cacheField name="ReceitaE" numFmtId="4">
      <sharedItems containsString="0" containsBlank="1" containsNumber="1" minValue="-32903.552360000001" maxValue="3279631.0595700005"/>
    </cacheField>
    <cacheField name="Total" numFmtId="4">
      <sharedItems containsString="0" containsBlank="1" containsNumber="1" minValue="-32903.552360000001" maxValue="3279631.0595700005"/>
    </cacheField>
    <cacheField name="Total com Tar de aplicação" numFmtId="4">
      <sharedItems containsString="0" containsBlank="1" containsNumber="1" minValue="-28721.126890000003" maxValue="3283285.0003200001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4362.4394031030324" maxValue="778405.77808014571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containsInteger="1" minValue="0" maxValue="0"/>
    </cacheField>
    <cacheField name="DISTRIBUICAO" numFmtId="4">
      <sharedItems containsString="0" containsBlank="1" containsNumber="1" minValue="-13860.38257691031" maxValue="1185239.2156257562"/>
    </cacheField>
    <cacheField name="EnergiaRevenda" numFmtId="4">
      <sharedItems containsString="0" containsBlank="1" containsNumber="1" minValue="-9129.5775013978164" maxValue="1872440.6922324719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673.70974199242039" maxValue="138175.23707607546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61.313823364116594" maxValue="7185.1186303935428"/>
    </cacheField>
    <cacheField name="TUST_FR" numFmtId="4">
      <sharedItems containsString="0" containsBlank="1" containsNumber="1" minValue="-247.71162526187575" maxValue="40811.826432186448"/>
    </cacheField>
    <cacheField name="TUST_RB" numFmtId="4">
      <sharedItems containsString="0" containsBlank="1" containsNumber="1" minValue="-1321.4038394638467" maxValue="218793.26747004967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966.92281095475801" maxValue="82684.21363316635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containsInteger="1" minValue="0" maxValue="0"/>
    </cacheField>
    <cacheField name="Cofins" numFmtId="4">
      <sharedItems containsSemiMixedTypes="0" containsString="0" containsNumber="1" containsInteger="1" minValue="0" maxValue="0"/>
    </cacheField>
    <cacheField name="ICMS" numFmtId="4">
      <sharedItems containsSemiMixedTypes="0" containsString="0" containsNumber="1" minValue="-11779.93" maxValue="2204335.89"/>
    </cacheField>
    <cacheField name="UC" numFmtId="4">
      <sharedItems containsSemiMixedTypes="0" containsString="0" containsNumber="1" containsInteger="1" minValue="0" maxValue="20729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107.9246912000003" maxValue="2621.3546543999983"/>
    </cacheField>
    <cacheField name="Subs_Rural" numFmtId="4">
      <sharedItems containsString="0" containsBlank="1" containsNumber="1" minValue="-3446.9913099999994" maxValue="75032.608139999982"/>
    </cacheField>
    <cacheField name="Subs_Irrigante" numFmtId="4">
      <sharedItems containsString="0" containsBlank="1" containsNumber="1" minValue="6.7903159999999989" maxValue="37941.151815999998"/>
    </cacheField>
    <cacheField name="Subs_BaixaRenda" numFmtId="4">
      <sharedItems containsString="0" containsBlank="1" containsNumber="1" minValue="-6.1380000000000053E-2" maxValue="5903.2828800000007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10096.500312352575" maxValue="1949007.0521132278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25273.071600000003" maxValue="3283284.3264000001"/>
    </cacheField>
    <cacheField name="FinAj" numFmtId="4">
      <sharedItems containsSemiMixedTypes="0" containsString="0" containsNumber="1" minValue="-357652.28097999981" maxValue="3682.4805600000036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393360.85770000011" maxValue="4600.0266500000007"/>
    </cacheField>
    <cacheField name="FinPostTE" numFmtId="4">
      <sharedItems containsSemiMixedTypes="0" containsString="0" containsNumber="1" minValue="-417.60117999999898" maxValue="85648.371179999784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02.69831330099987" maxValue="18950.084145680157"/>
    </cacheField>
    <cacheField name="finCT_TUST_FR" numFmtId="4">
      <sharedItems containsString="0" containsBlank="1" containsNumber="1" minValue="-18.081910766911193" maxValue="2979.0923336815104"/>
    </cacheField>
    <cacheField name="finCT_TUST_RB" numFmtId="4">
      <sharedItems containsString="0" containsBlank="1" containsNumber="1" minValue="-96.456943782838835" maxValue="15970.991811998654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containsInteger="1" minValue="0" maxValue="0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minValue="-417.56086349542966" maxValue="85640.102422358934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minValue="-44.224294477351691" maxValue="3781.740352914785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73630.323044941993" maxValue="412.64830190068596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1032.82024163501" maxValue="53.793419397922321"/>
    </cacheField>
    <cacheField name="finCT_TFSEE" numFmtId="4">
      <sharedItems containsString="0" containsBlank="1" containsNumber="1" minValue="-841.86127666162974" maxValue="7.1839779229217839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1240.5991402087554" maxValue="670498.12899871939"/>
    </cacheField>
    <cacheField name="DIST_E" numFmtId="4">
      <sharedItems containsString="0" containsBlank="1" containsNumber="1" minValue="-13860.38257691031" maxValue="1185239.2156257562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393360.85770000005" maxValue="4600.0266499999998"/>
    </cacheField>
    <cacheField name="Fin_TE" numFmtId="4">
      <sharedItems containsString="0" containsBlank="1" containsNumber="1" minValue="-417.60117999999784" maxValue="85648.371179999784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366477.0617147322" maxValue="4285.6431124297487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minValue="-2280.3101635943103" maxValue="406883.95714886399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30" maxValue="230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3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4595.1440000000002"/>
    <n v="4595.1440000000002"/>
    <n v="4595.1440000000002"/>
    <n v="4595.1440000000002"/>
    <m/>
    <n v="333.61"/>
    <n v="128.11000000000001"/>
    <m/>
    <n v="2121669.8876800002"/>
    <n v="2121669.8876800002"/>
    <n v="1851980.88632"/>
    <n v="0"/>
    <n v="281296.56692157895"/>
    <n v="0"/>
    <n v="0"/>
    <n v="0"/>
    <n v="0"/>
    <n v="893738.03847710509"/>
    <n v="588688.70631440112"/>
    <n v="0"/>
    <n v="0"/>
    <n v="0"/>
    <n v="0"/>
    <n v="0"/>
    <n v="43441.804002890967"/>
    <m/>
    <n v="3953.6063251432042"/>
    <n v="15972.81322077876"/>
    <n v="85206.080637767969"/>
    <n v="0"/>
    <n v="0"/>
    <n v="0"/>
    <n v="0"/>
    <n v="0"/>
    <n v="0"/>
    <n v="0"/>
    <n v="0"/>
    <n v="0"/>
    <n v="0"/>
    <m/>
    <n v="0"/>
    <n v="0"/>
    <n v="0"/>
    <n v="0"/>
    <n v="0"/>
    <n v="62348.617841262516"/>
    <n v="0"/>
    <n v="0"/>
    <n v="0"/>
    <n v="511157.95"/>
    <n v="20586"/>
    <m/>
    <m/>
    <m/>
    <m/>
    <m/>
    <m/>
    <m/>
    <m/>
    <m/>
    <n v="651037.32415566361"/>
    <m/>
    <m/>
    <m/>
    <m/>
    <m/>
    <m/>
    <m/>
    <m/>
    <m/>
    <m/>
    <m/>
    <m/>
    <n v="1851979.2742000001"/>
    <n v="-269690.64347999985"/>
    <m/>
    <m/>
    <m/>
    <m/>
    <n v="-296616.54520000005"/>
    <n v="26927.543839999933"/>
    <n v="30"/>
    <n v="6622.1396541711874"/>
    <n v="1165.9484412543316"/>
    <n v="6219.6868849479943"/>
    <n v="0"/>
    <n v="0"/>
    <n v="0"/>
    <n v="0"/>
    <n v="0"/>
    <n v="0"/>
    <n v="0"/>
    <n v="0"/>
    <n v="26924.944171952433"/>
    <n v="0"/>
    <n v="0"/>
    <n v="0"/>
    <n v="2851.6481402948993"/>
    <n v="0"/>
    <n v="-26608.174909688445"/>
    <m/>
    <n v="0"/>
    <n v="0"/>
    <n v="0"/>
    <n v="0"/>
    <n v="-3468.6795165211515"/>
    <n v="-463.23355806865402"/>
    <n v="0"/>
    <n v="0"/>
    <m/>
    <m/>
    <m/>
    <n v="893738.03847710509"/>
    <n v="0"/>
    <n v="0"/>
    <n v="-296616.54520000005"/>
    <n v="26927.54383999994"/>
    <n v="0"/>
    <n v="0"/>
    <n v="-276344.62812711892"/>
    <n v="0"/>
    <n v="0"/>
    <n v="0"/>
    <n v="0"/>
    <n v="0"/>
    <n v="0"/>
    <n v="0"/>
    <n v="0"/>
    <n v="0"/>
    <n v="0"/>
    <n v="0"/>
    <n v="0"/>
    <n v="147037.7835114914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2.5339999999999998"/>
    <n v="-2.5339999999999998"/>
    <n v="-2.5339999999999998"/>
    <n v="-2.5339999999999998"/>
    <m/>
    <n v="333.61"/>
    <n v="128.11000000000001"/>
    <m/>
    <n v="-1169.99848"/>
    <n v="-1169.99848"/>
    <n v="-1021.2780199999999"/>
    <n v="0"/>
    <n v="-155.12147183619948"/>
    <n v="0"/>
    <n v="0"/>
    <n v="0"/>
    <n v="0"/>
    <n v="-492.8533664017894"/>
    <n v="-324.63339164141365"/>
    <n v="0"/>
    <n v="0"/>
    <n v="0"/>
    <n v="0"/>
    <n v="0"/>
    <n v="-23.956056946926079"/>
    <m/>
    <n v="-2.1802229544738703"/>
    <n v="-8.8082351067677909"/>
    <n v="-46.987038564211261"/>
    <n v="0"/>
    <n v="0"/>
    <n v="0"/>
    <n v="0"/>
    <n v="0"/>
    <n v="0"/>
    <n v="0"/>
    <n v="0"/>
    <n v="0"/>
    <n v="0"/>
    <m/>
    <n v="0"/>
    <n v="0"/>
    <n v="0"/>
    <n v="0"/>
    <n v="0"/>
    <n v="-34.382251700873617"/>
    <n v="0"/>
    <n v="0"/>
    <n v="0"/>
    <n v="-384.51"/>
    <n v="0"/>
    <m/>
    <m/>
    <m/>
    <m/>
    <m/>
    <m/>
    <m/>
    <m/>
    <m/>
    <n v="-359.01564334228726"/>
    <m/>
    <m/>
    <m/>
    <m/>
    <m/>
    <m/>
    <m/>
    <m/>
    <m/>
    <m/>
    <m/>
    <m/>
    <n v="-1019.6659"/>
    <n v="150.30258000000003"/>
    <m/>
    <m/>
    <m/>
    <m/>
    <n v="163.56970000000001"/>
    <n v="-14.849239999999961"/>
    <n v="30"/>
    <n v="-3.6517902123785007"/>
    <n v="-0.64296425751586384"/>
    <n v="-3.4298569460409141"/>
    <n v="0"/>
    <n v="0"/>
    <n v="0"/>
    <n v="0"/>
    <n v="0"/>
    <n v="0"/>
    <n v="0"/>
    <n v="0"/>
    <n v="-14.847806408619078"/>
    <n v="0"/>
    <n v="0"/>
    <n v="0"/>
    <n v="-1.5725462330467295"/>
    <n v="0"/>
    <n v="14.673123458405342"/>
    <m/>
    <n v="0"/>
    <n v="0"/>
    <n v="0"/>
    <n v="0"/>
    <n v="1.912809238375246"/>
    <n v="0.25545093606336788"/>
    <n v="0"/>
    <n v="0"/>
    <m/>
    <m/>
    <m/>
    <n v="-492.8533664017894"/>
    <n v="0"/>
    <n v="0"/>
    <n v="163.56970000000013"/>
    <n v="-14.849239999999952"/>
    <n v="0"/>
    <n v="0"/>
    <n v="152.39071673795632"/>
    <n v="0"/>
    <n v="0"/>
    <n v="0"/>
    <n v="0"/>
    <n v="0"/>
    <n v="0"/>
    <n v="0"/>
    <n v="0"/>
    <n v="0"/>
    <n v="0"/>
    <n v="0"/>
    <n v="0"/>
    <n v="-81.08423662416656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0.265999999999998"/>
    <n v="20.265999999999998"/>
    <n v="20.265999999999998"/>
    <n v="20.265999999999998"/>
    <m/>
    <n v="333.61"/>
    <n v="128.11000000000001"/>
    <m/>
    <n v="9357.2175199999983"/>
    <n v="9357.2175199999983"/>
    <n v="8167.8059799999992"/>
    <n v="0"/>
    <n v="1240.6044783869054"/>
    <n v="0"/>
    <n v="0"/>
    <n v="0"/>
    <n v="0"/>
    <n v="3941.6599540247294"/>
    <n v="2596.2984668527583"/>
    <n v="0"/>
    <n v="0"/>
    <n v="0"/>
    <n v="0"/>
    <n v="0"/>
    <n v="191.59173247292972"/>
    <m/>
    <n v="17.436621308353377"/>
    <n v="70.445024733131831"/>
    <n v="375.78505270019946"/>
    <n v="0"/>
    <n v="0"/>
    <n v="0"/>
    <n v="0"/>
    <n v="0"/>
    <n v="0"/>
    <n v="0"/>
    <n v="0"/>
    <n v="0"/>
    <n v="0"/>
    <m/>
    <n v="0"/>
    <n v="0"/>
    <n v="0"/>
    <n v="0"/>
    <n v="0"/>
    <n v="274.9766033819671"/>
    <n v="0"/>
    <n v="0"/>
    <n v="0"/>
    <n v="4272.21"/>
    <n v="41"/>
    <m/>
    <m/>
    <m/>
    <m/>
    <m/>
    <m/>
    <m/>
    <m/>
    <m/>
    <n v="2871.2750702347253"/>
    <m/>
    <m/>
    <m/>
    <m/>
    <m/>
    <m/>
    <m/>
    <m/>
    <m/>
    <m/>
    <m/>
    <m/>
    <n v="8169.4180999999999"/>
    <n v="-1187.8294199999991"/>
    <m/>
    <m/>
    <m/>
    <m/>
    <n v="-1308.1703000000002"/>
    <n v="118.7587599999997"/>
    <n v="30"/>
    <n v="29.205674997659116"/>
    <n v="5.1421916506773755"/>
    <n v="27.43073436008882"/>
    <n v="0"/>
    <n v="0"/>
    <n v="0"/>
    <n v="0"/>
    <n v="0"/>
    <n v="0"/>
    <n v="0"/>
    <n v="0"/>
    <n v="118.74729466340705"/>
    <n v="0"/>
    <n v="0"/>
    <n v="0"/>
    <n v="12.576646392630266"/>
    <n v="0"/>
    <n v="-117.35024467562835"/>
    <m/>
    <n v="0"/>
    <n v="0"/>
    <n v="0"/>
    <n v="0"/>
    <n v="-15.297944761212619"/>
    <n v="-2.0430026323047414"/>
    <n v="0"/>
    <n v="0"/>
    <m/>
    <m/>
    <m/>
    <n v="3941.6599540247294"/>
    <n v="0"/>
    <n v="0"/>
    <n v="-1308.1702999999998"/>
    <n v="118.75875999999971"/>
    <n v="0"/>
    <n v="0"/>
    <n v="-1218.764903477278"/>
    <n v="0"/>
    <n v="0"/>
    <n v="0"/>
    <n v="0"/>
    <n v="0"/>
    <n v="0"/>
    <n v="0"/>
    <n v="0"/>
    <n v="0"/>
    <n v="0"/>
    <n v="0"/>
    <n v="0"/>
    <n v="648.4819019042461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2.63"/>
    <n v="12.63"/>
    <n v="12.63"/>
    <n v="12.63"/>
    <m/>
    <n v="230.94"/>
    <n v="128.11000000000001"/>
    <m/>
    <n v="4534.8015000000005"/>
    <n v="4534.8015000000005"/>
    <n v="3876.1469999999999"/>
    <n v="0"/>
    <n v="0"/>
    <n v="0"/>
    <n v="0"/>
    <n v="0"/>
    <n v="0"/>
    <n v="2456.4869840783745"/>
    <n v="1618.0425163500613"/>
    <n v="0"/>
    <n v="0"/>
    <n v="0"/>
    <n v="0"/>
    <n v="0"/>
    <n v="0"/>
    <m/>
    <n v="10.86669925611878"/>
    <n v="43.902134727102293"/>
    <n v="234.19348739778545"/>
    <n v="0"/>
    <n v="0"/>
    <n v="0"/>
    <n v="0"/>
    <n v="0"/>
    <n v="0"/>
    <n v="0"/>
    <n v="0"/>
    <n v="0"/>
    <n v="0"/>
    <m/>
    <n v="0"/>
    <n v="0"/>
    <n v="0"/>
    <n v="0"/>
    <n v="0"/>
    <n v="171.36852367088943"/>
    <n v="0"/>
    <n v="0"/>
    <n v="0"/>
    <n v="199.17"/>
    <n v="10"/>
    <m/>
    <m/>
    <m/>
    <m/>
    <m/>
    <m/>
    <m/>
    <n v="2519.4324000000001"/>
    <m/>
    <n v="1789.4110400209506"/>
    <m/>
    <m/>
    <m/>
    <m/>
    <m/>
    <m/>
    <m/>
    <m/>
    <m/>
    <m/>
    <m/>
    <m/>
    <n v="1356.7146000000002"/>
    <n v="-230.52749999999992"/>
    <m/>
    <m/>
    <m/>
    <m/>
    <n v="-732.66629999999998"/>
    <n v="74.011799999999823"/>
    <n v="30"/>
    <n v="100.86915562063177"/>
    <n v="3.2046718912491556"/>
    <n v="17.095143341948187"/>
    <n v="0"/>
    <n v="0"/>
    <n v="0"/>
    <n v="0"/>
    <n v="0"/>
    <n v="0"/>
    <n v="0"/>
    <n v="0"/>
    <n v="74.004654672793549"/>
    <n v="0"/>
    <n v="0"/>
    <n v="0"/>
    <n v="7.8379080202763305"/>
    <n v="0"/>
    <n v="0"/>
    <m/>
    <n v="0"/>
    <n v="0"/>
    <n v="0"/>
    <n v="0"/>
    <n v="0"/>
    <n v="-1.2732223056354925"/>
    <n v="0"/>
    <n v="0"/>
    <m/>
    <m/>
    <m/>
    <n v="2456.4869840783745"/>
    <n v="0"/>
    <n v="0"/>
    <n v="-732.66630000000032"/>
    <n v="74.011799999999766"/>
    <n v="0"/>
    <n v="0"/>
    <n v="-759.54804751396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27.273"/>
    <n v="27.273"/>
    <n v="27.273"/>
    <n v="27.273"/>
    <m/>
    <n v="230.94"/>
    <n v="128.11000000000001"/>
    <m/>
    <n v="9792.3706500000008"/>
    <n v="9792.3706500000008"/>
    <n v="8370.0836999999992"/>
    <n v="0"/>
    <n v="0"/>
    <n v="0"/>
    <n v="0"/>
    <n v="0"/>
    <n v="0"/>
    <n v="5304.4948152628267"/>
    <n v="3493.9725691540157"/>
    <n v="0"/>
    <n v="0"/>
    <n v="0"/>
    <n v="0"/>
    <n v="0"/>
    <n v="0"/>
    <m/>
    <n v="23.465359367547698"/>
    <n v="94.801498053227292"/>
    <n v="505.71330022167871"/>
    <n v="0"/>
    <n v="0"/>
    <n v="0"/>
    <n v="0"/>
    <n v="0"/>
    <n v="0"/>
    <n v="0"/>
    <n v="0"/>
    <n v="0"/>
    <n v="0"/>
    <m/>
    <n v="0"/>
    <n v="0"/>
    <n v="0"/>
    <n v="0"/>
    <n v="0"/>
    <n v="370.05017783659281"/>
    <n v="0"/>
    <n v="0"/>
    <n v="0"/>
    <n v="758.44"/>
    <n v="56"/>
    <m/>
    <m/>
    <m/>
    <m/>
    <m/>
    <m/>
    <m/>
    <n v="3348.0334800000001"/>
    <m/>
    <n v="3864.0227469906085"/>
    <m/>
    <m/>
    <m/>
    <m/>
    <m/>
    <m/>
    <m/>
    <m/>
    <m/>
    <m/>
    <m/>
    <m/>
    <n v="5021.4978000000001"/>
    <n v="-854.22732000000087"/>
    <m/>
    <m/>
    <m/>
    <m/>
    <n v="-1582.1067299999997"/>
    <n v="159.81977999999958"/>
    <n v="30"/>
    <n v="217.81508165015748"/>
    <n v="6.9201121528138003"/>
    <n v="36.914952047898112"/>
    <n v="0"/>
    <n v="0"/>
    <n v="0"/>
    <n v="0"/>
    <n v="0"/>
    <n v="0"/>
    <n v="0"/>
    <n v="0"/>
    <n v="159.80435050602546"/>
    <n v="0"/>
    <n v="0"/>
    <n v="0"/>
    <n v="16.925040810530163"/>
    <n v="0"/>
    <n v="0"/>
    <m/>
    <n v="0"/>
    <n v="0"/>
    <n v="0"/>
    <n v="0"/>
    <n v="0"/>
    <n v="-2.7493738671097994"/>
    <n v="0"/>
    <n v="0"/>
    <m/>
    <m/>
    <m/>
    <n v="5304.4948152628267"/>
    <n v="0"/>
    <n v="0"/>
    <n v="-1582.1067300000004"/>
    <n v="159.81977999999981"/>
    <n v="0"/>
    <n v="0"/>
    <n v="-1640.1547030758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1.975999999999999"/>
    <n v="31.975999999999999"/>
    <n v="31.975999999999999"/>
    <n v="31.975999999999999"/>
    <m/>
    <n v="230.94"/>
    <n v="128.11000000000001"/>
    <m/>
    <n v="11480.982800000002"/>
    <n v="11480.982800000002"/>
    <n v="9813.4344000000001"/>
    <n v="0"/>
    <n v="0"/>
    <n v="0"/>
    <n v="0"/>
    <n v="0"/>
    <n v="0"/>
    <n v="6219.210435699928"/>
    <n v="4096.4788204916513"/>
    <n v="0"/>
    <n v="0"/>
    <n v="0"/>
    <n v="0"/>
    <n v="0"/>
    <n v="0"/>
    <m/>
    <n v="27.51176369070895"/>
    <n v="111.1492209052908"/>
    <n v="592.91931536275433"/>
    <n v="0"/>
    <n v="0"/>
    <n v="0"/>
    <n v="0"/>
    <n v="0"/>
    <n v="0"/>
    <n v="0"/>
    <n v="0"/>
    <n v="0"/>
    <n v="0"/>
    <m/>
    <n v="0"/>
    <n v="0"/>
    <n v="0"/>
    <n v="0"/>
    <n v="0"/>
    <n v="433.86222588284721"/>
    <n v="0"/>
    <n v="0"/>
    <n v="0"/>
    <n v="2522.31"/>
    <n v="186"/>
    <m/>
    <m/>
    <m/>
    <m/>
    <m/>
    <m/>
    <m/>
    <n v="981.34344000000078"/>
    <m/>
    <n v="4530.3410463744985"/>
    <m/>
    <m/>
    <m/>
    <m/>
    <m/>
    <m/>
    <m/>
    <m/>
    <m/>
    <m/>
    <m/>
    <m/>
    <n v="8833.1957999999995"/>
    <n v="-1499.8786"/>
    <m/>
    <m/>
    <m/>
    <m/>
    <n v="-1854.9277599999996"/>
    <n v="187.37935999999951"/>
    <n v="30"/>
    <n v="255.37546477635169"/>
    <n v="8.1134274263327768"/>
    <n v="43.280625772140525"/>
    <n v="0"/>
    <n v="0"/>
    <n v="0"/>
    <n v="0"/>
    <n v="0"/>
    <n v="0"/>
    <n v="0"/>
    <n v="0"/>
    <n v="187.36126981925918"/>
    <n v="0"/>
    <n v="0"/>
    <n v="0"/>
    <n v="19.843622078888018"/>
    <n v="0"/>
    <n v="0"/>
    <m/>
    <n v="0"/>
    <n v="0"/>
    <n v="0"/>
    <n v="0"/>
    <n v="0"/>
    <n v="-3.223480320269239"/>
    <n v="0"/>
    <n v="0"/>
    <m/>
    <m/>
    <m/>
    <n v="6219.210435699928"/>
    <n v="0"/>
    <n v="0"/>
    <n v="-1854.9277599999996"/>
    <n v="187.379359999999"/>
    <n v="0"/>
    <n v="0"/>
    <n v="-1922.985618947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1.452"/>
    <n v="11.452"/>
    <n v="11.452"/>
    <n v="11.452"/>
    <m/>
    <n v="230.94"/>
    <n v="128.11000000000001"/>
    <m/>
    <n v="4111.8405999999995"/>
    <n v="4111.8405999999995"/>
    <n v="3514.6188000000002"/>
    <n v="0"/>
    <n v="0"/>
    <n v="0"/>
    <n v="0"/>
    <n v="0"/>
    <n v="0"/>
    <n v="2227.3704625230043"/>
    <n v="1467.1277036611957"/>
    <n v="0"/>
    <n v="0"/>
    <n v="0"/>
    <n v="0"/>
    <n v="0"/>
    <n v="0"/>
    <m/>
    <n v="9.8531623025393706"/>
    <n v="39.807382968707479"/>
    <n v="212.35026268245755"/>
    <n v="0"/>
    <n v="0"/>
    <n v="0"/>
    <n v="0"/>
    <n v="0"/>
    <n v="0"/>
    <n v="0"/>
    <n v="0"/>
    <n v="0"/>
    <n v="0"/>
    <m/>
    <n v="0"/>
    <n v="0"/>
    <n v="0"/>
    <n v="0"/>
    <n v="0"/>
    <n v="155.38498282494265"/>
    <n v="0"/>
    <n v="0"/>
    <n v="0"/>
    <n v="2100"/>
    <n v="169"/>
    <m/>
    <m/>
    <m/>
    <m/>
    <m/>
    <m/>
    <m/>
    <m/>
    <m/>
    <n v="1622.5126864861384"/>
    <m/>
    <m/>
    <m/>
    <m/>
    <m/>
    <m/>
    <m/>
    <m/>
    <m/>
    <m/>
    <m/>
    <m/>
    <n v="3514.0050000000001"/>
    <n v="-597.86560000000009"/>
    <m/>
    <m/>
    <m/>
    <m/>
    <n v="-664.33051999999986"/>
    <n v="67.108719999999835"/>
    <n v="30"/>
    <n v="91.461090274542357"/>
    <n v="2.9057721693258358"/>
    <n v="15.500679457798128"/>
    <n v="0"/>
    <n v="0"/>
    <n v="0"/>
    <n v="0"/>
    <n v="0"/>
    <n v="0"/>
    <n v="0"/>
    <n v="0"/>
    <n v="67.102241117405356"/>
    <n v="0"/>
    <n v="0"/>
    <n v="0"/>
    <n v="7.1068664012830141"/>
    <n v="0"/>
    <n v="0"/>
    <m/>
    <n v="0"/>
    <n v="0"/>
    <n v="0"/>
    <n v="0"/>
    <n v="0"/>
    <n v="-1.1544688712698061"/>
    <n v="0"/>
    <n v="0"/>
    <m/>
    <m/>
    <m/>
    <n v="2227.3704625230043"/>
    <n v="0"/>
    <n v="0"/>
    <n v="-664.33051999999975"/>
    <n v="67.108719999999721"/>
    <n v="0"/>
    <n v="0"/>
    <n v="-688.70500713617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421.32799999999997"/>
    <n v="421.32799999999997"/>
    <n v="421.32799999999997"/>
    <n v="421.32799999999997"/>
    <m/>
    <n v="333.61"/>
    <n v="128.11000000000001"/>
    <m/>
    <n v="194535.56416000001"/>
    <n v="194535.56416000001"/>
    <n v="169807.82384"/>
    <n v="0"/>
    <n v="25792.036103315804"/>
    <n v="0"/>
    <n v="0"/>
    <n v="0"/>
    <n v="0"/>
    <n v="81946.69422230983"/>
    <n v="53976.770968229495"/>
    <n v="0"/>
    <n v="0"/>
    <n v="0"/>
    <n v="0"/>
    <n v="0"/>
    <n v="3983.1718868723246"/>
    <m/>
    <n v="362.50551577054733"/>
    <n v="1464.5446255186503"/>
    <n v="7812.5315643970016"/>
    <n v="0"/>
    <n v="0"/>
    <n v="0"/>
    <n v="0"/>
    <n v="0"/>
    <n v="0"/>
    <n v="0"/>
    <n v="0"/>
    <n v="0"/>
    <n v="0"/>
    <m/>
    <n v="0"/>
    <n v="0"/>
    <n v="0"/>
    <n v="0"/>
    <n v="0"/>
    <n v="5716.7345479975056"/>
    <n v="0"/>
    <n v="0"/>
    <n v="0"/>
    <n v="71583.86"/>
    <n v="210"/>
    <m/>
    <m/>
    <m/>
    <m/>
    <m/>
    <m/>
    <m/>
    <m/>
    <m/>
    <n v="59693.505516227"/>
    <m/>
    <m/>
    <m/>
    <m/>
    <m/>
    <m/>
    <m/>
    <m/>
    <m/>
    <m/>
    <m/>
    <m/>
    <n v="169808.6299"/>
    <n v="-24726.964260000037"/>
    <m/>
    <m/>
    <m/>
    <m/>
    <n v="-27196.722400000002"/>
    <n v="2468.9820799999934"/>
    <n v="30"/>
    <n v="607.18289921112591"/>
    <n v="106.9056214248792"/>
    <n v="570.28207078197465"/>
    <n v="0"/>
    <n v="0"/>
    <n v="0"/>
    <n v="0"/>
    <n v="0"/>
    <n v="0"/>
    <n v="0"/>
    <n v="0"/>
    <n v="2468.7437168629258"/>
    <n v="0"/>
    <n v="0"/>
    <n v="0"/>
    <n v="261.46715046452755"/>
    <n v="0"/>
    <n v="-2439.6991951393029"/>
    <m/>
    <n v="0"/>
    <n v="0"/>
    <n v="0"/>
    <n v="0"/>
    <n v="-318.04265619027819"/>
    <n v="-42.473808993570174"/>
    <n v="0"/>
    <n v="0"/>
    <m/>
    <m/>
    <m/>
    <n v="81946.69422230983"/>
    <n v="0"/>
    <n v="0"/>
    <n v="-27196.722399999999"/>
    <n v="2468.9820799999943"/>
    <n v="0"/>
    <n v="0"/>
    <n v="-25337.9936471072"/>
    <n v="0"/>
    <n v="0"/>
    <n v="0"/>
    <n v="0"/>
    <n v="0"/>
    <n v="0"/>
    <n v="0"/>
    <n v="0"/>
    <n v="0"/>
    <n v="0"/>
    <n v="0"/>
    <n v="0"/>
    <n v="13481.87026376750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8.4740000000000002"/>
    <n v="8.4740000000000002"/>
    <n v="8.4740000000000002"/>
    <n v="8.4740000000000002"/>
    <m/>
    <n v="333.61"/>
    <n v="128.11000000000001"/>
    <m/>
    <n v="3912.61528"/>
    <n v="3912.61528"/>
    <n v="3415.2762199999997"/>
    <n v="0"/>
    <n v="518.7448114995874"/>
    <n v="0"/>
    <n v="0"/>
    <n v="0"/>
    <n v="0"/>
    <n v="1648.1607840918562"/>
    <n v="1085.6130074070006"/>
    <n v="0"/>
    <n v="0"/>
    <n v="0"/>
    <n v="0"/>
    <n v="0"/>
    <n v="80.111928401046413"/>
    <m/>
    <n v="7.2909271176841273"/>
    <n v="29.455794907162694"/>
    <n v="157.13029391993933"/>
    <n v="0"/>
    <n v="0"/>
    <n v="0"/>
    <n v="0"/>
    <n v="0"/>
    <n v="0"/>
    <n v="0"/>
    <n v="0"/>
    <n v="0"/>
    <n v="0"/>
    <m/>
    <n v="0"/>
    <n v="0"/>
    <n v="0"/>
    <n v="0"/>
    <n v="0"/>
    <n v="114.97837447245583"/>
    <n v="0"/>
    <n v="0"/>
    <n v="0"/>
    <n v="1945.79"/>
    <n v="2"/>
    <m/>
    <m/>
    <m/>
    <m/>
    <m/>
    <m/>
    <m/>
    <m/>
    <m/>
    <n v="1200.5913818794565"/>
    <m/>
    <m/>
    <m/>
    <m/>
    <m/>
    <m/>
    <m/>
    <m/>
    <m/>
    <m/>
    <m/>
    <m/>
    <n v="3413.6641"/>
    <n v="-498.98118000000068"/>
    <m/>
    <m/>
    <m/>
    <m/>
    <n v="-546.99670000000015"/>
    <n v="49.657639999999873"/>
    <n v="30"/>
    <n v="12.212024569730147"/>
    <n v="2.1501496125451567"/>
    <n v="11.469853102111557"/>
    <n v="0"/>
    <n v="0"/>
    <n v="0"/>
    <n v="0"/>
    <n v="0"/>
    <n v="0"/>
    <n v="0"/>
    <n v="0"/>
    <n v="49.652845898436453"/>
    <n v="0"/>
    <n v="0"/>
    <n v="0"/>
    <n v="5.2587832592099346"/>
    <n v="0"/>
    <n v="-49.068685156482559"/>
    <m/>
    <n v="0"/>
    <n v="0"/>
    <n v="0"/>
    <n v="0"/>
    <n v="-6.3966635698468224"/>
    <n v="-0.85425857624348023"/>
    <n v="0"/>
    <n v="0"/>
    <m/>
    <m/>
    <m/>
    <n v="1648.1607840918562"/>
    <n v="0"/>
    <n v="0"/>
    <n v="-546.99670000000015"/>
    <n v="49.657639999999901"/>
    <n v="0"/>
    <n v="0"/>
    <n v="-509.61283884666204"/>
    <n v="0"/>
    <n v="0"/>
    <n v="0"/>
    <n v="0"/>
    <n v="0"/>
    <n v="0"/>
    <n v="0"/>
    <n v="0"/>
    <n v="0"/>
    <n v="0"/>
    <n v="0"/>
    <n v="0"/>
    <n v="271.1554148197267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"/>
    <s v="Regular"/>
    <s v="Azul"/>
    <s v="A3"/>
    <s v="Industrial"/>
    <s v="Não se aplica"/>
    <s v="Não se aplica"/>
    <s v="Não se aplica"/>
    <s v="Ponta"/>
    <s v="CATIVO"/>
    <x v="0"/>
    <n v="2386"/>
    <n v="2386"/>
    <n v="98.867000000000004"/>
    <n v="98.867000000000004"/>
    <n v="98.867000000000004"/>
    <n v="98.867000000000004"/>
    <n v="28.46"/>
    <n v="75.12"/>
    <n v="128.11000000000001"/>
    <n v="67905.56"/>
    <n v="20092.740410000002"/>
    <n v="87998.300409999996"/>
    <n v="72119.733519999994"/>
    <n v="0"/>
    <n v="4055.0056639857089"/>
    <n v="0"/>
    <n v="0"/>
    <n v="0"/>
    <n v="0"/>
    <n v="54858.834331905069"/>
    <n v="12665.954826918567"/>
    <n v="0"/>
    <n v="0"/>
    <n v="0"/>
    <n v="0"/>
    <n v="0"/>
    <n v="934.67382879705644"/>
    <m/>
    <n v="24.198291438109582"/>
    <n v="1964.3245116731073"/>
    <n v="11073.278489010107"/>
    <n v="0"/>
    <n v="0"/>
    <n v="0"/>
    <n v="0"/>
    <n v="0"/>
    <n v="0"/>
    <n v="0"/>
    <n v="0"/>
    <n v="0"/>
    <n v="0"/>
    <m/>
    <n v="0"/>
    <n v="0"/>
    <n v="0"/>
    <n v="0"/>
    <n v="0"/>
    <n v="293.37604257436288"/>
    <n v="0"/>
    <n v="0"/>
    <n v="0"/>
    <n v="0"/>
    <n v="0"/>
    <m/>
    <m/>
    <m/>
    <m/>
    <m/>
    <m/>
    <m/>
    <m/>
    <m/>
    <n v="12959.330869492929"/>
    <m/>
    <m/>
    <m/>
    <m/>
    <m/>
    <m/>
    <m/>
    <m/>
    <m/>
    <m/>
    <m/>
    <m/>
    <n v="72120.347200000004"/>
    <n v="-15877.983209999977"/>
    <m/>
    <m/>
    <m/>
    <m/>
    <n v="-16457.927510000001"/>
    <n v="579.36061999999856"/>
    <n v="30"/>
    <n v="1083.3797243722947"/>
    <n v="143.38745910604439"/>
    <n v="808.30293420326598"/>
    <n v="0"/>
    <n v="0"/>
    <n v="0"/>
    <n v="0"/>
    <n v="0"/>
    <n v="0"/>
    <n v="0"/>
    <n v="0"/>
    <n v="579.30468674070289"/>
    <n v="0"/>
    <n v="0"/>
    <n v="0"/>
    <n v="13.418184318767146"/>
    <n v="0"/>
    <n v="-383.56778096474454"/>
    <m/>
    <n v="0"/>
    <n v="0"/>
    <n v="0"/>
    <n v="0"/>
    <n v="-74.630509459528639"/>
    <n v="-2.8352495722121844"/>
    <n v="0"/>
    <n v="0"/>
    <m/>
    <m/>
    <n v="54858.834331905069"/>
    <n v="0"/>
    <n v="0"/>
    <n v="0"/>
    <n v="-16457.927509999994"/>
    <n v="579.36061999999765"/>
    <n v="0"/>
    <n v="0"/>
    <n v="-16962.402315078129"/>
    <n v="0"/>
    <n v="0"/>
    <n v="0"/>
    <n v="0"/>
    <n v="0"/>
    <n v="0"/>
    <n v="0"/>
    <n v="0"/>
    <n v="0"/>
    <n v="0"/>
    <n v="0"/>
    <n v="0"/>
    <n v="2119.610102192344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"/>
    <s v="Regular"/>
    <s v="Azul"/>
    <s v="A3"/>
    <s v="Industrial"/>
    <s v="Não se aplica"/>
    <s v="Não se aplica"/>
    <s v="Não se aplica"/>
    <s v="Fora ponta"/>
    <s v="CATIVO"/>
    <x v="0"/>
    <n v="2438"/>
    <n v="2438"/>
    <n v="1006.154"/>
    <n v="1006.154"/>
    <n v="1006.154"/>
    <n v="1006.154"/>
    <n v="9.92"/>
    <n v="75.12"/>
    <n v="128.11000000000001"/>
    <n v="24184.959999999999"/>
    <n v="204480.67742000002"/>
    <n v="228665.63742000004"/>
    <n v="227175.74223999999"/>
    <n v="0"/>
    <n v="41267.158595303554"/>
    <n v="0"/>
    <n v="0"/>
    <n v="0"/>
    <n v="0"/>
    <n v="11995.492622866426"/>
    <n v="128899.44180488357"/>
    <n v="0"/>
    <n v="0"/>
    <n v="0"/>
    <n v="0"/>
    <n v="0"/>
    <n v="9512.0294085941059"/>
    <m/>
    <n v="246.2622282826394"/>
    <n v="1812.0276626891971"/>
    <n v="10370.14357462607"/>
    <n v="0"/>
    <n v="0"/>
    <n v="0"/>
    <n v="0"/>
    <n v="0"/>
    <n v="0"/>
    <n v="0"/>
    <n v="0"/>
    <n v="0"/>
    <n v="0"/>
    <m/>
    <n v="0"/>
    <n v="0"/>
    <n v="0"/>
    <n v="0"/>
    <n v="0"/>
    <n v="2985.6421125387187"/>
    <n v="0"/>
    <n v="0"/>
    <n v="0"/>
    <n v="0"/>
    <n v="0"/>
    <m/>
    <m/>
    <m/>
    <m/>
    <m/>
    <m/>
    <m/>
    <m/>
    <m/>
    <n v="131885.08391742228"/>
    <m/>
    <m/>
    <m/>
    <m/>
    <m/>
    <m/>
    <m/>
    <m/>
    <m/>
    <m/>
    <m/>
    <m/>
    <n v="227174.924"/>
    <n v="-1490.7434200000134"/>
    <m/>
    <m/>
    <m/>
    <m/>
    <n v="-7385.957620000001"/>
    <n v="5896.0624399999851"/>
    <n v="30"/>
    <n v="2229.4291897999647"/>
    <n v="132.27042723280147"/>
    <n v="756.97703149057634"/>
    <n v="0"/>
    <n v="0"/>
    <n v="0"/>
    <n v="0"/>
    <n v="0"/>
    <n v="0"/>
    <n v="0"/>
    <n v="0"/>
    <n v="5895.4932159659511"/>
    <n v="0"/>
    <n v="0"/>
    <n v="0"/>
    <n v="136.55476372363728"/>
    <n v="0"/>
    <n v="-3903.5093316152124"/>
    <m/>
    <n v="0"/>
    <n v="0"/>
    <n v="0"/>
    <n v="0"/>
    <n v="-759.50302542549616"/>
    <n v="-28.85389157231009"/>
    <n v="0"/>
    <n v="0"/>
    <m/>
    <m/>
    <n v="11995.492622866426"/>
    <n v="0"/>
    <n v="0"/>
    <n v="0"/>
    <n v="-7385.957620000001"/>
    <n v="5896.0624399999651"/>
    <n v="0"/>
    <n v="0"/>
    <n v="-3709.0174137782669"/>
    <n v="0"/>
    <n v="0"/>
    <n v="0"/>
    <n v="0"/>
    <n v="0"/>
    <n v="0"/>
    <n v="0"/>
    <n v="0"/>
    <n v="0"/>
    <n v="0"/>
    <n v="0"/>
    <n v="0"/>
    <n v="21570.94058443399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"/>
    <s v="Regular"/>
    <s v="Azul"/>
    <s v="A3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2861.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3"/>
    <s v="Regular"/>
    <s v="Azul"/>
    <s v="A4"/>
    <s v="Industrial"/>
    <s v="Não se aplica"/>
    <s v="Não se aplica"/>
    <s v="Não se aplica"/>
    <s v="Ponta"/>
    <s v="CATIVO"/>
    <x v="0"/>
    <n v="5950"/>
    <n v="5950"/>
    <n v="311.45"/>
    <n v="311.45"/>
    <n v="311.45"/>
    <n v="311.45"/>
    <n v="52.19"/>
    <n v="96.28"/>
    <n v="128.11000000000001"/>
    <n v="310530.5"/>
    <n v="69886.265500000009"/>
    <n v="380416.76550000004"/>
    <n v="296897.12800000003"/>
    <n v="0"/>
    <n v="16587.192853569213"/>
    <n v="0"/>
    <n v="0"/>
    <n v="0"/>
    <n v="0"/>
    <n v="278065.19684509444"/>
    <n v="39900.185409123238"/>
    <n v="0"/>
    <n v="0"/>
    <n v="0"/>
    <n v="0"/>
    <n v="0"/>
    <n v="2944.4017111760568"/>
    <m/>
    <n v="153.10902328096512"/>
    <n v="5138.5963261425695"/>
    <n v="27335.990188088927"/>
    <n v="0"/>
    <n v="0"/>
    <n v="0"/>
    <n v="0"/>
    <n v="0"/>
    <n v="0"/>
    <n v="0"/>
    <n v="0"/>
    <n v="0"/>
    <n v="0"/>
    <m/>
    <n v="0"/>
    <n v="0"/>
    <n v="0"/>
    <n v="0"/>
    <n v="0"/>
    <n v="1631.5667396126667"/>
    <n v="0"/>
    <n v="0"/>
    <n v="0"/>
    <n v="0"/>
    <n v="0"/>
    <m/>
    <m/>
    <m/>
    <m/>
    <m/>
    <m/>
    <m/>
    <m/>
    <m/>
    <n v="41531.752148735904"/>
    <m/>
    <m/>
    <m/>
    <m/>
    <m/>
    <m/>
    <m/>
    <m/>
    <m/>
    <m/>
    <m/>
    <m/>
    <n v="296897.12800000003"/>
    <n v="-83519.66750000004"/>
    <m/>
    <m/>
    <m/>
    <m/>
    <n v="-85344.734499999991"/>
    <n v="1825.0969999999954"/>
    <n v="30"/>
    <n v="2448.0107909517537"/>
    <n v="375.09600180555663"/>
    <n v="1995.4127497392255"/>
    <n v="0"/>
    <n v="0"/>
    <n v="0"/>
    <n v="0"/>
    <n v="0"/>
    <n v="0"/>
    <n v="0"/>
    <n v="0"/>
    <n v="1824.9207995124016"/>
    <n v="0"/>
    <n v="0"/>
    <n v="0"/>
    <n v="74.623214112451933"/>
    <n v="0"/>
    <n v="-1569.0021870460769"/>
    <m/>
    <n v="0"/>
    <n v="0"/>
    <n v="0"/>
    <n v="0"/>
    <n v="-235.10040934963308"/>
    <n v="-17.939377822168041"/>
    <n v="0"/>
    <n v="0"/>
    <m/>
    <m/>
    <n v="278065.19684509444"/>
    <n v="0"/>
    <n v="0"/>
    <n v="0"/>
    <n v="-85344.73450000002"/>
    <n v="1825.0969999999943"/>
    <n v="0"/>
    <n v="0"/>
    <n v="-85978.016050639417"/>
    <n v="0"/>
    <n v="0"/>
    <n v="0"/>
    <n v="0"/>
    <n v="0"/>
    <n v="0"/>
    <n v="0"/>
    <n v="0"/>
    <n v="0"/>
    <n v="0"/>
    <n v="0"/>
    <n v="0"/>
    <n v="8670.36558091518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"/>
    <s v="Regular"/>
    <s v="Azul"/>
    <s v="A4"/>
    <s v="Industrial"/>
    <s v="Não se aplica"/>
    <s v="Não se aplica"/>
    <s v="Não se aplica"/>
    <s v="Fora ponta"/>
    <s v="CATIVO"/>
    <x v="0"/>
    <n v="6050"/>
    <n v="6050"/>
    <n v="2995.3240000000001"/>
    <n v="2995.3240000000001"/>
    <n v="2995.3240000000001"/>
    <n v="2995.3240000000001"/>
    <n v="18.12"/>
    <n v="96.28"/>
    <n v="128.11000000000001"/>
    <n v="109626"/>
    <n v="672120.75236000004"/>
    <n v="781746.75236000004"/>
    <n v="760292.08336000005"/>
    <n v="0"/>
    <n v="159524.85743112653"/>
    <n v="0"/>
    <n v="0"/>
    <n v="0"/>
    <n v="0"/>
    <n v="79006.576823820753"/>
    <n v="383734.09202246484"/>
    <n v="0"/>
    <n v="0"/>
    <n v="0"/>
    <n v="0"/>
    <n v="0"/>
    <n v="28317.345034922815"/>
    <m/>
    <n v="1472.5032334244136"/>
    <n v="4808.9659924183543"/>
    <n v="25780.992291091472"/>
    <n v="0"/>
    <n v="0"/>
    <n v="0"/>
    <n v="0"/>
    <n v="0"/>
    <n v="0"/>
    <n v="0"/>
    <n v="0"/>
    <n v="0"/>
    <n v="0"/>
    <m/>
    <n v="0"/>
    <n v="0"/>
    <n v="0"/>
    <n v="0"/>
    <n v="0"/>
    <n v="15691.350177439626"/>
    <n v="0"/>
    <n v="0"/>
    <n v="0"/>
    <n v="0"/>
    <n v="0"/>
    <m/>
    <m/>
    <m/>
    <m/>
    <m/>
    <m/>
    <m/>
    <m/>
    <m/>
    <n v="399425.44219990447"/>
    <m/>
    <m/>
    <m/>
    <m/>
    <m/>
    <m/>
    <m/>
    <m/>
    <m/>
    <m/>
    <m/>
    <m/>
    <n v="760291.18480000005"/>
    <n v="-21455.597560000024"/>
    <m/>
    <m/>
    <m/>
    <m/>
    <n v="-39007.267640000005"/>
    <n v="17552.598639999957"/>
    <n v="30"/>
    <n v="2978.3031109510921"/>
    <n v="351.03436854886968"/>
    <n v="1881.9044184830127"/>
    <n v="0"/>
    <n v="0"/>
    <n v="0"/>
    <n v="0"/>
    <n v="0"/>
    <n v="0"/>
    <n v="0"/>
    <n v="0"/>
    <n v="17550.904058046755"/>
    <n v="0"/>
    <n v="0"/>
    <n v="0"/>
    <n v="717.67765030716146"/>
    <n v="0"/>
    <n v="-15089.644909011433"/>
    <m/>
    <n v="0"/>
    <n v="0"/>
    <n v="0"/>
    <n v="0"/>
    <n v="-2261.0431803974316"/>
    <n v="-172.52929502587153"/>
    <n v="0"/>
    <n v="0"/>
    <m/>
    <m/>
    <n v="79006.576823820753"/>
    <n v="0"/>
    <n v="0"/>
    <n v="0"/>
    <n v="-39007.267639999976"/>
    <n v="17552.598639999982"/>
    <n v="0"/>
    <n v="0"/>
    <n v="-24428.906628141383"/>
    <n v="0"/>
    <n v="0"/>
    <n v="0"/>
    <n v="0"/>
    <n v="0"/>
    <n v="0"/>
    <n v="0"/>
    <n v="0"/>
    <n v="0"/>
    <n v="0"/>
    <n v="0"/>
    <n v="0"/>
    <n v="83385.94995437213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Ponta"/>
    <s v="CATIVO"/>
    <x v="0"/>
    <n v="0"/>
    <n v="0"/>
    <n v="811.77"/>
    <n v="811.77"/>
    <n v="811.77"/>
    <n v="811.77"/>
    <m/>
    <n v="1351.49"/>
    <n v="128.11000000000001"/>
    <m/>
    <n v="1201094.892"/>
    <n v="1201094.892"/>
    <n v="926968.2807"/>
    <n v="0"/>
    <n v="43233.217347060141"/>
    <n v="0"/>
    <n v="0"/>
    <n v="0"/>
    <n v="0"/>
    <n v="912384.53305954381"/>
    <n v="103996.70415657079"/>
    <n v="0"/>
    <n v="0"/>
    <n v="0"/>
    <n v="0"/>
    <n v="0"/>
    <n v="7674.35214988405"/>
    <m/>
    <n v="399.06666183589363"/>
    <n v="16862.51595781518"/>
    <n v="89694.153756190834"/>
    <n v="0"/>
    <n v="0"/>
    <n v="0"/>
    <n v="0"/>
    <n v="0"/>
    <n v="0"/>
    <n v="0"/>
    <n v="0"/>
    <n v="0"/>
    <n v="0"/>
    <m/>
    <n v="0"/>
    <n v="0"/>
    <n v="0"/>
    <n v="0"/>
    <n v="0"/>
    <n v="4252.5507536213663"/>
    <n v="0"/>
    <n v="0"/>
    <n v="0"/>
    <n v="0"/>
    <n v="0"/>
    <m/>
    <m/>
    <m/>
    <m/>
    <m/>
    <m/>
    <m/>
    <m/>
    <m/>
    <n v="108249.25491019216"/>
    <m/>
    <m/>
    <m/>
    <m/>
    <m/>
    <m/>
    <m/>
    <m/>
    <m/>
    <m/>
    <m/>
    <m/>
    <n v="926968.2807"/>
    <n v="-274126.64130000002"/>
    <m/>
    <m/>
    <m/>
    <m/>
    <n v="-278883.58349999995"/>
    <n v="4756.9721999999883"/>
    <n v="30"/>
    <n v="7980.1934192516492"/>
    <n v="1230.8930133274189"/>
    <n v="6547.297418191316"/>
    <n v="0"/>
    <n v="0"/>
    <n v="0"/>
    <n v="0"/>
    <n v="0"/>
    <n v="0"/>
    <n v="0"/>
    <n v="0"/>
    <n v="4756.51294724732"/>
    <n v="0"/>
    <n v="0"/>
    <n v="0"/>
    <n v="194.49955537025198"/>
    <n v="0"/>
    <n v="-4089.4811538879221"/>
    <m/>
    <n v="0"/>
    <n v="0"/>
    <n v="0"/>
    <n v="0"/>
    <n v="-612.77077957216716"/>
    <n v="-46.757581424631155"/>
    <n v="0"/>
    <n v="0"/>
    <m/>
    <m/>
    <m/>
    <n v="912384.53305954381"/>
    <n v="0"/>
    <n v="0"/>
    <n v="-278883.58349999995"/>
    <n v="4756.9721999999892"/>
    <n v="0"/>
    <n v="0"/>
    <n v="-282110.14149839384"/>
    <n v="0"/>
    <n v="0"/>
    <n v="0"/>
    <n v="0"/>
    <n v="0"/>
    <n v="0"/>
    <n v="0"/>
    <n v="0"/>
    <n v="0"/>
    <n v="0"/>
    <n v="0"/>
    <n v="0"/>
    <n v="22598.62792621454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"/>
    <s v="Regular"/>
    <s v="Verde"/>
    <s v="A4"/>
    <s v="Industrial"/>
    <s v="Não se aplica"/>
    <s v="Não se aplica"/>
    <s v="Não se aplica"/>
    <s v="Fora ponta"/>
    <s v="CATIVO"/>
    <x v="0"/>
    <n v="0"/>
    <n v="0"/>
    <n v="12866.733"/>
    <n v="12866.733"/>
    <n v="12866.733"/>
    <n v="12866.733"/>
    <m/>
    <n v="96.28"/>
    <n v="128.11000000000001"/>
    <m/>
    <n v="2887166.2178700003"/>
    <n v="2887166.2178700003"/>
    <n v="2890382.9011200001"/>
    <n v="0"/>
    <n v="685256.00149745774"/>
    <n v="0"/>
    <n v="0"/>
    <n v="0"/>
    <n v="0"/>
    <n v="0"/>
    <n v="1648370.628703434"/>
    <n v="0"/>
    <n v="0"/>
    <n v="0"/>
    <n v="0"/>
    <n v="0"/>
    <n v="121640.16908796095"/>
    <m/>
    <n v="6325.2943408154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403.864537732239"/>
    <n v="0"/>
    <n v="0"/>
    <n v="0"/>
    <n v="0"/>
    <n v="0"/>
    <m/>
    <m/>
    <m/>
    <m/>
    <m/>
    <m/>
    <m/>
    <m/>
    <m/>
    <n v="1715774.4932411662"/>
    <m/>
    <m/>
    <m/>
    <m/>
    <m/>
    <m/>
    <m/>
    <m/>
    <m/>
    <m/>
    <m/>
    <m/>
    <n v="2890382.2272000001"/>
    <n v="3215.9793300000019"/>
    <m/>
    <m/>
    <m/>
    <m/>
    <n v="-72182.372129999989"/>
    <n v="75399.055379999816"/>
    <n v="30"/>
    <n v="3201.7917739767581"/>
    <n v="0"/>
    <n v="0"/>
    <n v="0"/>
    <n v="0"/>
    <n v="0"/>
    <n v="0"/>
    <n v="0"/>
    <n v="0"/>
    <n v="0"/>
    <n v="0"/>
    <n v="75391.776122885058"/>
    <n v="0"/>
    <n v="0"/>
    <n v="0"/>
    <n v="3082.8607211005001"/>
    <n v="0"/>
    <n v="-64819.175524604158"/>
    <m/>
    <n v="0"/>
    <n v="0"/>
    <n v="0"/>
    <n v="0"/>
    <n v="-9712.5515983060905"/>
    <n v="-741.11794709891819"/>
    <n v="0"/>
    <n v="0"/>
    <m/>
    <m/>
    <m/>
    <n v="0"/>
    <n v="0"/>
    <n v="0"/>
    <n v="-72182.372130000032"/>
    <n v="75399.055379999802"/>
    <n v="0"/>
    <n v="0"/>
    <n v="0"/>
    <n v="0"/>
    <n v="0"/>
    <n v="0"/>
    <n v="0"/>
    <n v="0"/>
    <n v="0"/>
    <n v="0"/>
    <n v="0"/>
    <n v="0"/>
    <n v="0"/>
    <n v="0"/>
    <n v="0"/>
    <n v="358193.2218398638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"/>
    <s v="Regular"/>
    <s v="Verde"/>
    <s v="A4"/>
    <s v="Industrial"/>
    <s v="Não se aplica"/>
    <s v="Não se aplica"/>
    <s v="Não se aplica"/>
    <s v="Não se aplica"/>
    <s v="CATIVO"/>
    <x v="0"/>
    <n v="49987"/>
    <n v="49987"/>
    <n v="0"/>
    <n v="0"/>
    <n v="0"/>
    <n v="0"/>
    <n v="18.12"/>
    <m/>
    <m/>
    <n v="905764.44000000006"/>
    <m/>
    <n v="905764.44000000006"/>
    <n v="722312.14999999991"/>
    <n v="0"/>
    <n v="0"/>
    <n v="0"/>
    <n v="0"/>
    <n v="0"/>
    <n v="0"/>
    <n v="652777.14970121114"/>
    <m/>
    <m/>
    <m/>
    <n v="0"/>
    <n v="0"/>
    <n v="0"/>
    <n v="0"/>
    <m/>
    <n v="0"/>
    <n v="39733.18728314319"/>
    <n v="213010.65481897345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18939.28"/>
    <n v="97"/>
    <m/>
    <m/>
    <m/>
    <m/>
    <m/>
    <m/>
    <m/>
    <m/>
    <m/>
    <n v="0"/>
    <m/>
    <m/>
    <m/>
    <m/>
    <m/>
    <m/>
    <m/>
    <m/>
    <m/>
    <m/>
    <m/>
    <m/>
    <n v="722312.14999999991"/>
    <n v="-183452.32000000018"/>
    <m/>
    <m/>
    <m/>
    <m/>
    <n v="-183452.2900000001"/>
    <n v="0"/>
    <n v="30"/>
    <n v="18449.241511960776"/>
    <n v="2900.3561951491429"/>
    <n v="15548.885316811647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2777.14970121114"/>
    <m/>
    <n v="0"/>
    <n v="0"/>
    <n v="-183452.29000000015"/>
    <m/>
    <n v="0"/>
    <m/>
    <n v="-201839.29844973597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9"/>
    <s v="Regular"/>
    <s v="Convencional"/>
    <s v="B3"/>
    <s v="Comercial"/>
    <s v="Não se aplica"/>
    <s v="Não se aplica"/>
    <s v="Não se aplica"/>
    <s v="Não se aplica"/>
    <s v="CATIVO"/>
    <x v="0"/>
    <n v="0"/>
    <n v="0"/>
    <n v="1024.357"/>
    <n v="1024.357"/>
    <n v="1024.357"/>
    <n v="1024.357"/>
    <m/>
    <n v="333.61"/>
    <n v="128.11000000000001"/>
    <m/>
    <n v="472966.11404000001"/>
    <n v="472966.11404000001"/>
    <n v="412846.60170999996"/>
    <n v="0"/>
    <n v="62707.089789153033"/>
    <n v="0"/>
    <n v="0"/>
    <n v="0"/>
    <n v="0"/>
    <n v="199233.54216544508"/>
    <n v="131231.44718296116"/>
    <n v="0"/>
    <n v="0"/>
    <n v="0"/>
    <n v="0"/>
    <n v="0"/>
    <n v="9684.1178476647037"/>
    <m/>
    <n v="881.34437449723384"/>
    <n v="3560.6855916587742"/>
    <n v="18994.27855663763"/>
    <n v="0"/>
    <n v="0"/>
    <n v="0"/>
    <n v="0"/>
    <n v="0"/>
    <n v="0"/>
    <n v="0"/>
    <n v="0"/>
    <n v="0"/>
    <n v="0"/>
    <m/>
    <n v="0"/>
    <n v="0"/>
    <n v="0"/>
    <n v="0"/>
    <n v="0"/>
    <n v="13898.855645442698"/>
    <n v="0"/>
    <n v="0"/>
    <n v="0"/>
    <n v="175010.36"/>
    <n v="1641"/>
    <m/>
    <m/>
    <m/>
    <m/>
    <m/>
    <m/>
    <m/>
    <m/>
    <m/>
    <n v="145130.30282840386"/>
    <m/>
    <m/>
    <m/>
    <m/>
    <m/>
    <m/>
    <m/>
    <m/>
    <m/>
    <m/>
    <m/>
    <m/>
    <n v="412847.81079999992"/>
    <n v="-60118.333240000124"/>
    <m/>
    <m/>
    <m/>
    <m/>
    <n v="-66122.244350000008"/>
    <n v="6002.7320199999849"/>
    <n v="30"/>
    <n v="1476.2181793928612"/>
    <n v="259.91512941443489"/>
    <n v="1386.5027512532106"/>
    <n v="0"/>
    <n v="0"/>
    <n v="0"/>
    <n v="0"/>
    <n v="0"/>
    <n v="0"/>
    <n v="0"/>
    <n v="0"/>
    <n v="6002.1524977560621"/>
    <n v="0"/>
    <n v="0"/>
    <n v="0"/>
    <n v="635.69405747634119"/>
    <n v="0"/>
    <n v="-5931.5377768278267"/>
    <m/>
    <n v="0"/>
    <n v="0"/>
    <n v="0"/>
    <n v="0"/>
    <n v="-773.24369889279842"/>
    <n v="-103.2647807865286"/>
    <n v="0"/>
    <n v="0"/>
    <m/>
    <m/>
    <m/>
    <n v="199233.54216544508"/>
    <n v="0"/>
    <n v="0"/>
    <n v="-66122.244349999994"/>
    <n v="6002.7320199999667"/>
    <n v="0"/>
    <n v="0"/>
    <n v="-61603.195511263912"/>
    <n v="0"/>
    <n v="0"/>
    <n v="0"/>
    <n v="0"/>
    <n v="0"/>
    <n v="0"/>
    <n v="0"/>
    <n v="0"/>
    <n v="0"/>
    <n v="0"/>
    <n v="0"/>
    <n v="0"/>
    <n v="32777.9026738837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0.49"/>
    <n v="0.49"/>
    <n v="0.49"/>
    <n v="0.49"/>
    <m/>
    <n v="333.61"/>
    <n v="128.11000000000001"/>
    <m/>
    <n v="226.24279999999999"/>
    <n v="226.24279999999999"/>
    <n v="197.4847"/>
    <n v="0"/>
    <n v="29.995864719707082"/>
    <n v="0"/>
    <n v="0"/>
    <n v="0"/>
    <n v="0"/>
    <n v="95.303137149517298"/>
    <n v="62.774412748339664"/>
    <n v="0"/>
    <n v="0"/>
    <n v="0"/>
    <n v="0"/>
    <n v="0"/>
    <n v="4.6323867024442693"/>
    <m/>
    <n v="0.42159007406953297"/>
    <n v="1.7032498825241584"/>
    <n v="9.0858914350684774"/>
    <n v="0"/>
    <n v="0"/>
    <n v="0"/>
    <n v="0"/>
    <n v="0"/>
    <n v="0"/>
    <n v="0"/>
    <n v="0"/>
    <n v="0"/>
    <n v="0"/>
    <m/>
    <n v="0"/>
    <n v="0"/>
    <n v="0"/>
    <n v="0"/>
    <n v="0"/>
    <n v="6.648501710113683"/>
    <n v="0"/>
    <n v="0"/>
    <n v="0"/>
    <n v="1002.23"/>
    <n v="4"/>
    <m/>
    <m/>
    <m/>
    <m/>
    <m/>
    <m/>
    <m/>
    <m/>
    <m/>
    <n v="69.422914458453349"/>
    <m/>
    <m/>
    <m/>
    <m/>
    <m/>
    <m/>
    <m/>
    <m/>
    <m/>
    <m/>
    <m/>
    <m/>
    <n v="197.4847"/>
    <n v="-28.788099999999957"/>
    <m/>
    <m/>
    <m/>
    <m/>
    <n v="-31.629500000000004"/>
    <n v="2.8713999999999928"/>
    <n v="30"/>
    <n v="0.70614727863676308"/>
    <n v="0.12433010504450404"/>
    <n v="0.66323200614050748"/>
    <n v="0"/>
    <n v="0"/>
    <n v="0"/>
    <n v="0"/>
    <n v="0"/>
    <n v="0"/>
    <n v="0"/>
    <n v="0"/>
    <n v="2.8711227861970556"/>
    <n v="0"/>
    <n v="0"/>
    <n v="0"/>
    <n v="0.30408352572726827"/>
    <n v="0"/>
    <n v="-2.8373443151612534"/>
    <m/>
    <n v="0"/>
    <n v="0"/>
    <n v="0"/>
    <n v="0"/>
    <n v="-0.36988023946482596"/>
    <n v="-4.9396589846507633E-2"/>
    <n v="0"/>
    <n v="0"/>
    <m/>
    <m/>
    <m/>
    <n v="95.303137149517298"/>
    <n v="0"/>
    <n v="0"/>
    <n v="-31.629499999999979"/>
    <n v="2.8713999999999871"/>
    <n v="0"/>
    <n v="0"/>
    <n v="-29.467818153748468"/>
    <n v="0"/>
    <n v="0"/>
    <n v="0"/>
    <n v="0"/>
    <n v="0"/>
    <n v="0"/>
    <n v="0"/>
    <n v="0"/>
    <n v="0"/>
    <n v="0"/>
    <n v="0"/>
    <n v="0"/>
    <n v="15.67927227539132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"/>
    <s v="Regular"/>
    <s v="Verde"/>
    <s v="A4"/>
    <s v="Comercial"/>
    <s v="Não se aplica"/>
    <s v="Não se aplica"/>
    <s v="Não se aplica"/>
    <s v="Ponta"/>
    <s v="CATIVO"/>
    <x v="0"/>
    <n v="0"/>
    <n v="0"/>
    <n v="34.100999999999999"/>
    <n v="34.100999999999999"/>
    <n v="34.100999999999999"/>
    <n v="34.100999999999999"/>
    <m/>
    <n v="1351.49"/>
    <n v="128.11000000000001"/>
    <m/>
    <n v="50455.839599999999"/>
    <n v="50455.839599999999"/>
    <n v="38940.272910000007"/>
    <n v="0"/>
    <n v="1816.149826616034"/>
    <n v="0"/>
    <n v="0"/>
    <n v="0"/>
    <n v="0"/>
    <n v="38327.635859742913"/>
    <n v="4368.7147941451649"/>
    <n v="0"/>
    <n v="0"/>
    <n v="0"/>
    <n v="0"/>
    <n v="0"/>
    <n v="322.38575293888169"/>
    <m/>
    <n v="16.764073857454459"/>
    <n v="708.36401527212809"/>
    <n v="3767.8903349961979"/>
    <n v="0"/>
    <n v="0"/>
    <n v="0"/>
    <n v="0"/>
    <n v="0"/>
    <n v="0"/>
    <n v="0"/>
    <n v="0"/>
    <n v="0"/>
    <n v="0"/>
    <m/>
    <n v="0"/>
    <n v="0"/>
    <n v="0"/>
    <n v="0"/>
    <n v="0"/>
    <n v="178.64202083009005"/>
    <n v="0"/>
    <n v="0"/>
    <n v="0"/>
    <n v="0"/>
    <n v="0"/>
    <m/>
    <m/>
    <m/>
    <m/>
    <m/>
    <m/>
    <m/>
    <m/>
    <m/>
    <n v="4547.3568149752546"/>
    <m/>
    <m/>
    <m/>
    <m/>
    <m/>
    <m/>
    <m/>
    <m/>
    <m/>
    <m/>
    <m/>
    <m/>
    <n v="38939.131000000001"/>
    <n v="-11516.738600000004"/>
    <m/>
    <m/>
    <m/>
    <m/>
    <n v="-11715.398549999998"/>
    <n v="199.83185999999949"/>
    <n v="30"/>
    <n v="335.23359546410575"/>
    <n v="51.707605168309215"/>
    <n v="275.04020751905364"/>
    <n v="0"/>
    <n v="0"/>
    <n v="0"/>
    <n v="0"/>
    <n v="0"/>
    <n v="0"/>
    <n v="0"/>
    <n v="0"/>
    <n v="199.81256761654276"/>
    <n v="0"/>
    <n v="0"/>
    <n v="0"/>
    <n v="8.1705770571479377"/>
    <n v="0"/>
    <n v="-171.7917597702949"/>
    <m/>
    <n v="0"/>
    <n v="0"/>
    <n v="0"/>
    <n v="0"/>
    <n v="-25.741400093857237"/>
    <n v="-1.964202032794196"/>
    <n v="0"/>
    <n v="0"/>
    <m/>
    <m/>
    <m/>
    <n v="38327.635859742913"/>
    <n v="0"/>
    <n v="0"/>
    <n v="-11715.398549999998"/>
    <n v="199.83186000000023"/>
    <n v="0"/>
    <n v="0"/>
    <n v="-11850.940457564004"/>
    <n v="0"/>
    <n v="0"/>
    <n v="0"/>
    <n v="0"/>
    <n v="0"/>
    <n v="0"/>
    <n v="0"/>
    <n v="0"/>
    <n v="0"/>
    <n v="0"/>
    <n v="0"/>
    <n v="0"/>
    <n v="949.327778695741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Fora ponta"/>
    <s v="CATIVO"/>
    <x v="0"/>
    <n v="0"/>
    <n v="0"/>
    <n v="402.84899999999999"/>
    <n v="402.84899999999999"/>
    <n v="402.84899999999999"/>
    <n v="402.84899999999999"/>
    <m/>
    <n v="96.28"/>
    <n v="128.11000000000001"/>
    <m/>
    <n v="90395.287110000005"/>
    <n v="90395.287110000005"/>
    <n v="90495.999359999987"/>
    <n v="0"/>
    <n v="21454.917495159752"/>
    <n v="0"/>
    <n v="0"/>
    <n v="0"/>
    <n v="0"/>
    <n v="0"/>
    <n v="51609.406941338544"/>
    <n v="0"/>
    <n v="0"/>
    <n v="0"/>
    <n v="0"/>
    <n v="0"/>
    <n v="3808.4741850876972"/>
    <m/>
    <n v="198.040831336373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0.3709407167225"/>
    <n v="0"/>
    <n v="0"/>
    <n v="0"/>
    <n v="0"/>
    <n v="0"/>
    <m/>
    <m/>
    <m/>
    <m/>
    <m/>
    <m/>
    <m/>
    <m/>
    <m/>
    <n v="53719.777882055263"/>
    <m/>
    <m/>
    <m/>
    <m/>
    <m/>
    <m/>
    <m/>
    <m/>
    <m/>
    <m/>
    <m/>
    <m/>
    <n v="90496.224000000002"/>
    <n v="100.90689000001294"/>
    <m/>
    <m/>
    <m/>
    <m/>
    <n v="-2259.9828899999998"/>
    <n v="2360.6951399999939"/>
    <n v="30"/>
    <n v="100.246007619382"/>
    <n v="0"/>
    <n v="0"/>
    <n v="0"/>
    <n v="0"/>
    <n v="0"/>
    <n v="0"/>
    <n v="0"/>
    <n v="0"/>
    <n v="0"/>
    <n v="0"/>
    <n v="2360.4672312177499"/>
    <n v="0"/>
    <n v="0"/>
    <n v="0"/>
    <n v="96.522354092107889"/>
    <n v="0"/>
    <n v="-2029.4460171755527"/>
    <m/>
    <n v="0"/>
    <n v="0"/>
    <n v="0"/>
    <n v="0"/>
    <n v="-304.0936420166654"/>
    <n v="-23.203918498258417"/>
    <n v="0"/>
    <n v="0"/>
    <m/>
    <m/>
    <m/>
    <n v="0"/>
    <n v="0"/>
    <n v="0"/>
    <n v="-2259.9828899999993"/>
    <n v="2360.6951399999962"/>
    <n v="0"/>
    <n v="0"/>
    <n v="0"/>
    <n v="0"/>
    <n v="0"/>
    <n v="0"/>
    <n v="0"/>
    <n v="0"/>
    <n v="0"/>
    <n v="0"/>
    <n v="0"/>
    <n v="0"/>
    <n v="0"/>
    <n v="0"/>
    <n v="0"/>
    <n v="11214.79564586964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"/>
    <s v="Regular"/>
    <s v="Verde"/>
    <s v="A4"/>
    <s v="Comercial"/>
    <s v="Não se aplica"/>
    <s v="Não se aplica"/>
    <s v="Não se aplica"/>
    <s v="Não se aplica"/>
    <s v="CATIVO"/>
    <x v="0"/>
    <n v="1642"/>
    <n v="1642"/>
    <n v="0"/>
    <n v="0"/>
    <n v="0"/>
    <n v="0"/>
    <n v="18.12"/>
    <m/>
    <m/>
    <n v="29753.040000000001"/>
    <m/>
    <n v="29753.040000000001"/>
    <n v="23726.899999999998"/>
    <n v="0"/>
    <n v="0"/>
    <n v="0"/>
    <n v="0"/>
    <n v="0"/>
    <n v="0"/>
    <n v="21442.77671813449"/>
    <m/>
    <m/>
    <m/>
    <n v="0"/>
    <n v="0"/>
    <n v="0"/>
    <n v="0"/>
    <m/>
    <n v="0"/>
    <n v="1305.1772164547006"/>
    <n v="6997.0891474334203"/>
    <n v="0"/>
    <n v="0"/>
    <m/>
    <m/>
    <n v="0"/>
    <n v="0"/>
    <n v="0"/>
    <m/>
    <m/>
    <n v="0"/>
    <m/>
    <n v="0"/>
    <n v="0"/>
    <n v="0"/>
    <n v="0"/>
    <m/>
    <n v="0"/>
    <n v="0"/>
    <n v="0"/>
    <n v="0"/>
    <n v="65984.350000000006"/>
    <n v="17"/>
    <m/>
    <m/>
    <m/>
    <m/>
    <m/>
    <m/>
    <m/>
    <m/>
    <m/>
    <n v="0"/>
    <m/>
    <m/>
    <m/>
    <m/>
    <m/>
    <m/>
    <m/>
    <m/>
    <m/>
    <m/>
    <m/>
    <m/>
    <n v="23726.899999999998"/>
    <n v="-6026.1699999999983"/>
    <m/>
    <m/>
    <m/>
    <m/>
    <n v="-6026.1400000000031"/>
    <n v="0"/>
    <n v="30"/>
    <n v="606.03065922419228"/>
    <n v="95.272468290453389"/>
    <n v="510.7581909337377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442.77671813449"/>
    <m/>
    <n v="0"/>
    <n v="0"/>
    <n v="-6026.1400000000031"/>
    <m/>
    <n v="0"/>
    <m/>
    <n v="-6630.1263939517576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4"/>
    <s v="Regular"/>
    <s v="Convencional"/>
    <s v="B2"/>
    <s v="Rural"/>
    <s v="Não se aplica"/>
    <s v="Não se aplica"/>
    <s v="Não se aplica"/>
    <s v="Não se aplica"/>
    <s v="CATIVO"/>
    <x v="0"/>
    <n v="0"/>
    <n v="0"/>
    <n v="1132.354"/>
    <n v="1132.354"/>
    <n v="1132.354"/>
    <n v="1132.354"/>
    <m/>
    <n v="333.61"/>
    <n v="128.11000000000001"/>
    <m/>
    <n v="522830.48888000008"/>
    <n v="522830.48888000008"/>
    <n v="456372.63262000005"/>
    <n v="0"/>
    <n v="69318.239589426928"/>
    <n v="0"/>
    <n v="0"/>
    <n v="0"/>
    <n v="0"/>
    <n v="220238.54808939697"/>
    <n v="145067.05586374167"/>
    <n v="0"/>
    <n v="0"/>
    <n v="0"/>
    <n v="0"/>
    <n v="0"/>
    <n v="10705.105330733833"/>
    <m/>
    <n v="974.2636872100652"/>
    <n v="3936.0853417872677"/>
    <n v="20996.827571562306"/>
    <n v="0"/>
    <n v="0"/>
    <n v="0"/>
    <n v="0"/>
    <n v="0"/>
    <n v="0"/>
    <n v="0"/>
    <n v="0"/>
    <n v="0"/>
    <n v="0"/>
    <m/>
    <n v="0"/>
    <n v="0"/>
    <n v="0"/>
    <n v="0"/>
    <n v="0"/>
    <n v="15364.198990722591"/>
    <n v="0"/>
    <n v="0"/>
    <n v="0"/>
    <n v="104948.09"/>
    <n v="2356"/>
    <m/>
    <m/>
    <m/>
    <m/>
    <m/>
    <n v="54771.962979999989"/>
    <m/>
    <m/>
    <m/>
    <n v="160431.25485446426"/>
    <m/>
    <m/>
    <m/>
    <m/>
    <m/>
    <m/>
    <m/>
    <m/>
    <m/>
    <m/>
    <m/>
    <m/>
    <n v="401599.25099999999"/>
    <n v="-58498.856280000065"/>
    <m/>
    <m/>
    <m/>
    <m/>
    <n v="-73093.450700000016"/>
    <n v="6635.5944399999835"/>
    <n v="30"/>
    <n v="1631.8544807213475"/>
    <n v="287.31773830115162"/>
    <n v="1532.6804389412828"/>
    <n v="0"/>
    <n v="0"/>
    <n v="0"/>
    <n v="0"/>
    <n v="0"/>
    <n v="0"/>
    <n v="0"/>
    <n v="0"/>
    <n v="6634.9538192681212"/>
    <n v="0"/>
    <n v="0"/>
    <n v="0"/>
    <n v="702.7146871252553"/>
    <n v="0"/>
    <n v="-6556.8942543879675"/>
    <m/>
    <n v="0"/>
    <n v="0"/>
    <n v="0"/>
    <n v="0"/>
    <n v="-854.76605852847752"/>
    <n v="-114.15188999806583"/>
    <n v="0"/>
    <n v="0"/>
    <m/>
    <m/>
    <m/>
    <n v="220238.54808939697"/>
    <n v="0"/>
    <n v="0"/>
    <n v="-73093.450699999987"/>
    <n v="6635.5944399999862"/>
    <n v="0"/>
    <n v="0"/>
    <n v="-68097.962770754471"/>
    <n v="0"/>
    <n v="0"/>
    <n v="0"/>
    <n v="0"/>
    <n v="0"/>
    <n v="0"/>
    <n v="0"/>
    <n v="0"/>
    <n v="0"/>
    <n v="0"/>
    <n v="0"/>
    <n v="0"/>
    <n v="36233.6462818948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7.155000000000001"/>
    <n v="17.155000000000001"/>
    <n v="17.155000000000001"/>
    <n v="17.155000000000001"/>
    <m/>
    <n v="333.61"/>
    <n v="128.11000000000001"/>
    <m/>
    <n v="7920.8066000000008"/>
    <n v="7920.8066000000008"/>
    <n v="6913.9796500000011"/>
    <n v="0"/>
    <n v="1050.1613454419899"/>
    <n v="0"/>
    <n v="0"/>
    <n v="0"/>
    <n v="0"/>
    <n v="3336.5822812244273"/>
    <n v="2197.7450014240144"/>
    <n v="0"/>
    <n v="0"/>
    <n v="0"/>
    <n v="0"/>
    <n v="0"/>
    <n v="162.1808038376152"/>
    <m/>
    <n v="14.759954531964977"/>
    <n v="59.631125989187638"/>
    <n v="318.09891340530555"/>
    <n v="0"/>
    <n v="0"/>
    <n v="0"/>
    <n v="0"/>
    <n v="0"/>
    <n v="0"/>
    <n v="0"/>
    <n v="0"/>
    <n v="0"/>
    <n v="0"/>
    <m/>
    <n v="0"/>
    <n v="0"/>
    <n v="0"/>
    <n v="0"/>
    <n v="0"/>
    <n v="232.76540170816375"/>
    <n v="0"/>
    <n v="0"/>
    <n v="0"/>
    <n v="5260.69"/>
    <n v="16"/>
    <m/>
    <m/>
    <m/>
    <m/>
    <m/>
    <n v="829.78734999999983"/>
    <m/>
    <m/>
    <m/>
    <n v="2430.510403132178"/>
    <m/>
    <m/>
    <m/>
    <m/>
    <m/>
    <m/>
    <m/>
    <m/>
    <m/>
    <m/>
    <m/>
    <m/>
    <n v="6085.9656000000004"/>
    <n v="-884.48400000000129"/>
    <m/>
    <m/>
    <m/>
    <m/>
    <n v="-1107.3552500000003"/>
    <n v="100.52829999999976"/>
    <n v="30"/>
    <n v="24.722360336761994"/>
    <n v="4.3528223510989079"/>
    <n v="23.219887888449819"/>
    <n v="0"/>
    <n v="0"/>
    <n v="0"/>
    <n v="0"/>
    <n v="0"/>
    <n v="0"/>
    <n v="0"/>
    <n v="0"/>
    <n v="100.51859468818475"/>
    <n v="0"/>
    <n v="0"/>
    <n v="0"/>
    <n v="10.646026293574067"/>
    <n v="0"/>
    <n v="-99.336003523655677"/>
    <m/>
    <n v="0"/>
    <n v="0"/>
    <n v="0"/>
    <n v="0"/>
    <n v="-12.949582669426718"/>
    <n v="-1.7293846914629363"/>
    <n v="0"/>
    <n v="0"/>
    <m/>
    <m/>
    <m/>
    <n v="3336.5822812244273"/>
    <n v="0"/>
    <n v="0"/>
    <n v="-1107.3552499999996"/>
    <n v="100.52829999999949"/>
    <n v="0"/>
    <n v="0"/>
    <n v="-1031.6743274031733"/>
    <n v="0"/>
    <n v="0"/>
    <n v="0"/>
    <n v="0"/>
    <n v="0"/>
    <n v="0"/>
    <n v="0"/>
    <n v="0"/>
    <n v="0"/>
    <n v="0"/>
    <n v="0"/>
    <n v="0"/>
    <n v="548.9345222129351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64.27799999999999"/>
    <n v="164.27799999999999"/>
    <n v="164.27799999999999"/>
    <n v="164.27799999999999"/>
    <m/>
    <n v="333.61"/>
    <n v="128.11000000000001"/>
    <m/>
    <n v="75850.438160000005"/>
    <n v="75850.438160000005"/>
    <n v="66208.962339999998"/>
    <n v="0"/>
    <n v="10056.450335559264"/>
    <n v="0"/>
    <n v="0"/>
    <n v="0"/>
    <n v="0"/>
    <n v="31951.446458466125"/>
    <n v="21045.826484636211"/>
    <n v="0"/>
    <n v="0"/>
    <n v="0"/>
    <n v="0"/>
    <n v="0"/>
    <n v="1553.0596381717137"/>
    <m/>
    <n v="141.34280446529539"/>
    <n v="571.03364122715038"/>
    <n v="3046.1470881024065"/>
    <n v="0"/>
    <n v="0"/>
    <n v="0"/>
    <n v="0"/>
    <n v="0"/>
    <n v="0"/>
    <n v="0"/>
    <n v="0"/>
    <n v="0"/>
    <n v="0"/>
    <m/>
    <n v="0"/>
    <n v="0"/>
    <n v="0"/>
    <n v="0"/>
    <n v="0"/>
    <n v="2228.9848243552156"/>
    <n v="0"/>
    <n v="0"/>
    <n v="0"/>
    <n v="23686.97"/>
    <n v="208"/>
    <m/>
    <m/>
    <m/>
    <m/>
    <m/>
    <m/>
    <m/>
    <m/>
    <m/>
    <n v="23274.811308991426"/>
    <m/>
    <m/>
    <m/>
    <m/>
    <m/>
    <m/>
    <m/>
    <m/>
    <m/>
    <m/>
    <m/>
    <m/>
    <n v="66209.768400000001"/>
    <n v="-9640.6997600000032"/>
    <m/>
    <m/>
    <m/>
    <m/>
    <n v="-10604.144900000001"/>
    <n v="962.66907999999751"/>
    <n v="30"/>
    <n v="236.7438013058927"/>
    <n v="41.683063258165362"/>
    <n v="222.35597449949046"/>
    <n v="0"/>
    <n v="0"/>
    <n v="0"/>
    <n v="0"/>
    <n v="0"/>
    <n v="0"/>
    <n v="0"/>
    <n v="0"/>
    <n v="962.57614096098041"/>
    <n v="0"/>
    <n v="0"/>
    <n v="0"/>
    <n v="101.94741518249839"/>
    <n v="0"/>
    <n v="-951.25152940012231"/>
    <m/>
    <n v="0"/>
    <n v="0"/>
    <n v="0"/>
    <n v="0"/>
    <n v="-124.0065019975566"/>
    <n v="-16.560761197560382"/>
    <n v="0"/>
    <n v="0"/>
    <m/>
    <m/>
    <m/>
    <n v="31951.446458466125"/>
    <n v="0"/>
    <n v="0"/>
    <n v="-10604.144900000007"/>
    <n v="962.66907999999603"/>
    <n v="0"/>
    <n v="0"/>
    <n v="-9879.4167972683463"/>
    <n v="0"/>
    <n v="0"/>
    <n v="0"/>
    <n v="0"/>
    <n v="0"/>
    <n v="0"/>
    <n v="0"/>
    <n v="0"/>
    <n v="0"/>
    <n v="0"/>
    <n v="0"/>
    <n v="0"/>
    <n v="5256.652022156604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"/>
    <s v="Regular"/>
    <s v="Verde"/>
    <s v="A4"/>
    <s v="Poder público"/>
    <s v="Não se aplica"/>
    <s v="Não se aplica"/>
    <s v="Não se aplica"/>
    <s v="Ponta"/>
    <s v="CATIVO"/>
    <x v="0"/>
    <n v="0"/>
    <n v="0"/>
    <n v="1.9390000000000001"/>
    <n v="1.9390000000000001"/>
    <n v="1.9390000000000001"/>
    <n v="1.9390000000000001"/>
    <m/>
    <n v="1351.49"/>
    <n v="128.11000000000001"/>
    <m/>
    <n v="2868.9444000000003"/>
    <n v="2868.9444000000003"/>
    <n v="2214.1634899999999"/>
    <n v="0"/>
    <n v="103.26719198288878"/>
    <n v="0"/>
    <n v="0"/>
    <n v="0"/>
    <n v="0"/>
    <n v="2179.3286393959565"/>
    <n v="248.40731901842983"/>
    <n v="0"/>
    <n v="0"/>
    <n v="0"/>
    <n v="0"/>
    <n v="0"/>
    <n v="18.331015951100895"/>
    <m/>
    <n v="0.95321366557004783"/>
    <n v="40.2779339495222"/>
    <n v="214.24413828209225"/>
    <n v="0"/>
    <n v="0"/>
    <n v="0"/>
    <n v="0"/>
    <n v="0"/>
    <n v="0"/>
    <n v="0"/>
    <n v="0"/>
    <n v="0"/>
    <n v="0"/>
    <m/>
    <n v="0"/>
    <n v="0"/>
    <n v="0"/>
    <n v="0"/>
    <n v="0"/>
    <n v="10.157675094265407"/>
    <n v="0"/>
    <n v="0"/>
    <n v="0"/>
    <n v="0"/>
    <n v="0"/>
    <m/>
    <m/>
    <m/>
    <m/>
    <m/>
    <m/>
    <m/>
    <m/>
    <m/>
    <n v="258.56499411269522"/>
    <m/>
    <m/>
    <m/>
    <m/>
    <m/>
    <m/>
    <m/>
    <m/>
    <m/>
    <m/>
    <m/>
    <m/>
    <n v="2215.3054000000002"/>
    <n v="-653.66900000000078"/>
    <m/>
    <m/>
    <m/>
    <m/>
    <n v="-666.14344999999992"/>
    <n v="11.362539999999973"/>
    <n v="30"/>
    <n v="19.061550734726325"/>
    <n v="2.9401204193821684"/>
    <n v="15.638924441495732"/>
    <n v="0"/>
    <n v="0"/>
    <n v="0"/>
    <n v="0"/>
    <n v="0"/>
    <n v="0"/>
    <n v="0"/>
    <n v="0"/>
    <n v="11.361443025379771"/>
    <n v="0"/>
    <n v="0"/>
    <n v="0"/>
    <n v="0.46458311820209985"/>
    <n v="0"/>
    <n v="-9.7681658072960147"/>
    <m/>
    <n v="0"/>
    <n v="0"/>
    <n v="0"/>
    <n v="0"/>
    <n v="-1.4636689475965277"/>
    <n v="-0.11168551484085365"/>
    <n v="0"/>
    <n v="0"/>
    <m/>
    <m/>
    <m/>
    <n v="2179.3286393959565"/>
    <n v="0"/>
    <n v="0"/>
    <n v="-666.14345000000003"/>
    <n v="11.362539999999967"/>
    <n v="0"/>
    <n v="0"/>
    <n v="-673.85043099078052"/>
    <n v="0"/>
    <n v="0"/>
    <n v="0"/>
    <n v="0"/>
    <n v="0"/>
    <n v="0"/>
    <n v="0"/>
    <n v="0"/>
    <n v="0"/>
    <n v="0"/>
    <n v="0"/>
    <n v="0"/>
    <n v="53.9792546520935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"/>
    <s v="Regular"/>
    <s v="Verde"/>
    <s v="A4"/>
    <s v="Poder público"/>
    <s v="Não se aplica"/>
    <s v="Não se aplica"/>
    <s v="Não se aplica"/>
    <s v="Fora ponta"/>
    <s v="CATIVO"/>
    <x v="0"/>
    <n v="0"/>
    <n v="0"/>
    <n v="20.654"/>
    <n v="20.654"/>
    <n v="20.654"/>
    <n v="20.654"/>
    <m/>
    <n v="96.28"/>
    <n v="128.11000000000001"/>
    <m/>
    <n v="4634.5510599999998"/>
    <n v="4634.5510599999998"/>
    <n v="4639.7145600000003"/>
    <n v="0"/>
    <n v="1099.9899861859642"/>
    <n v="0"/>
    <n v="0"/>
    <n v="0"/>
    <n v="0"/>
    <n v="0"/>
    <n v="2646.0055528657294"/>
    <n v="0"/>
    <n v="0"/>
    <n v="0"/>
    <n v="0"/>
    <n v="0"/>
    <n v="195.25982643323255"/>
    <m/>
    <n v="10.1535198807033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19836069982347"/>
    <n v="0"/>
    <n v="0"/>
    <n v="0"/>
    <n v="0"/>
    <n v="0"/>
    <m/>
    <m/>
    <m/>
    <m/>
    <m/>
    <m/>
    <m/>
    <m/>
    <m/>
    <n v="2754.2039135655527"/>
    <m/>
    <m/>
    <m/>
    <m/>
    <m/>
    <m/>
    <m/>
    <m/>
    <m/>
    <m/>
    <m/>
    <m/>
    <n v="4638.8159999999998"/>
    <n v="4.2349399999993693"/>
    <m/>
    <m/>
    <m/>
    <m/>
    <n v="-115.86893999999998"/>
    <n v="121.0324399999997"/>
    <n v="30"/>
    <n v="5.1395958321136277"/>
    <n v="0"/>
    <n v="0"/>
    <n v="0"/>
    <n v="0"/>
    <n v="0"/>
    <n v="0"/>
    <n v="0"/>
    <n v="0"/>
    <n v="0"/>
    <n v="0"/>
    <n v="121.02075515533488"/>
    <n v="0"/>
    <n v="0"/>
    <n v="0"/>
    <n v="4.948684746439497"/>
    <n v="0"/>
    <n v="-104.04935357601437"/>
    <m/>
    <n v="0"/>
    <n v="0"/>
    <n v="0"/>
    <n v="0"/>
    <n v="-15.590829522258218"/>
    <n v="-1.1896609713888555"/>
    <n v="0"/>
    <n v="0"/>
    <m/>
    <m/>
    <m/>
    <n v="0"/>
    <n v="0"/>
    <n v="0"/>
    <n v="-115.86893999999984"/>
    <n v="121.03243999999995"/>
    <n v="0"/>
    <n v="0"/>
    <n v="0"/>
    <n v="0"/>
    <n v="0"/>
    <n v="0"/>
    <n v="0"/>
    <n v="0"/>
    <n v="0"/>
    <n v="0"/>
    <n v="0"/>
    <n v="0"/>
    <n v="0"/>
    <n v="0"/>
    <n v="0"/>
    <n v="574.9806733286956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"/>
    <s v="Regular"/>
    <s v="Verde"/>
    <s v="A4"/>
    <s v="Poder público"/>
    <s v="Não se aplica"/>
    <s v="Não se aplica"/>
    <s v="Não se aplica"/>
    <s v="Não se aplica"/>
    <s v="CATIVO"/>
    <x v="0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46.43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0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0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859.23299999999995"/>
    <n v="859.23299999999995"/>
    <n v="859.23299999999995"/>
    <n v="859.23299999999995"/>
    <m/>
    <n v="183.49"/>
    <n v="70.459999999999994"/>
    <m/>
    <n v="218202.22034999996"/>
    <n v="218202.22034999996"/>
    <n v="190457.58677999998"/>
    <n v="0"/>
    <n v="28929.367871202947"/>
    <n v="0"/>
    <n v="0"/>
    <n v="0"/>
    <n v="0"/>
    <n v="91914.653557786412"/>
    <n v="60542.481314177312"/>
    <n v="0"/>
    <n v="0"/>
    <n v="0"/>
    <n v="0"/>
    <n v="0"/>
    <n v="4467.683138623901"/>
    <m/>
    <n v="406.60052502478118"/>
    <n v="1642.691180553031"/>
    <n v="8762.8444193581563"/>
    <n v="0"/>
    <n v="0"/>
    <n v="0"/>
    <n v="0"/>
    <n v="0"/>
    <n v="0"/>
    <n v="0"/>
    <n v="0"/>
    <n v="0"/>
    <n v="0"/>
    <m/>
    <n v="0"/>
    <n v="0"/>
    <n v="0"/>
    <n v="0"/>
    <n v="0"/>
    <n v="6412.1155886476527"/>
    <n v="0"/>
    <n v="0"/>
    <n v="0"/>
    <n v="102889.66"/>
    <n v="13"/>
    <m/>
    <m/>
    <m/>
    <m/>
    <m/>
    <m/>
    <m/>
    <m/>
    <m/>
    <n v="66954.596902824967"/>
    <m/>
    <m/>
    <m/>
    <m/>
    <m/>
    <m/>
    <m/>
    <m/>
    <m/>
    <m/>
    <m/>
    <m/>
    <n v="190456.92180000001"/>
    <n v="-27745.328549999977"/>
    <m/>
    <m/>
    <m/>
    <m/>
    <n v="-30511.363830000013"/>
    <n v="2766.7302600000112"/>
    <n v="30"/>
    <n v="681.04035625643155"/>
    <n v="119.90957353313797"/>
    <n v="639.65092751568773"/>
    <n v="0"/>
    <n v="0"/>
    <n v="0"/>
    <n v="0"/>
    <n v="0"/>
    <n v="0"/>
    <n v="0"/>
    <n v="0"/>
    <n v="2769.040601477107"/>
    <n v="0"/>
    <n v="0"/>
    <n v="0"/>
    <n v="293.27189802794055"/>
    <n v="0"/>
    <n v="-2736.463117085601"/>
    <m/>
    <n v="0"/>
    <n v="0"/>
    <n v="0"/>
    <n v="0"/>
    <n v="-356.72922303641008"/>
    <n v="-47.640304175451774"/>
    <n v="0"/>
    <n v="0"/>
    <m/>
    <m/>
    <m/>
    <n v="91914.653557786412"/>
    <n v="0"/>
    <n v="0"/>
    <n v="-30511.363830000002"/>
    <n v="2766.7302600000112"/>
    <n v="0"/>
    <n v="0"/>
    <n v="-28420.095893132573"/>
    <n v="0"/>
    <n v="0"/>
    <n v="0"/>
    <n v="0"/>
    <n v="0"/>
    <n v="0"/>
    <n v="0"/>
    <n v="0"/>
    <n v="0"/>
    <n v="0"/>
    <n v="0"/>
    <n v="0"/>
    <n v="15121.79894949129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76.369"/>
    <n v="71.78685999999999"/>
    <n v="76.369"/>
    <n v="71.78685999999999"/>
    <m/>
    <n v="333.61"/>
    <n v="128.11000000000001"/>
    <m/>
    <n v="35261.094680000002"/>
    <n v="35261.094680000002"/>
    <n v="30778.998070000001"/>
    <n v="0"/>
    <n v="4675.0085566924699"/>
    <n v="0"/>
    <n v="0"/>
    <n v="0"/>
    <n v="0"/>
    <n v="14853.480165247931"/>
    <n v="9783.7125044448003"/>
    <n v="0"/>
    <n v="0"/>
    <n v="0"/>
    <n v="0"/>
    <n v="0"/>
    <n v="721.98110220197236"/>
    <m/>
    <n v="65.706964013502372"/>
    <n v="265.46018424181113"/>
    <n v="1416.0825367443765"/>
    <n v="0"/>
    <n v="0"/>
    <n v="0"/>
    <n v="0"/>
    <n v="0"/>
    <n v="0"/>
    <n v="0"/>
    <n v="0"/>
    <n v="0"/>
    <n v="0"/>
    <m/>
    <n v="0"/>
    <n v="0"/>
    <n v="0"/>
    <n v="0"/>
    <n v="0"/>
    <n v="1036.2029124483099"/>
    <n v="0"/>
    <n v="0"/>
    <n v="0"/>
    <n v="12041.71"/>
    <n v="29"/>
    <m/>
    <m/>
    <m/>
    <m/>
    <n v="1846.7398842000039"/>
    <m/>
    <m/>
    <m/>
    <m/>
    <n v="10819.915416893111"/>
    <m/>
    <m/>
    <m/>
    <m/>
    <m/>
    <m/>
    <m/>
    <m/>
    <m/>
    <m/>
    <m/>
    <m/>
    <n v="28933.523700000005"/>
    <n v="-4211.9352991999913"/>
    <m/>
    <m/>
    <m/>
    <m/>
    <n v="-4929.618950000001"/>
    <n v="447.52233999999885"/>
    <n v="30"/>
    <n v="110.05665616777333"/>
    <n v="19.377481208456572"/>
    <n v="103.36809199376421"/>
    <n v="0"/>
    <n v="0"/>
    <n v="0"/>
    <n v="0"/>
    <n v="0"/>
    <n v="0"/>
    <n v="0"/>
    <n v="0"/>
    <n v="447.47913481445539"/>
    <n v="0"/>
    <n v="0"/>
    <n v="0"/>
    <n v="47.392968931154655"/>
    <n v="0"/>
    <n v="-442.21458776438703"/>
    <m/>
    <n v="0"/>
    <n v="0"/>
    <n v="0"/>
    <n v="0"/>
    <n v="-57.647722464672142"/>
    <n v="-7.6987105509957914"/>
    <n v="0"/>
    <n v="0"/>
    <m/>
    <m/>
    <m/>
    <n v="14853.480165247931"/>
    <n v="0"/>
    <n v="0"/>
    <n v="-4929.61895"/>
    <n v="447.52233999999953"/>
    <n v="0"/>
    <n v="0"/>
    <n v="-4592.7098052726851"/>
    <n v="0"/>
    <n v="0"/>
    <n v="0"/>
    <n v="0"/>
    <n v="0"/>
    <n v="0"/>
    <n v="0"/>
    <n v="0"/>
    <n v="0"/>
    <n v="0"/>
    <n v="0"/>
    <n v="0"/>
    <n v="2443.694580406857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"/>
    <s v="Regular"/>
    <s v="Azul"/>
    <s v="A4"/>
    <s v="Serviço público"/>
    <s v="Água, esgoto e saneamento"/>
    <s v="Não se aplica"/>
    <s v="Não se aplica"/>
    <s v="Ponta"/>
    <s v="CATIVO"/>
    <x v="0"/>
    <n v="507"/>
    <n v="476.58"/>
    <n v="18.385000000000002"/>
    <n v="17.2819"/>
    <n v="18.385000000000002"/>
    <n v="17.2819"/>
    <n v="52.19"/>
    <n v="96.28"/>
    <n v="128.11000000000001"/>
    <n v="26460.329999999998"/>
    <n v="4125.4101500000006"/>
    <n v="30585.740150000001"/>
    <n v="23466.986400000002"/>
    <n v="0"/>
    <n v="979.14766611934522"/>
    <n v="0"/>
    <n v="0"/>
    <n v="0"/>
    <n v="0"/>
    <n v="23693.958789993761"/>
    <n v="2355.3215885269897"/>
    <n v="0"/>
    <n v="0"/>
    <n v="0"/>
    <n v="0"/>
    <n v="0"/>
    <n v="173.80903984579163"/>
    <m/>
    <n v="9.0380779997448837"/>
    <n v="437.86022476542564"/>
    <n v="2329.3020210690902"/>
    <n v="0"/>
    <n v="0"/>
    <n v="0"/>
    <n v="0"/>
    <n v="0"/>
    <n v="0"/>
    <n v="0"/>
    <n v="0"/>
    <n v="0"/>
    <n v="0"/>
    <m/>
    <n v="0"/>
    <n v="0"/>
    <n v="0"/>
    <n v="0"/>
    <n v="0"/>
    <n v="96.311942551866693"/>
    <n v="0"/>
    <n v="0"/>
    <n v="0"/>
    <n v="0"/>
    <n v="0"/>
    <m/>
    <m/>
    <m/>
    <m/>
    <n v="1408.0191840000009"/>
    <m/>
    <m/>
    <m/>
    <m/>
    <n v="2451.6335310788563"/>
    <m/>
    <m/>
    <m/>
    <m/>
    <m/>
    <m/>
    <m/>
    <m/>
    <m/>
    <m/>
    <m/>
    <m/>
    <n v="22058.540400000002"/>
    <n v="-6692.0853409999909"/>
    <m/>
    <m/>
    <m/>
    <m/>
    <n v="-7226.4898499999981"/>
    <n v="107.73609999999974"/>
    <n v="30"/>
    <n v="206.56622180948125"/>
    <n v="31.961961834523891"/>
    <n v="170.02928808702291"/>
    <n v="0"/>
    <n v="0"/>
    <n v="0"/>
    <n v="0"/>
    <n v="0"/>
    <n v="0"/>
    <n v="0"/>
    <n v="0"/>
    <n v="107.72569882496509"/>
    <n v="0"/>
    <n v="0"/>
    <n v="0"/>
    <n v="4.4050338463876244"/>
    <n v="0"/>
    <n v="-92.618735619978111"/>
    <m/>
    <n v="0"/>
    <n v="0"/>
    <n v="0"/>
    <n v="0"/>
    <n v="-13.878057556246603"/>
    <n v="-1.0589676071939627"/>
    <n v="0"/>
    <n v="0"/>
    <m/>
    <m/>
    <n v="23693.958789993761"/>
    <n v="0"/>
    <n v="0"/>
    <n v="0"/>
    <n v="-7226.4898499999981"/>
    <n v="107.73609999999962"/>
    <n v="0"/>
    <n v="0"/>
    <n v="-7326.1939727183508"/>
    <n v="0"/>
    <n v="0"/>
    <n v="0"/>
    <n v="0"/>
    <n v="0"/>
    <n v="0"/>
    <n v="0"/>
    <n v="0"/>
    <n v="0"/>
    <n v="0"/>
    <n v="0"/>
    <n v="0"/>
    <n v="511.814645063816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"/>
    <s v="Regular"/>
    <s v="Azul"/>
    <s v="A4"/>
    <s v="Serviço público"/>
    <s v="Água, esgoto e saneamento"/>
    <s v="Não se aplica"/>
    <s v="Não se aplica"/>
    <s v="Fora ponta"/>
    <s v="CATIVO"/>
    <x v="0"/>
    <n v="505"/>
    <n v="474.7"/>
    <n v="145.86699999999999"/>
    <n v="137.11497999999997"/>
    <n v="145.86699999999999"/>
    <n v="137.11497999999997"/>
    <n v="18.12"/>
    <n v="96.28"/>
    <n v="128.11000000000001"/>
    <n v="9150.6"/>
    <n v="32731.096130000002"/>
    <n v="41881.696130000004"/>
    <n v="40064.812879999998"/>
    <n v="0"/>
    <n v="7768.5794187560787"/>
    <n v="0"/>
    <n v="0"/>
    <n v="0"/>
    <n v="0"/>
    <n v="6594.7638505833847"/>
    <n v="18687.174008902166"/>
    <n v="0"/>
    <n v="0"/>
    <n v="0"/>
    <n v="0"/>
    <n v="0"/>
    <n v="1379.00479821518"/>
    <m/>
    <n v="71.708312406243508"/>
    <n v="401.40955804483787"/>
    <n v="2151.9671251241639"/>
    <n v="0"/>
    <n v="0"/>
    <n v="0"/>
    <n v="0"/>
    <n v="0"/>
    <n v="0"/>
    <n v="0"/>
    <n v="0"/>
    <n v="0"/>
    <n v="0"/>
    <m/>
    <n v="0"/>
    <n v="0"/>
    <n v="0"/>
    <n v="0"/>
    <n v="0"/>
    <n v="764.14110003878898"/>
    <n v="0"/>
    <n v="0"/>
    <n v="0"/>
    <n v="0"/>
    <n v="0"/>
    <m/>
    <m/>
    <m/>
    <m/>
    <n v="2403.8887728000036"/>
    <m/>
    <m/>
    <m/>
    <m/>
    <n v="19451.315108940955"/>
    <m/>
    <m/>
    <m/>
    <m/>
    <m/>
    <m/>
    <m/>
    <m/>
    <m/>
    <m/>
    <m/>
    <m/>
    <n v="37659.805399999997"/>
    <n v="-1709.0189621999962"/>
    <m/>
    <m/>
    <m/>
    <m/>
    <n v="-2671.6638700000008"/>
    <n v="854.78061999999784"/>
    <n v="30"/>
    <n v="222.68372856304632"/>
    <n v="29.301215887137005"/>
    <n v="157.08458369155778"/>
    <n v="0"/>
    <n v="0"/>
    <n v="0"/>
    <n v="0"/>
    <n v="0"/>
    <n v="0"/>
    <n v="0"/>
    <n v="0"/>
    <n v="854.69809684532083"/>
    <n v="0"/>
    <n v="0"/>
    <n v="0"/>
    <n v="34.949636772968461"/>
    <n v="0"/>
    <n v="-734.83911387975695"/>
    <m/>
    <n v="0"/>
    <n v="0"/>
    <n v="0"/>
    <n v="0"/>
    <n v="-110.1088181428895"/>
    <n v="-8.4018726112897397"/>
    <n v="0"/>
    <n v="0"/>
    <m/>
    <m/>
    <n v="6594.7638505833847"/>
    <n v="0"/>
    <n v="0"/>
    <n v="0"/>
    <n v="-2671.663870000004"/>
    <n v="854.78061999999773"/>
    <n v="0"/>
    <n v="0"/>
    <n v="-2039.107082183702"/>
    <n v="0"/>
    <n v="0"/>
    <n v="0"/>
    <n v="0"/>
    <n v="0"/>
    <n v="0"/>
    <n v="0"/>
    <n v="0"/>
    <n v="0"/>
    <n v="0"/>
    <n v="0"/>
    <n v="0"/>
    <n v="4060.748807806567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"/>
    <s v="Regular"/>
    <s v="Azul"/>
    <s v="A4"/>
    <s v="Serviço público"/>
    <s v="Água, esgoto e saneamento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738.3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5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0.52"/>
    <n v="0.52"/>
    <n v="0.52"/>
    <n v="0.52"/>
    <m/>
    <n v="333.61"/>
    <n v="128.11000000000001"/>
    <m/>
    <n v="240.09440000000001"/>
    <n v="240.09440000000001"/>
    <n v="209.57560000000001"/>
    <n v="0"/>
    <n v="31.832346233158539"/>
    <n v="0"/>
    <n v="0"/>
    <n v="0"/>
    <n v="0"/>
    <n v="101.13802309744693"/>
    <n v="66.617744141095159"/>
    <n v="0"/>
    <n v="0"/>
    <n v="0"/>
    <n v="0"/>
    <n v="0"/>
    <n v="4.9160022148388167"/>
    <m/>
    <n v="0.44740171125746359"/>
    <n v="1.807530487576658"/>
    <n v="9.6421705025216493"/>
    <n v="0"/>
    <n v="0"/>
    <n v="0"/>
    <n v="0"/>
    <n v="0"/>
    <n v="0"/>
    <n v="0"/>
    <n v="0"/>
    <n v="0"/>
    <n v="0"/>
    <m/>
    <n v="0"/>
    <n v="0"/>
    <n v="0"/>
    <n v="0"/>
    <n v="0"/>
    <n v="7.0555528352226844"/>
    <n v="0"/>
    <n v="0"/>
    <n v="0"/>
    <n v="28.93"/>
    <n v="2"/>
    <m/>
    <m/>
    <m/>
    <m/>
    <m/>
    <m/>
    <m/>
    <m/>
    <m/>
    <n v="73.673296976317843"/>
    <m/>
    <m/>
    <m/>
    <m/>
    <m/>
    <m/>
    <m/>
    <m/>
    <m/>
    <m/>
    <m/>
    <m/>
    <n v="209.57560000000001"/>
    <n v="-30.548799999999972"/>
    <m/>
    <m/>
    <m/>
    <m/>
    <n v="-33.56600000000001"/>
    <n v="3.0471999999999926"/>
    <n v="30"/>
    <n v="0.74938078549203624"/>
    <n v="0.13194215229212669"/>
    <n v="0.7038380473327841"/>
    <n v="0"/>
    <n v="0"/>
    <n v="0"/>
    <n v="0"/>
    <n v="0"/>
    <n v="0"/>
    <n v="0"/>
    <n v="0"/>
    <n v="3.0469058139234022"/>
    <n v="0"/>
    <n v="0"/>
    <n v="0"/>
    <n v="0.3227008844452639"/>
    <n v="0"/>
    <n v="-3.0110592732323518"/>
    <m/>
    <n v="0"/>
    <n v="0"/>
    <n v="0"/>
    <n v="0"/>
    <n v="-0.39252596841165222"/>
    <n v="-5.2420870857518287E-2"/>
    <n v="0"/>
    <n v="0"/>
    <m/>
    <m/>
    <m/>
    <n v="101.13802309744693"/>
    <n v="0"/>
    <n v="0"/>
    <n v="-33.566000000000003"/>
    <n v="3.0471999999999895"/>
    <n v="0"/>
    <n v="0"/>
    <n v="-31.271970285610621"/>
    <n v="0"/>
    <n v="0"/>
    <n v="0"/>
    <n v="0"/>
    <n v="0"/>
    <n v="0"/>
    <n v="0"/>
    <n v="0"/>
    <n v="0"/>
    <n v="0"/>
    <n v="0"/>
    <n v="0"/>
    <n v="16.6392277208234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"/>
    <s v="Regular"/>
    <s v="Verde"/>
    <s v="A4"/>
    <s v="Consumo próprio"/>
    <s v="Não se aplica"/>
    <s v="Não se aplica"/>
    <s v="Não se aplica"/>
    <s v="Ponta"/>
    <s v="CATIVO"/>
    <x v="0"/>
    <n v="0"/>
    <n v="0"/>
    <n v="1.103"/>
    <n v="1.103"/>
    <n v="1.103"/>
    <n v="1.103"/>
    <m/>
    <n v="1351.49"/>
    <n v="128.11000000000001"/>
    <m/>
    <n v="1631.9987999999998"/>
    <n v="1631.9987999999998"/>
    <n v="1259.52673"/>
    <n v="0"/>
    <n v="58.743534170771696"/>
    <n v="0"/>
    <n v="0"/>
    <n v="0"/>
    <n v="0"/>
    <n v="1239.7109279286951"/>
    <n v="141.30648420697685"/>
    <n v="0"/>
    <n v="0"/>
    <n v="0"/>
    <n v="0"/>
    <n v="0"/>
    <n v="10.427597005706183"/>
    <m/>
    <n v="0.54223551991942376"/>
    <n v="22.912099611306335"/>
    <n v="121.87276148795654"/>
    <n v="0"/>
    <n v="0"/>
    <n v="0"/>
    <n v="0"/>
    <n v="0"/>
    <n v="0"/>
    <n v="0"/>
    <n v="0"/>
    <n v="0"/>
    <n v="0"/>
    <m/>
    <n v="0"/>
    <n v="0"/>
    <n v="0"/>
    <n v="0"/>
    <n v="0"/>
    <n v="5.7781926915805792"/>
    <n v="0"/>
    <n v="0"/>
    <n v="0"/>
    <n v="0"/>
    <n v="0"/>
    <m/>
    <m/>
    <m/>
    <m/>
    <m/>
    <m/>
    <m/>
    <m/>
    <m/>
    <n v="147.08467689855743"/>
    <m/>
    <m/>
    <m/>
    <m/>
    <m/>
    <m/>
    <m/>
    <m/>
    <m/>
    <m/>
    <m/>
    <m/>
    <n v="1256.1010000000001"/>
    <n v="-375.92779999999971"/>
    <m/>
    <m/>
    <m/>
    <m/>
    <n v="-378.93564999999995"/>
    <n v="6.4635799999999834"/>
    <n v="30"/>
    <n v="10.843161660857731"/>
    <n v="1.6724872731194083"/>
    <n v="8.8962009587260269"/>
    <n v="0"/>
    <n v="0"/>
    <n v="0"/>
    <n v="0"/>
    <n v="0"/>
    <n v="0"/>
    <n v="0"/>
    <n v="0"/>
    <n v="6.4629559860721315"/>
    <n v="0"/>
    <n v="0"/>
    <n v="0"/>
    <n v="0.26427807084936372"/>
    <n v="0"/>
    <n v="-5.5566203638202794"/>
    <m/>
    <n v="0"/>
    <n v="0"/>
    <n v="0"/>
    <n v="0"/>
    <n v="-0.83260796761164002"/>
    <n v="-6.3532296477288031E-2"/>
    <n v="0"/>
    <n v="0"/>
    <m/>
    <m/>
    <m/>
    <n v="1239.7109279286951"/>
    <n v="0"/>
    <n v="0"/>
    <n v="-378.9356499999999"/>
    <n v="6.463579999999979"/>
    <n v="0"/>
    <n v="0"/>
    <n v="-383.3197655403975"/>
    <n v="0"/>
    <n v="0"/>
    <n v="0"/>
    <n v="0"/>
    <n v="0"/>
    <n v="0"/>
    <n v="0"/>
    <n v="0"/>
    <n v="0"/>
    <n v="0"/>
    <n v="0"/>
    <n v="0"/>
    <n v="30.7060948330372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"/>
    <s v="Regular"/>
    <s v="Verde"/>
    <s v="A4"/>
    <s v="Consumo próprio"/>
    <s v="Não se aplica"/>
    <s v="Não se aplica"/>
    <s v="Não se aplica"/>
    <s v="Fora ponta"/>
    <s v="CATIVO"/>
    <x v="0"/>
    <n v="0"/>
    <n v="0"/>
    <n v="11.663"/>
    <n v="11.663"/>
    <n v="11.663"/>
    <n v="11.663"/>
    <m/>
    <n v="96.28"/>
    <n v="128.11000000000001"/>
    <m/>
    <n v="2617.0605700000001"/>
    <n v="2617.0605700000001"/>
    <n v="2619.9763199999998"/>
    <n v="0"/>
    <n v="621.14763285014533"/>
    <n v="0"/>
    <n v="0"/>
    <n v="0"/>
    <n v="0"/>
    <n v="0"/>
    <n v="1494.1591344569092"/>
    <n v="0"/>
    <n v="0"/>
    <n v="0"/>
    <n v="0"/>
    <n v="0"/>
    <n v="110.26025736858678"/>
    <m/>
    <n v="5.7335384123483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097970409704715"/>
    <n v="0"/>
    <n v="0"/>
    <n v="0"/>
    <n v="0"/>
    <n v="0"/>
    <m/>
    <m/>
    <m/>
    <m/>
    <m/>
    <m/>
    <m/>
    <m/>
    <m/>
    <n v="1555.2571048666139"/>
    <m/>
    <m/>
    <m/>
    <m/>
    <m/>
    <m/>
    <m/>
    <m/>
    <m/>
    <m/>
    <m/>
    <m/>
    <n v="2619.3024"/>
    <n v="2.2118299999997362"/>
    <m/>
    <m/>
    <m/>
    <m/>
    <n v="-65.429429999999996"/>
    <n v="68.345179999999829"/>
    <n v="30"/>
    <n v="2.9022516795744195"/>
    <n v="0"/>
    <n v="0"/>
    <n v="0"/>
    <n v="0"/>
    <n v="0"/>
    <n v="0"/>
    <n v="0"/>
    <n v="0"/>
    <n v="0"/>
    <n v="0"/>
    <n v="68.338581745747661"/>
    <n v="0"/>
    <n v="0"/>
    <n v="0"/>
    <n v="2.794447090041821"/>
    <n v="0"/>
    <n v="-58.755089123513926"/>
    <m/>
    <n v="0"/>
    <n v="0"/>
    <n v="0"/>
    <n v="0"/>
    <n v="-8.8039045568944374"/>
    <n v="-0.67178347580653774"/>
    <n v="0"/>
    <n v="0"/>
    <m/>
    <m/>
    <m/>
    <n v="0"/>
    <n v="0"/>
    <n v="0"/>
    <n v="-65.429429999999911"/>
    <n v="68.3451799999998"/>
    <n v="0"/>
    <n v="0"/>
    <n v="0"/>
    <n v="0"/>
    <n v="0"/>
    <n v="0"/>
    <n v="0"/>
    <n v="0"/>
    <n v="0"/>
    <n v="0"/>
    <n v="0"/>
    <n v="0"/>
    <n v="0"/>
    <n v="0"/>
    <n v="0"/>
    <n v="324.6828504421699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"/>
    <s v="Regular"/>
    <s v="Verde"/>
    <s v="A4"/>
    <s v="Consumo próprio"/>
    <s v="Não se aplica"/>
    <s v="Não se aplica"/>
    <s v="Não se aplica"/>
    <s v="Não se aplica"/>
    <s v="CATIVO"/>
    <x v="0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0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9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305.129999999997"/>
    <n v="1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0"/>
    <s v="Regular"/>
    <s v="Convencional"/>
    <s v="B2"/>
    <s v="Rural"/>
    <s v="Agropecuária rural"/>
    <s v="IRRIG./AQUIC."/>
    <s v="Não se aplica"/>
    <s v="Não se aplica"/>
    <s v="CATIVO"/>
    <x v="0"/>
    <n v="0"/>
    <n v="0"/>
    <n v="218.55099999999999"/>
    <n v="218.55099999999999"/>
    <n v="218.55099999999999"/>
    <n v="218.55099999999999"/>
    <m/>
    <n v="333.61"/>
    <n v="128.11000000000001"/>
    <m/>
    <n v="100909.36771999999"/>
    <n v="100909.36771999999"/>
    <n v="88082.609530000002"/>
    <n v="0"/>
    <n v="13378.82904154429"/>
    <n v="0"/>
    <n v="0"/>
    <n v="0"/>
    <n v="0"/>
    <n v="42507.338626865618"/>
    <n v="27998.797307270168"/>
    <n v="0"/>
    <n v="0"/>
    <n v="0"/>
    <n v="0"/>
    <n v="0"/>
    <n v="2066.1484616446887"/>
    <m/>
    <n v="188.0386373019806"/>
    <n v="759.68768382762721"/>
    <n v="4052.5115490319399"/>
    <n v="0"/>
    <n v="0"/>
    <n v="0"/>
    <n v="0"/>
    <n v="0"/>
    <n v="0"/>
    <n v="0"/>
    <n v="0"/>
    <n v="0"/>
    <n v="0"/>
    <m/>
    <n v="0"/>
    <n v="0"/>
    <n v="0"/>
    <n v="0"/>
    <n v="0"/>
    <n v="2965.3810147899089"/>
    <n v="0"/>
    <n v="0"/>
    <n v="0"/>
    <n v="0"/>
    <n v="0"/>
    <m/>
    <m/>
    <m/>
    <m/>
    <m/>
    <n v="10571.311869999998"/>
    <m/>
    <m/>
    <m/>
    <n v="30964.178322060077"/>
    <m/>
    <m/>
    <m/>
    <m/>
    <m/>
    <m/>
    <m/>
    <m/>
    <m/>
    <m/>
    <m/>
    <m/>
    <n v="77510.943000000014"/>
    <n v="-11290.729319999969"/>
    <m/>
    <m/>
    <m/>
    <m/>
    <n v="-14107.467050000001"/>
    <n v="1280.7088599999968"/>
    <n v="30"/>
    <n v="314.95753855783551"/>
    <n v="55.454017933839623"/>
    <n v="295.81636362043673"/>
    <n v="0"/>
    <n v="0"/>
    <n v="0"/>
    <n v="0"/>
    <n v="0"/>
    <n v="0"/>
    <n v="0"/>
    <n v="0"/>
    <n v="1280.5852164207208"/>
    <n v="0"/>
    <n v="0"/>
    <n v="0"/>
    <n v="135.62807883922505"/>
    <n v="0"/>
    <n v="-1265.5192600465434"/>
    <m/>
    <n v="0"/>
    <n v="0"/>
    <n v="0"/>
    <n v="0"/>
    <n v="-164.97489023525964"/>
    <n v="-22.031987974579778"/>
    <n v="0"/>
    <n v="0"/>
    <m/>
    <m/>
    <m/>
    <n v="42507.338626865618"/>
    <n v="0"/>
    <n v="0"/>
    <n v="-14107.467049999992"/>
    <n v="1280.7088599999952"/>
    <n v="0"/>
    <n v="0"/>
    <n v="-13143.308419020159"/>
    <n v="0"/>
    <n v="0"/>
    <n v="0"/>
    <n v="0"/>
    <n v="0"/>
    <n v="0"/>
    <n v="0"/>
    <n v="0"/>
    <n v="0"/>
    <n v="0"/>
    <n v="0"/>
    <n v="0"/>
    <n v="6993.30741848785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103.145"/>
    <n v="41.258000000000003"/>
    <n v="103.145"/>
    <n v="41.258000000000003"/>
    <m/>
    <n v="333.61"/>
    <n v="128.11000000000001"/>
    <m/>
    <n v="47624.109400000001"/>
    <n v="47624.109400000001"/>
    <n v="41570.529349999997"/>
    <n v="0"/>
    <n v="6314.1295234983409"/>
    <n v="0"/>
    <n v="0"/>
    <n v="0"/>
    <n v="0"/>
    <n v="20061.310369973391"/>
    <n v="13214.013883525498"/>
    <n v="0"/>
    <n v="0"/>
    <n v="0"/>
    <n v="0"/>
    <n v="0"/>
    <n v="975.11740086451869"/>
    <m/>
    <n v="88.744710591636689"/>
    <n v="358.53410027133538"/>
    <n v="1912.5801470819142"/>
    <n v="0"/>
    <n v="0"/>
    <n v="0"/>
    <n v="0"/>
    <n v="0"/>
    <n v="0"/>
    <n v="0"/>
    <n v="0"/>
    <n v="0"/>
    <n v="0"/>
    <m/>
    <n v="0"/>
    <n v="0"/>
    <n v="0"/>
    <n v="0"/>
    <n v="0"/>
    <n v="1399.5096099789303"/>
    <n v="0"/>
    <n v="0"/>
    <n v="0"/>
    <n v="0"/>
    <n v="0"/>
    <m/>
    <m/>
    <m/>
    <m/>
    <m/>
    <m/>
    <n v="26937.967069999995"/>
    <m/>
    <m/>
    <n v="14613.523493504428"/>
    <m/>
    <m/>
    <m/>
    <m/>
    <m/>
    <m/>
    <m/>
    <m/>
    <m/>
    <m/>
    <m/>
    <m/>
    <n v="14633.2716"/>
    <n v="-2130.7089599999999"/>
    <m/>
    <m/>
    <m/>
    <m/>
    <n v="-6658.0097500000011"/>
    <n v="604.42969999999843"/>
    <n v="30"/>
    <n v="148.6440021530434"/>
    <n v="26.171487111868089"/>
    <n v="139.61033729257679"/>
    <n v="0"/>
    <n v="0"/>
    <n v="0"/>
    <n v="0"/>
    <n v="0"/>
    <n v="0"/>
    <n v="0"/>
    <n v="0"/>
    <n v="604.37134649448126"/>
    <n v="0"/>
    <n v="0"/>
    <n v="0"/>
    <n v="64.009582165590018"/>
    <n v="0"/>
    <n v="-597.26097834144366"/>
    <m/>
    <n v="0"/>
    <n v="0"/>
    <n v="0"/>
    <n v="0"/>
    <n v="-77.85979040734594"/>
    <n v="-10.397982162689857"/>
    <n v="0"/>
    <n v="0"/>
    <m/>
    <m/>
    <m/>
    <n v="20061.310369973391"/>
    <n v="0"/>
    <n v="0"/>
    <n v="-6658.0097500000011"/>
    <n v="604.42969999999877"/>
    <n v="0"/>
    <n v="0"/>
    <n v="-6202.9757213640514"/>
    <n v="0"/>
    <n v="0"/>
    <n v="0"/>
    <n v="0"/>
    <n v="0"/>
    <n v="0"/>
    <n v="0"/>
    <n v="0"/>
    <n v="0"/>
    <n v="0"/>
    <n v="0"/>
    <n v="0"/>
    <n v="3300.48681396987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2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3"/>
    <s v="Regular"/>
    <s v="Convencional"/>
    <s v="B2"/>
    <s v="Rural"/>
    <s v="Aquicultura"/>
    <s v="IRRIG./AQUIC."/>
    <s v="Não se aplica"/>
    <s v="Não se aplica"/>
    <s v="CATIVO"/>
    <x v="0"/>
    <n v="0"/>
    <n v="0"/>
    <n v="6.7000000000000004E-2"/>
    <n v="6.7000000000000004E-2"/>
    <n v="6.7000000000000004E-2"/>
    <n v="6.7000000000000004E-2"/>
    <m/>
    <n v="333.61"/>
    <n v="128.11000000000001"/>
    <m/>
    <n v="30.935240000000004"/>
    <n v="30.935240000000004"/>
    <n v="27.003010000000003"/>
    <n v="0"/>
    <n v="4.1014753800415811"/>
    <n v="0"/>
    <n v="0"/>
    <n v="0"/>
    <n v="0"/>
    <n v="13.031245283709508"/>
    <n v="8.5834401104872615"/>
    <n v="0"/>
    <n v="0"/>
    <n v="0"/>
    <n v="0"/>
    <n v="0"/>
    <n v="0.63340797768115531"/>
    <m/>
    <n v="5.7645989719711653E-2"/>
    <n v="0.23289335128391556"/>
    <n v="1.2423565839787509"/>
    <n v="0"/>
    <n v="0"/>
    <n v="0"/>
    <n v="0"/>
    <n v="0"/>
    <n v="0"/>
    <n v="0"/>
    <n v="0"/>
    <n v="0"/>
    <n v="0"/>
    <m/>
    <n v="0"/>
    <n v="0"/>
    <n v="0"/>
    <n v="0"/>
    <n v="0"/>
    <n v="0.90908084607676898"/>
    <n v="0"/>
    <n v="0"/>
    <n v="0"/>
    <n v="0"/>
    <n v="0"/>
    <m/>
    <m/>
    <m/>
    <m/>
    <m/>
    <n v="3.2407899999999996"/>
    <m/>
    <m/>
    <m/>
    <n v="9.4925209565640305"/>
    <m/>
    <m/>
    <m/>
    <m/>
    <m/>
    <m/>
    <m/>
    <m/>
    <m/>
    <m/>
    <m/>
    <m/>
    <n v="24.8262"/>
    <n v="-2.4272400000000047"/>
    <m/>
    <m/>
    <m/>
    <m/>
    <n v="-4.3248500000000014"/>
    <n v="0.39261999999999903"/>
    <n v="30"/>
    <n v="9.6554831976863653E-2"/>
    <n v="1.7000238853024041E-2"/>
    <n v="9.068682532941641E-2"/>
    <n v="0"/>
    <n v="0"/>
    <n v="0"/>
    <n v="0"/>
    <n v="0"/>
    <n v="0"/>
    <n v="0"/>
    <n v="0"/>
    <n v="0.39258209525551635"/>
    <n v="0"/>
    <n v="0"/>
    <n v="0"/>
    <n v="4.157876780352443E-2"/>
    <n v="0"/>
    <n v="-0.38796340635878357"/>
    <m/>
    <n v="0"/>
    <n v="0"/>
    <n v="0"/>
    <n v="0"/>
    <n v="-5.0575461314578352E-2"/>
    <n v="-6.7542275912571628E-3"/>
    <n v="0"/>
    <n v="0"/>
    <m/>
    <m/>
    <m/>
    <n v="13.031245283709508"/>
    <n v="0"/>
    <n v="0"/>
    <n v="-4.3248500000000014"/>
    <n v="0.39261999999999908"/>
    <n v="0"/>
    <n v="0"/>
    <n v="-4.0292730944921349"/>
    <n v="0"/>
    <n v="0"/>
    <n v="0"/>
    <n v="0"/>
    <n v="0"/>
    <n v="0"/>
    <n v="0"/>
    <n v="0"/>
    <n v="0"/>
    <n v="0"/>
    <n v="0"/>
    <n v="0"/>
    <n v="2.143900494798406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"/>
    <s v="Regular"/>
    <s v="Convencional"/>
    <s v="B2"/>
    <s v="Rural"/>
    <s v="Aquicultura"/>
    <s v="IRRIG./AQUIC. PR"/>
    <s v="Não se aplica"/>
    <s v="Não se aplica"/>
    <s v="CATIVO"/>
    <x v="0"/>
    <n v="0"/>
    <n v="0"/>
    <n v="4.2000000000000003E-2"/>
    <n v="1.6799999999999999E-2"/>
    <n v="4.2000000000000003E-2"/>
    <n v="1.6799999999999999E-2"/>
    <m/>
    <n v="333.61"/>
    <n v="128.11000000000001"/>
    <m/>
    <n v="19.392240000000001"/>
    <n v="19.392240000000001"/>
    <n v="16.92726"/>
    <n v="0"/>
    <n v="2.5710741188320356"/>
    <n v="0"/>
    <n v="0"/>
    <n v="0"/>
    <n v="0"/>
    <n v="8.1688403271014831"/>
    <n v="5.380663949857686"/>
    <n v="0"/>
    <n v="0"/>
    <n v="0"/>
    <n v="0"/>
    <n v="0"/>
    <n v="0.39706171735236601"/>
    <m/>
    <n v="3.6136292063102829E-2"/>
    <n v="0.1459928470734993"/>
    <n v="0.77879069443444093"/>
    <n v="0"/>
    <n v="0"/>
    <n v="0"/>
    <n v="0"/>
    <n v="0"/>
    <n v="0"/>
    <n v="0"/>
    <n v="0"/>
    <n v="0"/>
    <n v="0"/>
    <m/>
    <n v="0"/>
    <n v="0"/>
    <n v="0"/>
    <n v="0"/>
    <n v="0"/>
    <n v="0.56987157515260145"/>
    <n v="0"/>
    <n v="0"/>
    <n v="0"/>
    <n v="0"/>
    <n v="0"/>
    <m/>
    <m/>
    <m/>
    <m/>
    <m/>
    <m/>
    <n v="10.968972000000001"/>
    <m/>
    <m/>
    <n v="5.9505355250102872"/>
    <m/>
    <m/>
    <m/>
    <m/>
    <m/>
    <m/>
    <m/>
    <m/>
    <m/>
    <m/>
    <m/>
    <m/>
    <n v="7.0932000000000004"/>
    <n v="0.23702400000000257"/>
    <m/>
    <m/>
    <m/>
    <m/>
    <n v="-2.7111000000000005"/>
    <n v="0.24611999999999939"/>
    <n v="30"/>
    <n v="6.0526909597435008E-2"/>
    <n v="1.0656866146671801E-2"/>
    <n v="5.6848457669186336E-2"/>
    <n v="0"/>
    <n v="0"/>
    <n v="0"/>
    <n v="0"/>
    <n v="0"/>
    <n v="0"/>
    <n v="0"/>
    <n v="0"/>
    <n v="0.24609623881689036"/>
    <n v="0"/>
    <n v="0"/>
    <n v="0"/>
    <n v="2.6064302205194401E-2"/>
    <n v="0"/>
    <n v="-0.24320094129953551"/>
    <m/>
    <n v="0"/>
    <n v="0"/>
    <n v="0"/>
    <n v="0"/>
    <n v="-3.1704020525556598E-2"/>
    <n v="-4.233993415414937E-3"/>
    <n v="0"/>
    <n v="0"/>
    <m/>
    <m/>
    <m/>
    <n v="8.1688403271014831"/>
    <n v="0"/>
    <n v="0"/>
    <n v="-2.7111000000000001"/>
    <n v="0.24611999999999945"/>
    <n v="0"/>
    <n v="0"/>
    <n v="-2.5258129846070112"/>
    <n v="0"/>
    <n v="0"/>
    <n v="0"/>
    <n v="0"/>
    <n v="0"/>
    <n v="0"/>
    <n v="0"/>
    <n v="0"/>
    <n v="0"/>
    <n v="0"/>
    <n v="0"/>
    <n v="0"/>
    <n v="1.343937623604970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"/>
    <s v="Não se aplica"/>
    <s v="Não se aplica"/>
    <s v="Não se aplica"/>
    <s v="CATIVO"/>
    <x v="1"/>
    <n v="0"/>
    <n v="0"/>
    <n v="4514.1490000000003"/>
    <n v="4514.1490000000003"/>
    <n v="4514.1490000000003"/>
    <n v="4514.1490000000003"/>
    <m/>
    <n v="333.61"/>
    <n v="128.11000000000001"/>
    <m/>
    <n v="2084272.8762800004"/>
    <n v="2084272.8762800004"/>
    <n v="1819337.4714700002"/>
    <n v="0"/>
    <n v="276338.3729155123"/>
    <n v="0"/>
    <n v="0"/>
    <n v="0"/>
    <n v="0"/>
    <n v="877984.81889868644"/>
    <n v="578312.35210919345"/>
    <n v="0"/>
    <n v="0"/>
    <n v="0"/>
    <n v="0"/>
    <n v="0"/>
    <n v="42676.089388677756"/>
    <m/>
    <n v="3883.919206675323"/>
    <n v="15691.272967237854"/>
    <n v="83704.219868822314"/>
    <n v="0"/>
    <n v="0"/>
    <n v="0"/>
    <n v="0"/>
    <n v="0"/>
    <n v="0"/>
    <n v="0"/>
    <n v="0"/>
    <n v="0"/>
    <n v="0"/>
    <m/>
    <n v="0"/>
    <n v="0"/>
    <n v="0"/>
    <n v="0"/>
    <n v="0"/>
    <n v="61249.647645322395"/>
    <n v="0"/>
    <n v="0"/>
    <n v="0"/>
    <n v="526901.09"/>
    <n v="20609"/>
    <m/>
    <m/>
    <m/>
    <m/>
    <m/>
    <m/>
    <m/>
    <m/>
    <m/>
    <n v="639561.99975451583"/>
    <m/>
    <m/>
    <m/>
    <m/>
    <m/>
    <m/>
    <m/>
    <m/>
    <m/>
    <m/>
    <m/>
    <m/>
    <n v="1819337.8744999999"/>
    <n v="-264935.03178000054"/>
    <m/>
    <m/>
    <m/>
    <m/>
    <n v="-291388.31795000006"/>
    <n v="26452.913139999935"/>
    <n v="31"/>
    <n v="6505.4163912467193"/>
    <n v="1145.3971823602933"/>
    <n v="6110.057341402382"/>
    <n v="0"/>
    <n v="0"/>
    <n v="0"/>
    <n v="0"/>
    <n v="0"/>
    <n v="0"/>
    <n v="0"/>
    <n v="0"/>
    <n v="26450.359294262598"/>
    <n v="0"/>
    <n v="0"/>
    <n v="0"/>
    <n v="2801.3843746494313"/>
    <n v="0"/>
    <n v="-26139.173475389514"/>
    <m/>
    <n v="0"/>
    <n v="0"/>
    <n v="0"/>
    <n v="0"/>
    <n v="-3407.5398226528778"/>
    <n v="-455.06850338576032"/>
    <n v="0"/>
    <n v="0"/>
    <m/>
    <m/>
    <m/>
    <n v="877984.81889868644"/>
    <n v="0"/>
    <n v="0"/>
    <n v="-291388.31795000006"/>
    <n v="26452.913139999961"/>
    <n v="0"/>
    <n v="0"/>
    <n v="-271473.71806311316"/>
    <n v="0"/>
    <n v="0"/>
    <n v="0"/>
    <n v="0"/>
    <n v="0"/>
    <n v="0"/>
    <n v="0"/>
    <n v="0"/>
    <n v="0"/>
    <n v="0"/>
    <n v="0"/>
    <n v="0"/>
    <n v="144446.0638013989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7.7119999999999997"/>
    <n v="-7.7119999999999997"/>
    <n v="-7.7119999999999997"/>
    <n v="-7.7119999999999997"/>
    <m/>
    <n v="333.61"/>
    <n v="128.11000000000001"/>
    <m/>
    <n v="-3560.7846399999999"/>
    <n v="-3560.7846399999999"/>
    <n v="-3108.1673599999995"/>
    <n v="0"/>
    <n v="-472.09818105792044"/>
    <n v="0"/>
    <n v="0"/>
    <n v="0"/>
    <n v="0"/>
    <n v="-1499.9546810144436"/>
    <n v="-987.99239003101115"/>
    <n v="0"/>
    <n v="0"/>
    <n v="0"/>
    <n v="0"/>
    <n v="0"/>
    <n v="-72.908094386224917"/>
    <m/>
    <n v="-6.6353115331106904"/>
    <n v="-26.807067538829205"/>
    <n v="-143.00080560662875"/>
    <n v="0"/>
    <n v="0"/>
    <n v="0"/>
    <n v="0"/>
    <n v="0"/>
    <n v="0"/>
    <n v="0"/>
    <n v="0"/>
    <n v="0"/>
    <n v="0"/>
    <m/>
    <n v="0"/>
    <n v="0"/>
    <n v="0"/>
    <n v="0"/>
    <n v="0"/>
    <n v="-104.63927589468719"/>
    <n v="0"/>
    <n v="0"/>
    <n v="0"/>
    <n v="-1347.8"/>
    <n v="0"/>
    <m/>
    <m/>
    <m/>
    <m/>
    <m/>
    <m/>
    <m/>
    <m/>
    <m/>
    <n v="-1092.6316659256984"/>
    <m/>
    <m/>
    <m/>
    <m/>
    <m/>
    <m/>
    <m/>
    <m/>
    <m/>
    <m/>
    <m/>
    <m/>
    <n v="-3107.3613"/>
    <n v="453.39333999999917"/>
    <m/>
    <m/>
    <m/>
    <m/>
    <n v="497.80960000000005"/>
    <n v="-45.192319999999881"/>
    <n v="31"/>
    <n v="-11.113893495605225"/>
    <n v="-1.9568036124555412"/>
    <n v="-10.438459655827756"/>
    <n v="0"/>
    <n v="0"/>
    <n v="0"/>
    <n v="0"/>
    <n v="0"/>
    <n v="0"/>
    <n v="0"/>
    <n v="0"/>
    <n v="-45.187956994187289"/>
    <n v="0"/>
    <n v="0"/>
    <n v="0"/>
    <n v="-4.7859023477728471"/>
    <n v="0"/>
    <n v="44.656325221476664"/>
    <m/>
    <n v="0"/>
    <n v="0"/>
    <n v="0"/>
    <n v="0"/>
    <n v="5.8214620545974327"/>
    <n v="0.77744183856380999"/>
    <n v="0"/>
    <n v="0"/>
    <m/>
    <m/>
    <m/>
    <n v="-1499.9546810144436"/>
    <n v="0"/>
    <n v="0"/>
    <n v="497.80960000000005"/>
    <n v="-45.192319999999881"/>
    <n v="0"/>
    <n v="0"/>
    <n v="463.78737469736348"/>
    <n v="0"/>
    <n v="0"/>
    <n v="0"/>
    <n v="0"/>
    <n v="0"/>
    <n v="0"/>
    <n v="0"/>
    <n v="0"/>
    <n v="0"/>
    <n v="0"/>
    <n v="0"/>
    <n v="0"/>
    <n v="-246.7725465057508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18.855"/>
    <n v="18.855"/>
    <n v="18.855"/>
    <n v="18.855"/>
    <m/>
    <n v="333.61"/>
    <n v="128.11000000000001"/>
    <m/>
    <n v="8705.7306000000008"/>
    <n v="8705.7306000000008"/>
    <n v="7599.1306500000001"/>
    <n v="0"/>
    <n v="1154.2286312042388"/>
    <n v="0"/>
    <n v="0"/>
    <n v="0"/>
    <n v="0"/>
    <n v="3667.2258182737728"/>
    <n v="2415.5337803468256"/>
    <n v="0"/>
    <n v="0"/>
    <n v="0"/>
    <n v="0"/>
    <n v="0"/>
    <n v="178.25234953997287"/>
    <m/>
    <n v="16.222613972614376"/>
    <n v="65.540360275495942"/>
    <n v="349.62139389431866"/>
    <n v="0"/>
    <n v="0"/>
    <n v="0"/>
    <n v="0"/>
    <n v="0"/>
    <n v="0"/>
    <n v="0"/>
    <n v="0"/>
    <n v="0"/>
    <n v="0"/>
    <m/>
    <n v="0"/>
    <n v="0"/>
    <n v="0"/>
    <n v="0"/>
    <n v="0"/>
    <n v="255.83163213100713"/>
    <n v="0"/>
    <n v="0"/>
    <n v="0"/>
    <n v="4437.0600000000004"/>
    <n v="43"/>
    <m/>
    <m/>
    <m/>
    <m/>
    <m/>
    <m/>
    <m/>
    <m/>
    <m/>
    <n v="2671.3654124778327"/>
    <m/>
    <m/>
    <m/>
    <m/>
    <m/>
    <m/>
    <m/>
    <m/>
    <m/>
    <m/>
    <m/>
    <m/>
    <n v="7601.1458000000002"/>
    <n v="-1104.6148000000012"/>
    <m/>
    <m/>
    <m/>
    <m/>
    <n v="-1217.0902500000002"/>
    <n v="110.49029999999972"/>
    <n v="31"/>
    <n v="27.172259058563213"/>
    <n v="4.7841716951308655"/>
    <n v="25.520896889345408"/>
    <n v="0"/>
    <n v="0"/>
    <n v="0"/>
    <n v="0"/>
    <n v="0"/>
    <n v="0"/>
    <n v="0"/>
    <n v="0"/>
    <n v="110.47963292601116"/>
    <n v="0"/>
    <n v="0"/>
    <n v="0"/>
    <n v="11.701009954260513"/>
    <n v="0"/>
    <n v="-109.17985114768453"/>
    <m/>
    <n v="0"/>
    <n v="0"/>
    <n v="0"/>
    <n v="0"/>
    <n v="-14.232840643080209"/>
    <n v="-1.9007606154202055"/>
    <n v="0"/>
    <n v="0"/>
    <m/>
    <m/>
    <m/>
    <n v="3667.2258182737728"/>
    <n v="0"/>
    <n v="0"/>
    <n v="-1217.0902500000002"/>
    <n v="110.49029999999993"/>
    <n v="0"/>
    <n v="0"/>
    <n v="-1133.9096148753615"/>
    <n v="0"/>
    <n v="0"/>
    <n v="0"/>
    <n v="0"/>
    <n v="0"/>
    <n v="0"/>
    <n v="0"/>
    <n v="0"/>
    <n v="0"/>
    <n v="0"/>
    <n v="0"/>
    <n v="0"/>
    <n v="603.3319974540886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2.9"/>
    <n v="12.9"/>
    <n v="12.9"/>
    <n v="12.9"/>
    <m/>
    <n v="230.94"/>
    <n v="128.11000000000001"/>
    <m/>
    <n v="4631.7450000000008"/>
    <n v="4631.7450000000008"/>
    <n v="3959.01"/>
    <n v="0"/>
    <n v="0"/>
    <n v="0"/>
    <n v="0"/>
    <n v="0"/>
    <n v="0"/>
    <n v="2509.0009576097409"/>
    <n v="1652.6324988848605"/>
    <n v="0"/>
    <n v="0"/>
    <n v="0"/>
    <n v="0"/>
    <n v="0"/>
    <n v="0"/>
    <m/>
    <n v="11.099003990810154"/>
    <n v="44.840660172574786"/>
    <n v="239.199999004864"/>
    <n v="0"/>
    <n v="0"/>
    <n v="0"/>
    <n v="0"/>
    <n v="0"/>
    <n v="0"/>
    <n v="0"/>
    <n v="0"/>
    <n v="0"/>
    <n v="0"/>
    <m/>
    <n v="0"/>
    <n v="0"/>
    <n v="0"/>
    <n v="0"/>
    <n v="0"/>
    <n v="175.03198379687043"/>
    <n v="0"/>
    <n v="0"/>
    <n v="0"/>
    <n v="192.87"/>
    <n v="9"/>
    <m/>
    <m/>
    <m/>
    <m/>
    <m/>
    <m/>
    <m/>
    <n v="2573.2920000000004"/>
    <m/>
    <n v="1827.664482681731"/>
    <m/>
    <m/>
    <m/>
    <m/>
    <m/>
    <m/>
    <m/>
    <m/>
    <m/>
    <m/>
    <m/>
    <m/>
    <n v="1385.7179999999998"/>
    <n v="-235.45500000000015"/>
    <m/>
    <m/>
    <m/>
    <m/>
    <n v="-748.32899999999995"/>
    <n v="75.593999999999809"/>
    <n v="31"/>
    <n v="103.02550336549075"/>
    <n v="3.2731803164777631"/>
    <n v="17.460597712678663"/>
    <n v="0"/>
    <n v="0"/>
    <n v="0"/>
    <n v="0"/>
    <n v="0"/>
    <n v="0"/>
    <n v="0"/>
    <n v="0"/>
    <n v="75.586701922330803"/>
    <n v="0"/>
    <n v="0"/>
    <n v="0"/>
    <n v="8.0054642487382921"/>
    <n v="0"/>
    <n v="0"/>
    <m/>
    <n v="0"/>
    <n v="0"/>
    <n v="0"/>
    <n v="0"/>
    <n v="0"/>
    <n v="-1.3004408347345873"/>
    <n v="0"/>
    <n v="0"/>
    <m/>
    <m/>
    <m/>
    <n v="2509.0009576097409"/>
    <n v="0"/>
    <n v="0"/>
    <n v="-748.32900000000018"/>
    <n v="75.593999999999824"/>
    <n v="0"/>
    <n v="0"/>
    <n v="-775.78541670072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27.638999999999999"/>
    <n v="27.638999999999999"/>
    <n v="27.638999999999999"/>
    <n v="27.638999999999999"/>
    <m/>
    <n v="230.94"/>
    <n v="128.11000000000001"/>
    <m/>
    <n v="9923.7829500000007"/>
    <n v="9923.7829500000007"/>
    <n v="8482.4090999999989"/>
    <n v="0"/>
    <n v="0"/>
    <n v="0"/>
    <n v="0"/>
    <n v="0"/>
    <n v="0"/>
    <n v="5375.6804238275681"/>
    <n v="3540.8612121456326"/>
    <n v="0"/>
    <n v="0"/>
    <n v="0"/>
    <n v="0"/>
    <n v="0"/>
    <n v="0"/>
    <m/>
    <n v="23.780261341240454"/>
    <n v="96.073721434867792"/>
    <n v="512.49990484460739"/>
    <n v="0"/>
    <n v="0"/>
    <n v="0"/>
    <n v="0"/>
    <n v="0"/>
    <n v="0"/>
    <n v="0"/>
    <n v="0"/>
    <n v="0"/>
    <n v="0"/>
    <m/>
    <n v="0"/>
    <n v="0"/>
    <n v="0"/>
    <n v="0"/>
    <n v="0"/>
    <n v="375.01620156292262"/>
    <n v="0"/>
    <n v="0"/>
    <n v="0"/>
    <n v="740.22"/>
    <n v="63"/>
    <m/>
    <m/>
    <m/>
    <m/>
    <m/>
    <m/>
    <m/>
    <n v="3392.9636399999999"/>
    <m/>
    <n v="3915.8774137085552"/>
    <m/>
    <m/>
    <m/>
    <m/>
    <m/>
    <m/>
    <m/>
    <m/>
    <m/>
    <m/>
    <m/>
    <m/>
    <n v="5089.6296000000002"/>
    <n v="-864.94656000000032"/>
    <m/>
    <m/>
    <m/>
    <m/>
    <n v="-1603.3383899999997"/>
    <n v="161.9645399999996"/>
    <n v="31"/>
    <n v="220.73813081541175"/>
    <n v="7.012979129234779"/>
    <n v="37.410345750443867"/>
    <n v="0"/>
    <n v="0"/>
    <n v="0"/>
    <n v="0"/>
    <n v="0"/>
    <n v="0"/>
    <n v="0"/>
    <n v="0"/>
    <n v="161.94890344428677"/>
    <n v="0"/>
    <n v="0"/>
    <n v="0"/>
    <n v="17.152172586889719"/>
    <n v="0"/>
    <n v="0"/>
    <m/>
    <n v="0"/>
    <n v="0"/>
    <n v="0"/>
    <n v="0"/>
    <n v="0"/>
    <n v="-2.7862700954441308"/>
    <n v="0"/>
    <n v="0"/>
    <m/>
    <m/>
    <m/>
    <n v="5375.6804238275681"/>
    <n v="0"/>
    <n v="0"/>
    <n v="-1603.3383899999999"/>
    <n v="161.96453999999949"/>
    <n v="0"/>
    <n v="0"/>
    <n v="-1662.16535908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32.045999999999999"/>
    <n v="32.045999999999999"/>
    <n v="32.045999999999999"/>
    <n v="32.045999999999999"/>
    <m/>
    <n v="230.94"/>
    <n v="128.11000000000001"/>
    <m/>
    <n v="11506.116300000002"/>
    <n v="11506.116300000002"/>
    <n v="9834.9174000000003"/>
    <n v="0"/>
    <n v="0"/>
    <n v="0"/>
    <n v="0"/>
    <n v="0"/>
    <n v="0"/>
    <n v="6232.8251695784311"/>
    <n v="4105.4465937414143"/>
    <n v="0"/>
    <n v="0"/>
    <n v="0"/>
    <n v="0"/>
    <n v="0"/>
    <n v="0"/>
    <m/>
    <n v="27.571990844147457"/>
    <n v="111.39254231707997"/>
    <n v="594.21729985347838"/>
    <n v="0"/>
    <n v="0"/>
    <n v="0"/>
    <n v="0"/>
    <n v="0"/>
    <n v="0"/>
    <n v="0"/>
    <n v="0"/>
    <n v="0"/>
    <n v="0"/>
    <m/>
    <n v="0"/>
    <n v="0"/>
    <n v="0"/>
    <n v="0"/>
    <n v="0"/>
    <n v="434.81201184143487"/>
    <n v="0"/>
    <n v="0"/>
    <n v="0"/>
    <n v="2472.58"/>
    <n v="202"/>
    <m/>
    <m/>
    <m/>
    <m/>
    <m/>
    <m/>
    <m/>
    <n v="983.49174000000085"/>
    <m/>
    <n v="4540.2586055828488"/>
    <m/>
    <m/>
    <m/>
    <m/>
    <m/>
    <m/>
    <m/>
    <m/>
    <m/>
    <m/>
    <m/>
    <m/>
    <n v="8852.5304999999971"/>
    <n v="-1503.1644000000033"/>
    <m/>
    <m/>
    <m/>
    <m/>
    <n v="-1858.9884599999996"/>
    <n v="187.78955999999951"/>
    <n v="31"/>
    <n v="255.93451789538722"/>
    <n v="8.1311888699105594"/>
    <n v="43.375373201589241"/>
    <n v="0"/>
    <n v="0"/>
    <n v="0"/>
    <n v="0"/>
    <n v="0"/>
    <n v="0"/>
    <n v="0"/>
    <n v="0"/>
    <n v="187.77143021728716"/>
    <n v="0"/>
    <n v="0"/>
    <n v="0"/>
    <n v="19.887062582563317"/>
    <n v="0"/>
    <n v="0"/>
    <m/>
    <n v="0"/>
    <n v="0"/>
    <n v="0"/>
    <n v="0"/>
    <n v="0"/>
    <n v="-3.2305369759615985"/>
    <n v="0"/>
    <n v="0"/>
    <m/>
    <m/>
    <m/>
    <n v="6232.8251695784311"/>
    <n v="0"/>
    <n v="0"/>
    <n v="-1858.9884599999996"/>
    <n v="187.78955999999926"/>
    <n v="0"/>
    <n v="0"/>
    <n v="-1927.195307255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1.125999999999999"/>
    <n v="11.125999999999999"/>
    <n v="11.125999999999999"/>
    <n v="11.125999999999999"/>
    <m/>
    <n v="230.94"/>
    <n v="128.11000000000001"/>
    <m/>
    <n v="3994.7902999999997"/>
    <n v="3994.7902999999997"/>
    <n v="3414.5693999999999"/>
    <n v="0"/>
    <n v="0"/>
    <n v="0"/>
    <n v="0"/>
    <n v="0"/>
    <n v="0"/>
    <n v="2163.9647018888354"/>
    <n v="1425.363502526586"/>
    <n v="0"/>
    <n v="0"/>
    <n v="0"/>
    <n v="0"/>
    <n v="0"/>
    <n v="0"/>
    <m/>
    <n v="9.5726758450971907"/>
    <n v="38.674200393803645"/>
    <n v="206.30536348279972"/>
    <n v="0"/>
    <n v="0"/>
    <n v="0"/>
    <n v="0"/>
    <n v="0"/>
    <n v="0"/>
    <n v="0"/>
    <n v="0"/>
    <n v="0"/>
    <n v="0"/>
    <m/>
    <n v="0"/>
    <n v="0"/>
    <n v="0"/>
    <n v="0"/>
    <n v="0"/>
    <n v="150.96169393209149"/>
    <n v="0"/>
    <n v="0"/>
    <n v="0"/>
    <n v="1965.06"/>
    <n v="156"/>
    <m/>
    <m/>
    <m/>
    <m/>
    <m/>
    <m/>
    <m/>
    <m/>
    <m/>
    <n v="1576.3251964586775"/>
    <m/>
    <m/>
    <m/>
    <m/>
    <m/>
    <m/>
    <m/>
    <m/>
    <m/>
    <m/>
    <m/>
    <m/>
    <n v="3415.7970000000005"/>
    <n v="-579.02329999999984"/>
    <m/>
    <m/>
    <m/>
    <m/>
    <n v="-645.41925999999989"/>
    <n v="65.198359999999838"/>
    <n v="31"/>
    <n v="88.857500034453551"/>
    <n v="2.8230545892350065"/>
    <n v="15.059427143508771"/>
    <n v="0"/>
    <n v="0"/>
    <n v="0"/>
    <n v="0"/>
    <n v="0"/>
    <n v="0"/>
    <n v="0"/>
    <n v="0"/>
    <n v="65.192065549445715"/>
    <n v="0"/>
    <n v="0"/>
    <n v="0"/>
    <n v="6.9045577698807961"/>
    <n v="0"/>
    <n v="0"/>
    <m/>
    <n v="0"/>
    <n v="0"/>
    <n v="0"/>
    <n v="0"/>
    <n v="0"/>
    <n v="-1.1216050176168242"/>
    <n v="0"/>
    <n v="0"/>
    <m/>
    <m/>
    <m/>
    <n v="2163.9647018888354"/>
    <n v="0"/>
    <n v="0"/>
    <n v="-645.41925999999989"/>
    <n v="65.198359999999866"/>
    <n v="0"/>
    <n v="0"/>
    <n v="-669.0998873032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"/>
    <s v="Regular"/>
    <s v="Convencional"/>
    <s v="B3"/>
    <s v="Industrial"/>
    <s v="Não se aplica"/>
    <s v="Não se aplica"/>
    <s v="Não se aplica"/>
    <s v="Não se aplica"/>
    <s v="CATIVO"/>
    <x v="1"/>
    <n v="0"/>
    <n v="0"/>
    <n v="403.44600000000003"/>
    <n v="403.44600000000003"/>
    <n v="403.44600000000003"/>
    <n v="403.44600000000003"/>
    <m/>
    <n v="333.61"/>
    <n v="128.11000000000001"/>
    <m/>
    <n v="186279.08712000004"/>
    <n v="186279.08712000004"/>
    <n v="162600.84138"/>
    <n v="0"/>
    <n v="24697.370689197844"/>
    <n v="0"/>
    <n v="0"/>
    <n v="0"/>
    <n v="0"/>
    <n v="78468.713204947257"/>
    <n v="51685.889236054383"/>
    <n v="0"/>
    <n v="0"/>
    <n v="0"/>
    <n v="0"/>
    <n v="0"/>
    <n v="3814.1181337843491"/>
    <m/>
    <n v="347.1200592307282"/>
    <n v="1402.3864328670238"/>
    <n v="7480.9521549237488"/>
    <n v="0"/>
    <n v="0"/>
    <n v="0"/>
    <n v="0"/>
    <n v="0"/>
    <n v="0"/>
    <n v="0"/>
    <n v="0"/>
    <n v="0"/>
    <n v="0"/>
    <m/>
    <n v="0"/>
    <n v="0"/>
    <n v="0"/>
    <n v="0"/>
    <n v="0"/>
    <n v="5474.1049406908678"/>
    <n v="0"/>
    <n v="0"/>
    <n v="0"/>
    <n v="72761.08"/>
    <n v="208"/>
    <m/>
    <m/>
    <m/>
    <m/>
    <m/>
    <m/>
    <m/>
    <m/>
    <m/>
    <n v="57159.994176745255"/>
    <m/>
    <m/>
    <m/>
    <m/>
    <m/>
    <m/>
    <m/>
    <m/>
    <m/>
    <m/>
    <m/>
    <m/>
    <n v="162602.4535"/>
    <n v="-23676.663620000065"/>
    <m/>
    <m/>
    <m/>
    <m/>
    <n v="-26042.439300000005"/>
    <n v="2364.1935599999942"/>
    <n v="31"/>
    <n v="581.41284689157328"/>
    <n v="102.36833379547966"/>
    <n v="546.07816316196568"/>
    <n v="0"/>
    <n v="0"/>
    <n v="0"/>
    <n v="0"/>
    <n v="0"/>
    <n v="0"/>
    <n v="0"/>
    <n v="0"/>
    <n v="2363.9653134695036"/>
    <n v="0"/>
    <n v="0"/>
    <n v="0"/>
    <n v="250.36996351135349"/>
    <n v="0"/>
    <n v="-2336.1534991317239"/>
    <m/>
    <n v="0"/>
    <n v="0"/>
    <n v="0"/>
    <n v="0"/>
    <n v="-304.5442920227074"/>
    <n v="-40.671135892273696"/>
    <n v="0"/>
    <n v="0"/>
    <m/>
    <m/>
    <m/>
    <n v="78468.713204947257"/>
    <n v="0"/>
    <n v="0"/>
    <n v="-26042.439300000013"/>
    <n v="2364.1935599999924"/>
    <n v="0"/>
    <n v="0"/>
    <n v="-24262.598699708571"/>
    <n v="0"/>
    <n v="0"/>
    <n v="0"/>
    <n v="0"/>
    <n v="0"/>
    <n v="0"/>
    <n v="0"/>
    <n v="0"/>
    <n v="0"/>
    <n v="0"/>
    <n v="0"/>
    <n v="0"/>
    <n v="12909.67282126026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7.7519999999999998"/>
    <n v="7.7519999999999998"/>
    <n v="7.7519999999999998"/>
    <n v="7.7519999999999998"/>
    <m/>
    <n v="333.61"/>
    <n v="128.11000000000001"/>
    <m/>
    <n v="3579.2534400000004"/>
    <n v="3579.2534400000004"/>
    <n v="3124.28856"/>
    <n v="0"/>
    <n v="474.54682307585568"/>
    <n v="0"/>
    <n v="0"/>
    <n v="0"/>
    <n v="0"/>
    <n v="1507.7345289450163"/>
    <n v="993.11683188801851"/>
    <n v="0"/>
    <n v="0"/>
    <n v="0"/>
    <n v="0"/>
    <n v="0"/>
    <n v="73.286248402750971"/>
    <m/>
    <n v="6.6697270493612644"/>
    <n v="26.946108345565872"/>
    <n v="143.74251102989965"/>
    <n v="0"/>
    <n v="0"/>
    <n v="0"/>
    <n v="0"/>
    <n v="0"/>
    <n v="0"/>
    <n v="0"/>
    <n v="0"/>
    <n v="0"/>
    <n v="0"/>
    <m/>
    <n v="0"/>
    <n v="0"/>
    <n v="0"/>
    <n v="0"/>
    <n v="0"/>
    <n v="105.18201072816586"/>
    <n v="0"/>
    <n v="0"/>
    <n v="0"/>
    <n v="1952.67"/>
    <n v="2"/>
    <m/>
    <m/>
    <m/>
    <m/>
    <m/>
    <m/>
    <m/>
    <m/>
    <m/>
    <n v="1098.2988426161844"/>
    <m/>
    <m/>
    <m/>
    <m/>
    <m/>
    <m/>
    <m/>
    <m/>
    <m/>
    <m/>
    <m/>
    <m/>
    <n v="3123.4825000000001"/>
    <n v="-455.80094000000099"/>
    <m/>
    <m/>
    <m/>
    <m/>
    <n v="-500.3916000000001"/>
    <n v="45.426719999999882"/>
    <n v="31"/>
    <n v="11.171538171412976"/>
    <n v="1.9669530087857048"/>
    <n v="10.492601044084125"/>
    <n v="0"/>
    <n v="0"/>
    <n v="0"/>
    <n v="0"/>
    <n v="0"/>
    <n v="0"/>
    <n v="0"/>
    <n v="0"/>
    <n v="45.422334364489075"/>
    <n v="0"/>
    <n v="0"/>
    <n v="0"/>
    <n v="4.8107254927301568"/>
    <n v="0"/>
    <n v="-44.887945165571466"/>
    <m/>
    <n v="0"/>
    <n v="0"/>
    <n v="0"/>
    <n v="0"/>
    <n v="-5.8516563598598594"/>
    <n v="-0.78147421324515776"/>
    <n v="0"/>
    <n v="0"/>
    <m/>
    <m/>
    <m/>
    <n v="1507.7345289450163"/>
    <n v="0"/>
    <n v="0"/>
    <n v="-500.39160000000038"/>
    <n v="45.426719999999818"/>
    <n v="0"/>
    <n v="0"/>
    <n v="-466.1929108731797"/>
    <n v="0"/>
    <n v="0"/>
    <n v="0"/>
    <n v="0"/>
    <n v="0"/>
    <n v="0"/>
    <n v="0"/>
    <n v="0"/>
    <n v="0"/>
    <n v="0"/>
    <n v="0"/>
    <n v="0"/>
    <n v="248.0524870996603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"/>
    <s v="Regular"/>
    <s v="Azul"/>
    <s v="A3"/>
    <s v="Industrial"/>
    <s v="Não se aplica"/>
    <s v="Não se aplica"/>
    <s v="Não se aplica"/>
    <s v="Ponta"/>
    <s v="CATIVO"/>
    <x v="1"/>
    <n v="2497"/>
    <n v="2497"/>
    <n v="88.641000000000005"/>
    <n v="88.641000000000005"/>
    <n v="88.641000000000005"/>
    <n v="88.641000000000005"/>
    <n v="28.46"/>
    <n v="75.12"/>
    <n v="128.11000000000001"/>
    <n v="71064.62"/>
    <n v="18014.510430000002"/>
    <n v="89079.130430000005"/>
    <n v="72442.152959999992"/>
    <n v="0"/>
    <n v="3635.588791622657"/>
    <n v="0"/>
    <n v="0"/>
    <n v="0"/>
    <n v="0"/>
    <n v="57410.942718678525"/>
    <n v="11355.891266174645"/>
    <n v="0"/>
    <n v="0"/>
    <n v="0"/>
    <n v="0"/>
    <n v="0"/>
    <n v="837.99875447216846"/>
    <m/>
    <n v="21.695416583546294"/>
    <n v="2055.7075882848903"/>
    <n v="11588.422626596075"/>
    <n v="0"/>
    <n v="0"/>
    <n v="0"/>
    <n v="0"/>
    <n v="0"/>
    <n v="0"/>
    <n v="0"/>
    <n v="0"/>
    <n v="0"/>
    <n v="0"/>
    <m/>
    <n v="0"/>
    <n v="0"/>
    <n v="0"/>
    <n v="0"/>
    <n v="0"/>
    <n v="263.03160599425593"/>
    <n v="0"/>
    <n v="0"/>
    <n v="0"/>
    <n v="0"/>
    <n v="0"/>
    <m/>
    <m/>
    <m/>
    <m/>
    <m/>
    <m/>
    <m/>
    <m/>
    <m/>
    <n v="11618.922872168901"/>
    <m/>
    <m/>
    <m/>
    <m/>
    <m/>
    <m/>
    <m/>
    <m/>
    <m/>
    <m/>
    <m/>
    <m/>
    <n v="72441.948399999994"/>
    <n v="-16637.212029999995"/>
    <m/>
    <m/>
    <m/>
    <m/>
    <n v="-17156.413730000004"/>
    <n v="519.4362599999987"/>
    <n v="31"/>
    <n v="1114.0327942301119"/>
    <n v="150.05804081634233"/>
    <n v="845.90629786485988"/>
    <n v="0"/>
    <n v="0"/>
    <n v="0"/>
    <n v="0"/>
    <n v="0"/>
    <n v="0"/>
    <n v="0"/>
    <n v="0"/>
    <n v="519.38611202304855"/>
    <n v="0"/>
    <n v="0"/>
    <n v="0"/>
    <n v="12.030316245054848"/>
    <n v="0"/>
    <n v="-343.89464303049454"/>
    <m/>
    <n v="0"/>
    <n v="0"/>
    <n v="0"/>
    <n v="0"/>
    <n v="-66.911335319187174"/>
    <n v="-2.5419943695111655"/>
    <n v="0"/>
    <n v="0"/>
    <m/>
    <m/>
    <n v="57410.942718678525"/>
    <n v="0"/>
    <n v="0"/>
    <n v="0"/>
    <n v="-17156.41373"/>
    <n v="519.43625999999858"/>
    <n v="0"/>
    <n v="0"/>
    <n v="-17751.516588746897"/>
    <n v="0"/>
    <n v="0"/>
    <n v="0"/>
    <n v="0"/>
    <n v="0"/>
    <n v="0"/>
    <n v="0"/>
    <n v="0"/>
    <n v="0"/>
    <n v="0"/>
    <n v="0"/>
    <n v="0"/>
    <n v="1900.374837594258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"/>
    <s v="Regular"/>
    <s v="Azul"/>
    <s v="A3"/>
    <s v="Industrial"/>
    <s v="Não se aplica"/>
    <s v="Não se aplica"/>
    <s v="Não se aplica"/>
    <s v="Fora ponta"/>
    <s v="CATIVO"/>
    <x v="1"/>
    <n v="2538"/>
    <n v="2538"/>
    <n v="1003.545"/>
    <n v="1003.545"/>
    <n v="1003.545"/>
    <n v="1003.545"/>
    <n v="9.92"/>
    <n v="75.12"/>
    <n v="128.11000000000001"/>
    <n v="25176.959999999999"/>
    <n v="203950.45035"/>
    <n v="229127.41035000002"/>
    <n v="227518.04519999999"/>
    <n v="0"/>
    <n v="41160.151102638272"/>
    <n v="0"/>
    <n v="0"/>
    <n v="0"/>
    <n v="0"/>
    <n v="12487.514469579568"/>
    <n v="128565.20008476026"/>
    <n v="0"/>
    <n v="0"/>
    <n v="0"/>
    <n v="0"/>
    <n v="0"/>
    <n v="9487.3643128661934"/>
    <m/>
    <n v="245.62365987900594"/>
    <n v="1886.3520130866211"/>
    <n v="10795.498110090633"/>
    <n v="0"/>
    <n v="0"/>
    <n v="0"/>
    <n v="0"/>
    <n v="0"/>
    <n v="0"/>
    <n v="0"/>
    <n v="0"/>
    <n v="0"/>
    <n v="0"/>
    <m/>
    <n v="0"/>
    <n v="0"/>
    <n v="0"/>
    <n v="0"/>
    <n v="0"/>
    <n v="2977.9002158990256"/>
    <n v="0"/>
    <n v="0"/>
    <n v="0"/>
    <n v="0"/>
    <n v="0"/>
    <m/>
    <m/>
    <m/>
    <m/>
    <m/>
    <m/>
    <m/>
    <m/>
    <m/>
    <n v="131543.10030065928"/>
    <m/>
    <m/>
    <m/>
    <m/>
    <m/>
    <m/>
    <m/>
    <m/>
    <m/>
    <m/>
    <m/>
    <m/>
    <n v="227519.068"/>
    <n v="-1608.3723500000197"/>
    <m/>
    <m/>
    <m/>
    <m/>
    <n v="-7490.1388500000012"/>
    <n v="5880.7736999999852"/>
    <n v="31"/>
    <n v="2262.4285068078025"/>
    <n v="137.69579340313771"/>
    <n v="788.02613040323376"/>
    <n v="0"/>
    <n v="0"/>
    <n v="0"/>
    <n v="0"/>
    <n v="0"/>
    <n v="0"/>
    <n v="0"/>
    <n v="0"/>
    <n v="5880.2059519880277"/>
    <n v="0"/>
    <n v="0"/>
    <n v="0"/>
    <n v="136.20067142906328"/>
    <n v="0"/>
    <n v="-3893.3873663433187"/>
    <m/>
    <n v="0"/>
    <n v="0"/>
    <n v="0"/>
    <n v="0"/>
    <n v="-757.53360186475402"/>
    <n v="-28.779072207568532"/>
    <n v="0"/>
    <n v="0"/>
    <m/>
    <m/>
    <n v="12487.514469579568"/>
    <n v="0"/>
    <n v="0"/>
    <n v="0"/>
    <n v="-7490.1388499999885"/>
    <n v="5880.7736999999761"/>
    <n v="0"/>
    <n v="0"/>
    <n v="-3861.1510238594074"/>
    <n v="0"/>
    <n v="0"/>
    <n v="0"/>
    <n v="0"/>
    <n v="0"/>
    <n v="0"/>
    <n v="0"/>
    <n v="0"/>
    <n v="0"/>
    <n v="0"/>
    <n v="0"/>
    <n v="0"/>
    <n v="21515.0062205247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"/>
    <s v="Regular"/>
    <s v="Azul"/>
    <s v="A3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5319.7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7"/>
    <s v="Regular"/>
    <s v="Azul"/>
    <s v="A4"/>
    <s v="Industrial"/>
    <s v="Não se aplica"/>
    <s v="Não se aplica"/>
    <s v="Não se aplica"/>
    <s v="Ponta"/>
    <s v="CATIVO"/>
    <x v="1"/>
    <n v="5950"/>
    <n v="5950"/>
    <n v="306.77300000000002"/>
    <n v="306.77300000000002"/>
    <n v="306.77300000000002"/>
    <n v="306.77300000000002"/>
    <n v="52.19"/>
    <n v="96.28"/>
    <n v="128.11000000000001"/>
    <n v="310530.5"/>
    <n v="68836.793470000004"/>
    <n v="379367.29347000003"/>
    <n v="295846.48671999999"/>
    <n v="0"/>
    <n v="16338.105356455255"/>
    <n v="0"/>
    <n v="0"/>
    <n v="0"/>
    <n v="0"/>
    <n v="278065.19684509444"/>
    <n v="39301.010044992661"/>
    <n v="0"/>
    <n v="0"/>
    <n v="0"/>
    <n v="0"/>
    <n v="0"/>
    <n v="2900.186052793747"/>
    <m/>
    <n v="150.80980702832403"/>
    <n v="5138.5963261425695"/>
    <n v="27335.990188088927"/>
    <n v="0"/>
    <n v="0"/>
    <n v="0"/>
    <n v="0"/>
    <n v="0"/>
    <n v="0"/>
    <n v="0"/>
    <n v="0"/>
    <n v="0"/>
    <n v="0"/>
    <m/>
    <n v="0"/>
    <n v="0"/>
    <n v="0"/>
    <n v="0"/>
    <n v="0"/>
    <n v="1607.0657357880773"/>
    <n v="0"/>
    <n v="0"/>
    <n v="0"/>
    <n v="0"/>
    <n v="0"/>
    <m/>
    <m/>
    <m/>
    <m/>
    <m/>
    <m/>
    <m/>
    <m/>
    <m/>
    <n v="40908.075780780739"/>
    <m/>
    <m/>
    <m/>
    <m/>
    <m/>
    <m/>
    <m/>
    <m/>
    <m/>
    <m/>
    <m/>
    <m/>
    <n v="295845.81280000001"/>
    <n v="-83521.510670000047"/>
    <m/>
    <m/>
    <m/>
    <m/>
    <n v="-85318.496529999989"/>
    <n v="1797.6897799999956"/>
    <n v="31"/>
    <n v="2446.8469539367943"/>
    <n v="375.09600180555663"/>
    <n v="1995.4127497392255"/>
    <n v="0"/>
    <n v="0"/>
    <n v="0"/>
    <n v="0"/>
    <n v="0"/>
    <n v="0"/>
    <n v="0"/>
    <n v="0"/>
    <n v="1797.5162254898605"/>
    <n v="0"/>
    <n v="0"/>
    <n v="0"/>
    <n v="73.502608004235526"/>
    <n v="0"/>
    <n v="-1545.4407061380207"/>
    <m/>
    <n v="0"/>
    <n v="0"/>
    <n v="0"/>
    <n v="0"/>
    <n v="-231.56994020682305"/>
    <n v="-17.669984757232186"/>
    <n v="0"/>
    <n v="0"/>
    <m/>
    <m/>
    <n v="278065.19684509444"/>
    <n v="0"/>
    <n v="0"/>
    <n v="0"/>
    <n v="-85318.496530000033"/>
    <n v="1797.6897799999933"/>
    <n v="0"/>
    <n v="0"/>
    <n v="-85978.016050639417"/>
    <n v="0"/>
    <n v="0"/>
    <n v="0"/>
    <n v="0"/>
    <n v="0"/>
    <n v="0"/>
    <n v="0"/>
    <n v="0"/>
    <n v="0"/>
    <n v="0"/>
    <n v="0"/>
    <n v="0"/>
    <n v="8540.163943984891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8"/>
    <s v="Regular"/>
    <s v="Azul"/>
    <s v="A4"/>
    <s v="Industrial"/>
    <s v="Não se aplica"/>
    <s v="Não se aplica"/>
    <s v="Não se aplica"/>
    <s v="Fora ponta"/>
    <s v="CATIVO"/>
    <x v="1"/>
    <n v="6088"/>
    <n v="6088"/>
    <n v="2873.0790000000002"/>
    <n v="2873.0790000000002"/>
    <n v="2873.0790000000002"/>
    <n v="2873.0790000000002"/>
    <n v="18.12"/>
    <n v="96.28"/>
    <n v="128.11000000000001"/>
    <n v="110314.56000000001"/>
    <n v="644690.19681000011"/>
    <n v="755004.75681000005"/>
    <n v="733380.06655999995"/>
    <n v="0"/>
    <n v="153014.33763538222"/>
    <n v="0"/>
    <n v="0"/>
    <n v="0"/>
    <n v="0"/>
    <n v="79502.816479904242"/>
    <n v="368073.15715221834"/>
    <n v="0"/>
    <n v="0"/>
    <n v="0"/>
    <n v="0"/>
    <n v="0"/>
    <n v="27161.659091167105"/>
    <m/>
    <n v="1412.4075116360636"/>
    <n v="4839.171068073214"/>
    <n v="25942.922490605764"/>
    <n v="0"/>
    <n v="0"/>
    <n v="0"/>
    <n v="0"/>
    <n v="0"/>
    <n v="0"/>
    <n v="0"/>
    <n v="0"/>
    <n v="0"/>
    <n v="0"/>
    <m/>
    <n v="0"/>
    <n v="0"/>
    <n v="0"/>
    <n v="0"/>
    <n v="0"/>
    <n v="15050.955648353254"/>
    <n v="0"/>
    <n v="0"/>
    <n v="0"/>
    <n v="0"/>
    <n v="0"/>
    <m/>
    <m/>
    <m/>
    <m/>
    <m/>
    <m/>
    <m/>
    <m/>
    <m/>
    <n v="383124.1128005716"/>
    <m/>
    <m/>
    <m/>
    <m/>
    <m/>
    <m/>
    <m/>
    <m/>
    <m/>
    <m/>
    <m/>
    <m/>
    <n v="733380.29119999998"/>
    <n v="-21624.4956100001"/>
    <m/>
    <m/>
    <m/>
    <m/>
    <n v="-38460.933190000011"/>
    <n v="16836.24293999996"/>
    <n v="31"/>
    <n v="2961.9084128137911"/>
    <n v="353.23921251661432"/>
    <n v="1893.7246445825767"/>
    <n v="0"/>
    <n v="0"/>
    <n v="0"/>
    <n v="0"/>
    <n v="0"/>
    <n v="0"/>
    <n v="0"/>
    <n v="0"/>
    <n v="16834.617517233186"/>
    <n v="0"/>
    <n v="0"/>
    <n v="0"/>
    <n v="688.38782911860471"/>
    <n v="0"/>
    <n v="-14473.807142578793"/>
    <m/>
    <n v="0"/>
    <n v="0"/>
    <n v="0"/>
    <n v="0"/>
    <n v="-2168.7656092272773"/>
    <n v="-165.48803883107007"/>
    <n v="0"/>
    <n v="0"/>
    <m/>
    <m/>
    <n v="79502.816479904242"/>
    <n v="0"/>
    <n v="0"/>
    <n v="0"/>
    <n v="-38460.933190000011"/>
    <n v="16836.242939999967"/>
    <n v="0"/>
    <n v="0"/>
    <n v="-24582.344388780934"/>
    <n v="0"/>
    <n v="0"/>
    <n v="0"/>
    <n v="0"/>
    <n v="0"/>
    <n v="0"/>
    <n v="0"/>
    <n v="0"/>
    <n v="0"/>
    <n v="0"/>
    <n v="0"/>
    <n v="0"/>
    <n v="79982.80710499349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9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60"/>
    <s v="Regular"/>
    <s v="Verde"/>
    <s v="A4"/>
    <s v="Industrial"/>
    <s v="Não se aplica"/>
    <s v="Não se aplica"/>
    <s v="Não se aplica"/>
    <s v="Ponta"/>
    <s v="CATIVO"/>
    <x v="1"/>
    <n v="0"/>
    <n v="0"/>
    <n v="789.99699999999996"/>
    <n v="789.99699999999996"/>
    <n v="789.99699999999996"/>
    <n v="789.99699999999996"/>
    <m/>
    <n v="1351.49"/>
    <n v="128.11000000000001"/>
    <m/>
    <n v="1168879.5612000001"/>
    <n v="1168879.5612000001"/>
    <n v="902105.47427000001"/>
    <n v="0"/>
    <n v="42073.631699281163"/>
    <n v="0"/>
    <n v="0"/>
    <n v="0"/>
    <n v="0"/>
    <n v="887912.88661005022"/>
    <n v="101207.34234275528"/>
    <n v="0"/>
    <n v="0"/>
    <n v="0"/>
    <n v="0"/>
    <n v="0"/>
    <n v="7468.513464838501"/>
    <m/>
    <n v="388.36304082482775"/>
    <n v="16410.235681444396"/>
    <n v="87288.409752675609"/>
    <n v="0"/>
    <n v="0"/>
    <n v="0"/>
    <n v="0"/>
    <n v="0"/>
    <n v="0"/>
    <n v="0"/>
    <n v="0"/>
    <n v="0"/>
    <n v="0"/>
    <m/>
    <n v="0"/>
    <n v="0"/>
    <n v="0"/>
    <n v="0"/>
    <n v="0"/>
    <n v="4138.4903823849345"/>
    <n v="0"/>
    <n v="0"/>
    <n v="0"/>
    <n v="0"/>
    <n v="0"/>
    <m/>
    <m/>
    <m/>
    <m/>
    <m/>
    <m/>
    <m/>
    <m/>
    <m/>
    <n v="105345.83272514021"/>
    <m/>
    <m/>
    <m/>
    <m/>
    <m/>
    <m/>
    <m/>
    <m/>
    <m/>
    <m/>
    <m/>
    <m/>
    <n v="902108.90000000014"/>
    <n v="-266770.6912"/>
    <m/>
    <m/>
    <m/>
    <m/>
    <n v="-271403.46934999997"/>
    <n v="4629.3824199999881"/>
    <n v="31"/>
    <n v="7766.1515708002262"/>
    <n v="1197.8784481437142"/>
    <n v="6371.6881856669934"/>
    <n v="0"/>
    <n v="0"/>
    <n v="0"/>
    <n v="0"/>
    <n v="0"/>
    <n v="0"/>
    <n v="0"/>
    <n v="0"/>
    <n v="4628.9354851577955"/>
    <n v="0"/>
    <n v="0"/>
    <n v="0"/>
    <n v="189.28275896353989"/>
    <n v="0"/>
    <n v="-3979.7945762075469"/>
    <m/>
    <n v="0"/>
    <n v="0"/>
    <n v="0"/>
    <n v="0"/>
    <n v="-596.33526436019292"/>
    <n v="-45.503466564069015"/>
    <n v="0"/>
    <n v="0"/>
    <m/>
    <m/>
    <m/>
    <n v="887912.88661005022"/>
    <n v="0"/>
    <n v="0"/>
    <n v="-271403.46935000003"/>
    <n v="4629.3824199999799"/>
    <n v="0"/>
    <n v="0"/>
    <n v="-274543.48578206473"/>
    <n v="0"/>
    <n v="0"/>
    <n v="0"/>
    <n v="0"/>
    <n v="0"/>
    <n v="0"/>
    <n v="0"/>
    <n v="0"/>
    <n v="0"/>
    <n v="0"/>
    <n v="0"/>
    <n v="0"/>
    <n v="21992.49573872613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1"/>
    <s v="Regular"/>
    <s v="Verde"/>
    <s v="A4"/>
    <s v="Industrial"/>
    <s v="Não se aplica"/>
    <s v="Não se aplica"/>
    <s v="Não se aplica"/>
    <s v="Fora ponta"/>
    <s v="CATIVO"/>
    <x v="1"/>
    <n v="0"/>
    <n v="0"/>
    <n v="13220.275"/>
    <n v="13220.275"/>
    <n v="13220.275"/>
    <n v="13220.275"/>
    <m/>
    <n v="96.28"/>
    <n v="128.11000000000001"/>
    <m/>
    <n v="2966497.5072500003"/>
    <n v="2966497.5072500003"/>
    <n v="2969802.5760000004"/>
    <n v="0"/>
    <n v="704084.92856708867"/>
    <n v="0"/>
    <n v="0"/>
    <n v="0"/>
    <n v="0"/>
    <n v="0"/>
    <n v="1693663.2642786859"/>
    <n v="0"/>
    <n v="0"/>
    <n v="0"/>
    <n v="0"/>
    <n v="0"/>
    <n v="124982.50227072737"/>
    <m/>
    <n v="6499.0958187695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255.935073150904"/>
    <n v="0"/>
    <n v="0"/>
    <n v="0"/>
    <n v="0"/>
    <n v="0"/>
    <m/>
    <m/>
    <m/>
    <m/>
    <m/>
    <m/>
    <m/>
    <m/>
    <m/>
    <n v="1762919.1993518369"/>
    <m/>
    <m/>
    <m/>
    <m/>
    <m/>
    <m/>
    <m/>
    <m/>
    <m/>
    <m/>
    <m/>
    <m/>
    <n v="2969803.6992000001"/>
    <n v="3306.1619500000961"/>
    <m/>
    <m/>
    <m/>
    <m/>
    <n v="-74165.74274999999"/>
    <n v="77470.811499999807"/>
    <n v="31"/>
    <n v="3289.7680976749398"/>
    <n v="0"/>
    <n v="0"/>
    <n v="0"/>
    <n v="0"/>
    <n v="0"/>
    <n v="0"/>
    <n v="0"/>
    <n v="0"/>
    <n v="0"/>
    <n v="0"/>
    <n v="77463.332229166059"/>
    <n v="0"/>
    <n v="0"/>
    <n v="0"/>
    <n v="3167.5691505875438"/>
    <n v="0"/>
    <n v="-66600.226002088981"/>
    <m/>
    <n v="0"/>
    <n v="0"/>
    <n v="0"/>
    <n v="0"/>
    <n v="-9979.4254750833788"/>
    <n v="-761.48180490596496"/>
    <n v="0"/>
    <n v="0"/>
    <m/>
    <m/>
    <m/>
    <n v="0"/>
    <n v="0"/>
    <n v="0"/>
    <n v="-74165.742749999976"/>
    <n v="77470.811499999836"/>
    <n v="0"/>
    <n v="0"/>
    <n v="0"/>
    <n v="0"/>
    <n v="0"/>
    <n v="0"/>
    <n v="0"/>
    <n v="0"/>
    <n v="0"/>
    <n v="0"/>
    <n v="0"/>
    <n v="0"/>
    <n v="0"/>
    <n v="0"/>
    <n v="0"/>
    <n v="368035.3743144437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2"/>
    <s v="Regular"/>
    <s v="Verde"/>
    <s v="A4"/>
    <s v="Industrial"/>
    <s v="Não se aplica"/>
    <s v="Não se aplica"/>
    <s v="Não se aplica"/>
    <s v="Não se aplica"/>
    <s v="CATIVO"/>
    <x v="1"/>
    <n v="50387"/>
    <n v="50387"/>
    <n v="0"/>
    <n v="0"/>
    <n v="0"/>
    <n v="0"/>
    <n v="18.12"/>
    <m/>
    <m/>
    <n v="913012.44000000006"/>
    <m/>
    <n v="913012.44000000006"/>
    <n v="728092.14999999991"/>
    <n v="0"/>
    <n v="0"/>
    <n v="0"/>
    <n v="0"/>
    <n v="0"/>
    <n v="0"/>
    <n v="658000.7250284059"/>
    <m/>
    <m/>
    <m/>
    <n v="0"/>
    <n v="0"/>
    <n v="0"/>
    <n v="0"/>
    <m/>
    <n v="0"/>
    <n v="40051.135447931178"/>
    <n v="214715.18323491336"/>
    <n v="0"/>
    <n v="0"/>
    <m/>
    <m/>
    <n v="0"/>
    <n v="0"/>
    <n v="0"/>
    <m/>
    <m/>
    <n v="0"/>
    <m/>
    <n v="0"/>
    <n v="0"/>
    <n v="0"/>
    <n v="0"/>
    <m/>
    <n v="0"/>
    <n v="0"/>
    <n v="0"/>
    <n v="0"/>
    <n v="2003236.79"/>
    <n v="98"/>
    <m/>
    <m/>
    <m/>
    <m/>
    <m/>
    <m/>
    <m/>
    <m/>
    <m/>
    <n v="0"/>
    <m/>
    <m/>
    <m/>
    <m/>
    <m/>
    <m/>
    <m/>
    <m/>
    <m/>
    <m/>
    <m/>
    <m/>
    <n v="728092.14999999991"/>
    <n v="-184920.32000000018"/>
    <m/>
    <m/>
    <m/>
    <m/>
    <n v="-184920.2900000001"/>
    <n v="0"/>
    <n v="31"/>
    <n v="18596.873828458803"/>
    <n v="2923.5650790201471"/>
    <n v="15673.308749438642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8000.7250284059"/>
    <m/>
    <n v="0"/>
    <n v="0"/>
    <n v="-184920.29000000015"/>
    <m/>
    <n v="0"/>
    <m/>
    <n v="-203454.43277225771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63"/>
    <s v="Regular"/>
    <s v="Convencional"/>
    <s v="B3"/>
    <s v="Comercial"/>
    <s v="Não se aplica"/>
    <s v="Não se aplica"/>
    <s v="Não se aplica"/>
    <s v="Não se aplica"/>
    <s v="CATIVO"/>
    <x v="1"/>
    <n v="0"/>
    <n v="0"/>
    <n v="1033.7429999999999"/>
    <n v="1033.7429999999999"/>
    <n v="1033.7429999999999"/>
    <n v="1033.7429999999999"/>
    <m/>
    <n v="333.61"/>
    <n v="128.11000000000001"/>
    <m/>
    <n v="477299.81796000001"/>
    <n v="477299.81796000001"/>
    <n v="416629.44128999999"/>
    <n v="0"/>
    <n v="63281.663638661543"/>
    <n v="0"/>
    <n v="0"/>
    <n v="0"/>
    <n v="0"/>
    <n v="201059.08348235398"/>
    <n v="132433.89746470793"/>
    <n v="0"/>
    <n v="0"/>
    <n v="0"/>
    <n v="0"/>
    <n v="0"/>
    <n v="9772.8516876425438"/>
    <m/>
    <n v="889.41997538543103"/>
    <n v="3593.311516959533"/>
    <n v="19168.319734208148"/>
    <n v="0"/>
    <n v="0"/>
    <n v="0"/>
    <n v="0"/>
    <n v="0"/>
    <n v="0"/>
    <n v="0"/>
    <n v="0"/>
    <n v="0"/>
    <n v="0"/>
    <m/>
    <n v="0"/>
    <n v="0"/>
    <n v="0"/>
    <n v="0"/>
    <n v="0"/>
    <n v="14026.208374118467"/>
    <n v="0"/>
    <n v="0"/>
    <n v="0"/>
    <n v="186000.57"/>
    <n v="1652"/>
    <m/>
    <m/>
    <m/>
    <m/>
    <m/>
    <m/>
    <m/>
    <m/>
    <m/>
    <n v="146460.10583882639"/>
    <m/>
    <m/>
    <m/>
    <m/>
    <m/>
    <m/>
    <m/>
    <m/>
    <m/>
    <m/>
    <m/>
    <m/>
    <n v="416628.23219999997"/>
    <n v="-60671.615760000073"/>
    <m/>
    <m/>
    <m/>
    <m/>
    <n v="-66728.110650000002"/>
    <n v="6057.7339799999845"/>
    <n v="31"/>
    <n v="1489.7445025711204"/>
    <n v="262.29668526330761"/>
    <n v="1399.2070280075641"/>
    <n v="0"/>
    <n v="0"/>
    <n v="0"/>
    <n v="0"/>
    <n v="0"/>
    <n v="0"/>
    <n v="0"/>
    <n v="0"/>
    <n v="6057.1491476973752"/>
    <n v="0"/>
    <n v="0"/>
    <n v="0"/>
    <n v="641.51880844057814"/>
    <n v="0"/>
    <n v="-5985.8873967096661"/>
    <m/>
    <n v="0"/>
    <n v="0"/>
    <n v="0"/>
    <n v="0"/>
    <n v="-780.32879262262941"/>
    <n v="-104.21097750550678"/>
    <n v="0"/>
    <n v="0"/>
    <m/>
    <m/>
    <m/>
    <n v="201059.08348235398"/>
    <n v="0"/>
    <n v="0"/>
    <n v="-66728.110649999988"/>
    <n v="6057.73397999999"/>
    <n v="0"/>
    <n v="0"/>
    <n v="-62167.654574919172"/>
    <n v="0"/>
    <n v="0"/>
    <n v="0"/>
    <n v="0"/>
    <n v="0"/>
    <n v="0"/>
    <n v="0"/>
    <n v="0"/>
    <n v="0"/>
    <n v="0"/>
    <n v="0"/>
    <n v="0"/>
    <n v="33078.24073424460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4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0.69899999999999995"/>
    <n v="0.69899999999999995"/>
    <n v="0.69899999999999995"/>
    <n v="0.69899999999999995"/>
    <m/>
    <n v="333.61"/>
    <n v="128.11000000000001"/>
    <m/>
    <n v="322.74227999999999"/>
    <n v="322.74227999999999"/>
    <n v="281.71796999999998"/>
    <n v="0"/>
    <n v="42.790019263418877"/>
    <n v="0"/>
    <n v="0"/>
    <n v="0"/>
    <n v="0"/>
    <n v="135.95284258676037"/>
    <n v="89.54962145120291"/>
    <n v="0"/>
    <n v="0"/>
    <n v="0"/>
    <n v="0"/>
    <n v="0"/>
    <n v="6.6082414387929473"/>
    <m/>
    <n v="0.60141114647878269"/>
    <n v="2.4297380977232383"/>
    <n v="12.961302271658909"/>
    <n v="0"/>
    <n v="0"/>
    <n v="0"/>
    <n v="0"/>
    <n v="0"/>
    <n v="0"/>
    <n v="0"/>
    <n v="0"/>
    <n v="0"/>
    <n v="0"/>
    <m/>
    <n v="0"/>
    <n v="0"/>
    <n v="0"/>
    <n v="0"/>
    <n v="0"/>
    <n v="9.4842912150397236"/>
    <n v="0"/>
    <n v="0"/>
    <n v="0"/>
    <n v="809.95"/>
    <n v="4"/>
    <m/>
    <m/>
    <m/>
    <m/>
    <m/>
    <m/>
    <m/>
    <m/>
    <m/>
    <n v="99.033912666242628"/>
    <m/>
    <m/>
    <m/>
    <m/>
    <m/>
    <m/>
    <m/>
    <m/>
    <m/>
    <m/>
    <m/>
    <m/>
    <n v="282.12099999999998"/>
    <n v="-40.651279999999986"/>
    <m/>
    <m/>
    <m/>
    <m/>
    <n v="-45.120450000000005"/>
    <n v="4.0961399999999895"/>
    <n v="31"/>
    <n v="1.0073407097287372"/>
    <n v="0.17736070086960876"/>
    <n v="0.94612075978002963"/>
    <n v="0"/>
    <n v="0"/>
    <n v="0"/>
    <n v="0"/>
    <n v="0"/>
    <n v="0"/>
    <n v="0"/>
    <n v="0"/>
    <n v="4.0957445460239654"/>
    <n v="0"/>
    <n v="0"/>
    <n v="0"/>
    <n v="0.43378445812930622"/>
    <n v="0"/>
    <n v="-4.0475585230565585"/>
    <m/>
    <n v="0"/>
    <n v="0"/>
    <n v="0"/>
    <n v="0"/>
    <n v="-0.52764548446104786"/>
    <n v="-7.0465747556548552E-2"/>
    <n v="0"/>
    <n v="0"/>
    <m/>
    <m/>
    <m/>
    <n v="135.95284258676037"/>
    <n v="0"/>
    <n v="0"/>
    <n v="-45.120450000000005"/>
    <n v="4.0961399999999912"/>
    <n v="0"/>
    <n v="0"/>
    <n v="-42.036744672388096"/>
    <n v="0"/>
    <n v="0"/>
    <n v="0"/>
    <n v="0"/>
    <n v="0"/>
    <n v="0"/>
    <n v="0"/>
    <n v="0"/>
    <n v="0"/>
    <n v="0"/>
    <n v="0"/>
    <n v="0"/>
    <n v="22.36696187856844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5"/>
    <s v="Regular"/>
    <s v="Verde"/>
    <s v="A4"/>
    <s v="Comercial"/>
    <s v="Não se aplica"/>
    <s v="Não se aplica"/>
    <s v="Não se aplica"/>
    <s v="Ponta"/>
    <s v="CATIVO"/>
    <x v="1"/>
    <n v="0"/>
    <n v="0"/>
    <n v="35.451000000000001"/>
    <n v="35.451000000000001"/>
    <n v="35.451000000000001"/>
    <n v="35.451000000000001"/>
    <m/>
    <n v="1351.49"/>
    <n v="128.11000000000001"/>
    <m/>
    <n v="52453.299600000006"/>
    <n v="52453.299600000006"/>
    <n v="40481.851410000003"/>
    <n v="0"/>
    <n v="1888.0480778676585"/>
    <n v="0"/>
    <n v="0"/>
    <n v="0"/>
    <n v="0"/>
    <n v="39844.961111514211"/>
    <n v="4541.6647068191623"/>
    <n v="0"/>
    <n v="0"/>
    <n v="0"/>
    <n v="0"/>
    <n v="0"/>
    <n v="335.14845099663637"/>
    <m/>
    <n v="17.427734738588843"/>
    <n v="736.40692957427098"/>
    <n v="3917.0546396278764"/>
    <n v="0"/>
    <n v="0"/>
    <n v="0"/>
    <n v="0"/>
    <n v="0"/>
    <n v="0"/>
    <n v="0"/>
    <n v="0"/>
    <n v="0"/>
    <n v="0"/>
    <m/>
    <n v="0"/>
    <n v="0"/>
    <n v="0"/>
    <n v="0"/>
    <n v="0"/>
    <n v="185.71415150428206"/>
    <n v="0"/>
    <n v="0"/>
    <n v="0"/>
    <n v="0"/>
    <n v="0"/>
    <m/>
    <m/>
    <m/>
    <m/>
    <m/>
    <m/>
    <m/>
    <m/>
    <m/>
    <n v="4727.3788583234445"/>
    <m/>
    <m/>
    <m/>
    <m/>
    <m/>
    <m/>
    <m/>
    <m/>
    <m/>
    <m/>
    <m/>
    <m/>
    <n v="40480.709500000004"/>
    <n v="-11972.620100000007"/>
    <m/>
    <m/>
    <m/>
    <m/>
    <n v="-12179.191049999999"/>
    <n v="207.74285999999947"/>
    <n v="31"/>
    <n v="348.50491753315509"/>
    <n v="53.754620416460739"/>
    <n v="285.92857677950769"/>
    <n v="0"/>
    <n v="0"/>
    <n v="0"/>
    <n v="0"/>
    <n v="0"/>
    <n v="0"/>
    <n v="0"/>
    <n v="0"/>
    <n v="207.72280386422881"/>
    <n v="0"/>
    <n v="0"/>
    <n v="0"/>
    <n v="8.4940361647151406"/>
    <n v="0"/>
    <n v="-178.59270037877832"/>
    <m/>
    <n v="0"/>
    <n v="0"/>
    <n v="0"/>
    <n v="0"/>
    <n v="-26.760457896464459"/>
    <n v="-2.0419614165152673"/>
    <n v="0"/>
    <n v="0"/>
    <m/>
    <m/>
    <m/>
    <n v="39844.961111514211"/>
    <n v="0"/>
    <n v="0"/>
    <n v="-12179.191050000001"/>
    <n v="207.74285999999938"/>
    <n v="0"/>
    <n v="0"/>
    <n v="-12320.098828805651"/>
    <n v="0"/>
    <n v="0"/>
    <n v="0"/>
    <n v="0"/>
    <n v="0"/>
    <n v="0"/>
    <n v="0"/>
    <n v="0"/>
    <n v="0"/>
    <n v="0"/>
    <n v="0"/>
    <n v="0"/>
    <n v="986.910034384409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6"/>
    <s v="Regular"/>
    <s v="Verde"/>
    <s v="A4"/>
    <s v="Comercial"/>
    <s v="Não se aplica"/>
    <s v="Não se aplica"/>
    <s v="Não se aplica"/>
    <s v="Fora ponta"/>
    <s v="CATIVO"/>
    <x v="1"/>
    <n v="0"/>
    <n v="0"/>
    <n v="414.13499999999999"/>
    <n v="414.13499999999999"/>
    <n v="414.13499999999999"/>
    <n v="414.13499999999999"/>
    <m/>
    <n v="96.28"/>
    <n v="128.11000000000001"/>
    <m/>
    <n v="92927.752650000009"/>
    <n v="92927.752650000009"/>
    <n v="93031.286399999997"/>
    <n v="0"/>
    <n v="22055.986875623334"/>
    <n v="0"/>
    <n v="0"/>
    <n v="0"/>
    <n v="0"/>
    <n v="0"/>
    <n v="53055.268211293158"/>
    <n v="0"/>
    <n v="0"/>
    <n v="0"/>
    <n v="0"/>
    <n v="0"/>
    <n v="3915.1703408505259"/>
    <m/>
    <n v="203.58903630265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9.4939531529676"/>
    <n v="0"/>
    <n v="0"/>
    <n v="0"/>
    <n v="0"/>
    <n v="0"/>
    <m/>
    <m/>
    <m/>
    <m/>
    <m/>
    <m/>
    <m/>
    <m/>
    <m/>
    <n v="55224.762164446125"/>
    <m/>
    <m/>
    <m/>
    <m/>
    <m/>
    <m/>
    <m/>
    <m/>
    <m/>
    <m/>
    <m/>
    <m/>
    <n v="93032.409599999999"/>
    <n v="104.62694999999076"/>
    <m/>
    <m/>
    <m/>
    <m/>
    <n v="-2323.2973499999998"/>
    <n v="2426.831099999994"/>
    <n v="31"/>
    <n v="103.05444562465709"/>
    <n v="0"/>
    <n v="0"/>
    <n v="0"/>
    <n v="0"/>
    <n v="0"/>
    <n v="0"/>
    <n v="0"/>
    <n v="0"/>
    <n v="0"/>
    <n v="0"/>
    <n v="2426.5968062484026"/>
    <n v="0"/>
    <n v="0"/>
    <n v="0"/>
    <n v="99.22647223137028"/>
    <n v="0"/>
    <n v="-2086.301880662475"/>
    <m/>
    <n v="0"/>
    <n v="0"/>
    <n v="0"/>
    <n v="0"/>
    <n v="-312.6129652464615"/>
    <n v="-23.853986946166543"/>
    <n v="0"/>
    <n v="0"/>
    <m/>
    <m/>
    <m/>
    <n v="0"/>
    <n v="0"/>
    <n v="0"/>
    <n v="-2323.2973500000007"/>
    <n v="2426.8310999999885"/>
    <n v="0"/>
    <n v="0"/>
    <n v="0"/>
    <n v="0"/>
    <n v="0"/>
    <n v="0"/>
    <n v="0"/>
    <n v="0"/>
    <n v="0"/>
    <n v="0"/>
    <n v="0"/>
    <n v="0"/>
    <n v="0"/>
    <n v="0"/>
    <n v="0"/>
    <n v="11528.98330342690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7"/>
    <s v="Regular"/>
    <s v="Verde"/>
    <s v="A4"/>
    <s v="Comercial"/>
    <s v="Não se aplica"/>
    <s v="Não se aplica"/>
    <s v="Não se aplica"/>
    <s v="Não se aplica"/>
    <s v="CATIVO"/>
    <x v="1"/>
    <n v="1656"/>
    <n v="1656"/>
    <n v="0"/>
    <n v="0"/>
    <n v="0"/>
    <n v="0"/>
    <n v="18.12"/>
    <m/>
    <m/>
    <n v="30006.720000000001"/>
    <m/>
    <n v="30006.720000000001"/>
    <n v="23929.199999999997"/>
    <n v="0"/>
    <n v="0"/>
    <n v="0"/>
    <n v="0"/>
    <n v="0"/>
    <n v="0"/>
    <n v="21625.601854586308"/>
    <m/>
    <m/>
    <m/>
    <n v="0"/>
    <n v="0"/>
    <n v="0"/>
    <n v="0"/>
    <m/>
    <n v="0"/>
    <n v="1316.3054022222802"/>
    <n v="7056.7476419913182"/>
    <n v="0"/>
    <n v="0"/>
    <m/>
    <m/>
    <n v="0"/>
    <n v="0"/>
    <n v="0"/>
    <m/>
    <m/>
    <n v="0"/>
    <m/>
    <n v="0"/>
    <n v="0"/>
    <n v="0"/>
    <n v="0"/>
    <m/>
    <n v="0"/>
    <n v="0"/>
    <n v="0"/>
    <n v="0"/>
    <n v="71384.86"/>
    <n v="17"/>
    <m/>
    <m/>
    <m/>
    <m/>
    <m/>
    <m/>
    <m/>
    <m/>
    <m/>
    <n v="0"/>
    <m/>
    <m/>
    <m/>
    <m/>
    <m/>
    <m/>
    <m/>
    <m/>
    <m/>
    <m/>
    <m/>
    <m/>
    <n v="23929.199999999997"/>
    <n v="-6077.5499999999993"/>
    <m/>
    <m/>
    <m/>
    <m/>
    <n v="-6077.5200000000032"/>
    <n v="0"/>
    <n v="31"/>
    <n v="611.19779030161953"/>
    <n v="96.084779225938519"/>
    <n v="515.11301107568124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625.601854586308"/>
    <m/>
    <n v="0"/>
    <n v="0"/>
    <n v="-6077.5200000000041"/>
    <m/>
    <n v="0"/>
    <m/>
    <n v="-6686.6560952400214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68"/>
    <s v="Regular"/>
    <s v="Convencional"/>
    <s v="B2"/>
    <s v="Rural"/>
    <s v="Não se aplica"/>
    <s v="Não se aplica"/>
    <s v="Não se aplica"/>
    <s v="Não se aplica"/>
    <s v="CATIVO"/>
    <x v="1"/>
    <n v="0"/>
    <n v="0"/>
    <n v="1150.972"/>
    <n v="1150.972"/>
    <n v="1150.972"/>
    <n v="1150.972"/>
    <m/>
    <n v="333.61"/>
    <n v="128.11000000000001"/>
    <m/>
    <n v="531426.79184000008"/>
    <n v="531426.79184000008"/>
    <n v="463876.24515999999"/>
    <n v="0"/>
    <n v="70457.960016674901"/>
    <n v="0"/>
    <n v="0"/>
    <n v="0"/>
    <n v="0"/>
    <n v="223859.67830868208"/>
    <n v="147452.2273260857"/>
    <n v="0"/>
    <n v="0"/>
    <n v="0"/>
    <n v="0"/>
    <n v="0"/>
    <n v="10881.117117725889"/>
    <m/>
    <n v="990.2823892488949"/>
    <n v="4000.8018852828486"/>
    <n v="21342.054360823746"/>
    <n v="0"/>
    <n v="0"/>
    <n v="0"/>
    <n v="0"/>
    <n v="0"/>
    <n v="0"/>
    <n v="0"/>
    <n v="0"/>
    <n v="0"/>
    <n v="0"/>
    <m/>
    <n v="0"/>
    <n v="0"/>
    <n v="0"/>
    <n v="0"/>
    <n v="0"/>
    <n v="15616.814918965236"/>
    <n v="0"/>
    <n v="0"/>
    <n v="0"/>
    <n v="118185.78"/>
    <n v="2375"/>
    <m/>
    <m/>
    <m/>
    <m/>
    <m/>
    <n v="55672.515639999983"/>
    <m/>
    <m/>
    <m/>
    <n v="163069.04224505095"/>
    <m/>
    <m/>
    <m/>
    <m/>
    <m/>
    <m/>
    <m/>
    <m/>
    <m/>
    <m/>
    <m/>
    <m/>
    <n v="408203.02020000003"/>
    <n v="-59459.952839999925"/>
    <m/>
    <m/>
    <m/>
    <m/>
    <n v="-74295.242600000012"/>
    <n v="6744.6959199999828"/>
    <n v="31"/>
    <n v="1658.6851950756973"/>
    <n v="292.04177482302612"/>
    <n v="1557.8805481052077"/>
    <n v="0"/>
    <n v="0"/>
    <n v="0"/>
    <n v="0"/>
    <n v="0"/>
    <n v="0"/>
    <n v="0"/>
    <n v="0"/>
    <n v="6744.0447662751249"/>
    <n v="0"/>
    <n v="0"/>
    <n v="0"/>
    <n v="714.26861994564388"/>
    <n v="0"/>
    <n v="-6664.7017573668927"/>
    <m/>
    <n v="0"/>
    <n v="0"/>
    <n v="0"/>
    <n v="0"/>
    <n v="-868.81999791287853"/>
    <n v="-116.02875879349915"/>
    <n v="0"/>
    <n v="0"/>
    <m/>
    <m/>
    <m/>
    <n v="223859.67830868208"/>
    <n v="0"/>
    <n v="0"/>
    <n v="-74295.242599999998"/>
    <n v="6744.6959199999692"/>
    <n v="0"/>
    <n v="0"/>
    <n v="-69217.619583788095"/>
    <n v="0"/>
    <n v="0"/>
    <n v="0"/>
    <n v="0"/>
    <n v="0"/>
    <n v="0"/>
    <n v="0"/>
    <n v="0"/>
    <n v="0"/>
    <n v="0"/>
    <n v="0"/>
    <n v="0"/>
    <n v="36829.39463133001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69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2.286000000000001"/>
    <n v="22.286000000000001"/>
    <n v="22.286000000000001"/>
    <n v="22.286000000000001"/>
    <m/>
    <n v="333.61"/>
    <n v="128.11000000000001"/>
    <m/>
    <n v="10289.891920000002"/>
    <n v="10289.891920000002"/>
    <n v="8981.9265799999994"/>
    <n v="0"/>
    <n v="1364.260900292637"/>
    <n v="0"/>
    <n v="0"/>
    <n v="0"/>
    <n v="0"/>
    <n v="4334.5422745186579"/>
    <n v="2855.0827806316283"/>
    <n v="0"/>
    <n v="0"/>
    <n v="0"/>
    <n v="0"/>
    <n v="0"/>
    <n v="210.68851030749593"/>
    <m/>
    <n v="19.174604879007372"/>
    <n v="77.466585473333467"/>
    <n v="413.24117657537977"/>
    <n v="0"/>
    <n v="0"/>
    <n v="0"/>
    <n v="0"/>
    <n v="0"/>
    <n v="0"/>
    <n v="0"/>
    <n v="0"/>
    <n v="0"/>
    <n v="0"/>
    <m/>
    <n v="0"/>
    <n v="0"/>
    <n v="0"/>
    <n v="0"/>
    <n v="0"/>
    <n v="302.38471247263988"/>
    <n v="0"/>
    <n v="0"/>
    <n v="0"/>
    <n v="5648.81"/>
    <n v="15"/>
    <m/>
    <m/>
    <m/>
    <m/>
    <m/>
    <n v="1077.9738199999997"/>
    <m/>
    <m/>
    <m/>
    <n v="3157.4674931042682"/>
    <m/>
    <m/>
    <m/>
    <m/>
    <m/>
    <m/>
    <m/>
    <m/>
    <m/>
    <m/>
    <m/>
    <m/>
    <n v="7905.3714"/>
    <n v="-1149.9061200000015"/>
    <m/>
    <m/>
    <m/>
    <m/>
    <n v="-1438.5613000000003"/>
    <n v="130.59595999999968"/>
    <n v="31"/>
    <n v="32.116731125916886"/>
    <n v="5.6547361653506414"/>
    <n v="30.164874467035418"/>
    <n v="0"/>
    <n v="0"/>
    <n v="0"/>
    <n v="0"/>
    <n v="0"/>
    <n v="0"/>
    <n v="0"/>
    <n v="0"/>
    <n v="130.5833518636482"/>
    <n v="0"/>
    <n v="0"/>
    <n v="0"/>
    <n v="13.830215212975304"/>
    <n v="0"/>
    <n v="-129.04705185241573"/>
    <m/>
    <n v="0"/>
    <n v="0"/>
    <n v="0"/>
    <n v="0"/>
    <n v="-16.822757176965581"/>
    <n v="-2.2466375537127945"/>
    <n v="0"/>
    <n v="0"/>
    <m/>
    <m/>
    <m/>
    <n v="4334.5422745186579"/>
    <n v="0"/>
    <n v="0"/>
    <n v="-1438.5613000000003"/>
    <n v="130.59595999999965"/>
    <n v="0"/>
    <n v="0"/>
    <n v="-1340.2444803559961"/>
    <n v="0"/>
    <n v="0"/>
    <n v="0"/>
    <n v="0"/>
    <n v="0"/>
    <n v="0"/>
    <n v="0"/>
    <n v="0"/>
    <n v="0"/>
    <n v="0"/>
    <n v="0"/>
    <n v="0"/>
    <n v="713.1189018966757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0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60.94"/>
    <n v="160.94"/>
    <n v="160.94"/>
    <n v="160.94"/>
    <m/>
    <n v="333.61"/>
    <n v="128.11000000000001"/>
    <m/>
    <n v="74309.216800000009"/>
    <n v="74309.216800000009"/>
    <n v="64863.648199999996"/>
    <n v="0"/>
    <n v="9852.1111591625668"/>
    <n v="0"/>
    <n v="0"/>
    <n v="0"/>
    <n v="0"/>
    <n v="31302.218148659824"/>
    <n v="20618.191811668949"/>
    <n v="0"/>
    <n v="0"/>
    <n v="0"/>
    <n v="0"/>
    <n v="0"/>
    <n v="1521.5026854926139"/>
    <m/>
    <n v="138.47082963418498"/>
    <n v="559.43068590497569"/>
    <n v="2984.2517705304504"/>
    <n v="0"/>
    <n v="0"/>
    <n v="0"/>
    <n v="0"/>
    <n v="0"/>
    <n v="0"/>
    <n v="0"/>
    <n v="0"/>
    <n v="0"/>
    <n v="0"/>
    <m/>
    <n v="0"/>
    <n v="0"/>
    <n v="0"/>
    <n v="0"/>
    <n v="0"/>
    <n v="2183.6936025014206"/>
    <n v="0"/>
    <n v="0"/>
    <n v="0"/>
    <n v="24330.34"/>
    <n v="210"/>
    <m/>
    <m/>
    <m/>
    <m/>
    <m/>
    <m/>
    <m/>
    <m/>
    <m/>
    <n v="22801.88541417037"/>
    <m/>
    <m/>
    <m/>
    <m/>
    <m/>
    <m/>
    <m/>
    <m/>
    <m/>
    <m/>
    <m/>
    <m/>
    <n v="64863.648199999996"/>
    <n v="-9445.5986000000121"/>
    <m/>
    <m/>
    <m/>
    <m/>
    <n v="-10388.677000000001"/>
    <n v="943.10839999999757"/>
    <n v="31"/>
    <n v="231.9333531098091"/>
    <n v="40.836096134413197"/>
    <n v="217.83787564949625"/>
    <n v="0"/>
    <n v="0"/>
    <n v="0"/>
    <n v="0"/>
    <n v="0"/>
    <n v="0"/>
    <n v="0"/>
    <n v="0"/>
    <n v="943.017349409296"/>
    <n v="0"/>
    <n v="0"/>
    <n v="0"/>
    <n v="99.875923735809465"/>
    <n v="0"/>
    <n v="-931.92284506541182"/>
    <m/>
    <n v="0"/>
    <n v="0"/>
    <n v="0"/>
    <n v="0"/>
    <n v="-121.48678722340651"/>
    <n v="-16.224259530401923"/>
    <n v="0"/>
    <n v="0"/>
    <m/>
    <m/>
    <m/>
    <n v="31302.218148659824"/>
    <n v="0"/>
    <n v="0"/>
    <n v="-10388.677000000003"/>
    <n v="943.10839999999735"/>
    <n v="0"/>
    <n v="0"/>
    <n v="-9678.6748033964832"/>
    <n v="0"/>
    <n v="0"/>
    <n v="0"/>
    <n v="0"/>
    <n v="0"/>
    <n v="0"/>
    <n v="0"/>
    <n v="0"/>
    <n v="0"/>
    <n v="0"/>
    <n v="0"/>
    <n v="0"/>
    <n v="5149.840979594857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1"/>
    <s v="Regular"/>
    <s v="Verde"/>
    <s v="A4"/>
    <s v="Poder público"/>
    <s v="Não se aplica"/>
    <s v="Não se aplica"/>
    <s v="Não se aplica"/>
    <s v="Ponta"/>
    <s v="CATIVO"/>
    <x v="1"/>
    <n v="0"/>
    <n v="0"/>
    <n v="1.923"/>
    <n v="1.923"/>
    <n v="1.923"/>
    <n v="1.923"/>
    <m/>
    <n v="1351.49"/>
    <n v="128.11000000000001"/>
    <m/>
    <n v="2845.2708000000002"/>
    <n v="2845.2708000000002"/>
    <n v="2195.89293"/>
    <n v="0"/>
    <n v="102.41506456064729"/>
    <n v="0"/>
    <n v="0"/>
    <n v="0"/>
    <n v="0"/>
    <n v="2161.3455253008892"/>
    <n v="246.35754227562688"/>
    <n v="0"/>
    <n v="0"/>
    <n v="0"/>
    <n v="0"/>
    <n v="0"/>
    <n v="18.179754344490473"/>
    <m/>
    <n v="0.94534805512697373"/>
    <n v="39.945573483719023"/>
    <n v="212.4762650420131"/>
    <n v="0"/>
    <n v="0"/>
    <n v="0"/>
    <n v="0"/>
    <n v="0"/>
    <n v="0"/>
    <n v="0"/>
    <n v="0"/>
    <n v="0"/>
    <n v="0"/>
    <m/>
    <n v="0"/>
    <n v="0"/>
    <n v="0"/>
    <n v="0"/>
    <n v="0"/>
    <n v="10.073857249237946"/>
    <n v="0"/>
    <n v="0"/>
    <n v="0"/>
    <n v="0"/>
    <n v="0"/>
    <m/>
    <m/>
    <m/>
    <m/>
    <m/>
    <m/>
    <m/>
    <m/>
    <m/>
    <n v="256.43139952486484"/>
    <m/>
    <m/>
    <m/>
    <m/>
    <m/>
    <m/>
    <m/>
    <m/>
    <m/>
    <m/>
    <m/>
    <m/>
    <n v="2192.4672"/>
    <n v="-652.83360000000084"/>
    <m/>
    <m/>
    <m/>
    <m/>
    <n v="-660.64664999999991"/>
    <n v="11.268779999999971"/>
    <n v="31"/>
    <n v="18.90426099168576"/>
    <n v="2.9158594979225967"/>
    <n v="15.509877102112569"/>
    <n v="0"/>
    <n v="0"/>
    <n v="0"/>
    <n v="0"/>
    <n v="0"/>
    <n v="0"/>
    <n v="0"/>
    <n v="0"/>
    <n v="11.267692077259085"/>
    <n v="0"/>
    <n v="0"/>
    <n v="0"/>
    <n v="0.46074952877908082"/>
    <n v="0"/>
    <n v="-9.6875620667510276"/>
    <m/>
    <n v="0"/>
    <n v="0"/>
    <n v="0"/>
    <n v="0"/>
    <n v="-1.4515912254915548"/>
    <n v="-0.11076392214490027"/>
    <n v="0"/>
    <n v="0"/>
    <m/>
    <m/>
    <m/>
    <n v="2161.3455253008892"/>
    <n v="0"/>
    <n v="0"/>
    <n v="-660.64664999999991"/>
    <n v="11.268779999999936"/>
    <n v="0"/>
    <n v="0"/>
    <n v="-668.29003547976822"/>
    <n v="0"/>
    <n v="0"/>
    <n v="0"/>
    <n v="0"/>
    <n v="0"/>
    <n v="0"/>
    <n v="0"/>
    <n v="0"/>
    <n v="0"/>
    <n v="0"/>
    <n v="0"/>
    <n v="0"/>
    <n v="53.53383532541307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2"/>
    <s v="Regular"/>
    <s v="Verde"/>
    <s v="A4"/>
    <s v="Poder público"/>
    <s v="Não se aplica"/>
    <s v="Não se aplica"/>
    <s v="Não se aplica"/>
    <s v="Fora ponta"/>
    <s v="CATIVO"/>
    <x v="1"/>
    <n v="0"/>
    <n v="0"/>
    <n v="21.516999999999999"/>
    <n v="21.516999999999999"/>
    <n v="21.516999999999999"/>
    <n v="21.516999999999999"/>
    <m/>
    <n v="96.28"/>
    <n v="128.11000000000001"/>
    <m/>
    <n v="4828.1996300000001"/>
    <n v="4828.1996300000001"/>
    <n v="4833.57888"/>
    <n v="0"/>
    <n v="1145.9516090231139"/>
    <n v="0"/>
    <n v="0"/>
    <n v="0"/>
    <n v="0"/>
    <n v="0"/>
    <n v="2756.5653859306622"/>
    <n v="0"/>
    <n v="0"/>
    <n v="0"/>
    <n v="0"/>
    <n v="0"/>
    <n v="203.41849933978236"/>
    <m/>
    <n v="10.577771243976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71928571599213"/>
    <n v="0"/>
    <n v="0"/>
    <n v="0"/>
    <n v="0"/>
    <n v="0"/>
    <m/>
    <m/>
    <m/>
    <m/>
    <m/>
    <m/>
    <m/>
    <m/>
    <m/>
    <n v="2869.2846716466543"/>
    <m/>
    <m/>
    <m/>
    <m/>
    <m/>
    <m/>
    <m/>
    <m/>
    <m/>
    <m/>
    <m/>
    <m/>
    <n v="4834.2528000000002"/>
    <n v="6.0231699999994817"/>
    <m/>
    <m/>
    <m/>
    <m/>
    <n v="-120.71036999999998"/>
    <n v="126.08961999999968"/>
    <n v="31"/>
    <n v="5.3543470281583723"/>
    <n v="0"/>
    <n v="0"/>
    <n v="0"/>
    <n v="0"/>
    <n v="0"/>
    <n v="0"/>
    <n v="0"/>
    <n v="0"/>
    <n v="0"/>
    <n v="0"/>
    <n v="126.07744691959624"/>
    <n v="0"/>
    <n v="0"/>
    <n v="0"/>
    <n v="5.1554589759435743"/>
    <n v="0"/>
    <n v="-108.39691783165995"/>
    <m/>
    <n v="0"/>
    <n v="0"/>
    <n v="0"/>
    <n v="0"/>
    <n v="-16.242271658295266"/>
    <n v="-1.2393693774268435"/>
    <n v="0"/>
    <n v="0"/>
    <m/>
    <m/>
    <m/>
    <n v="0"/>
    <n v="0"/>
    <n v="0"/>
    <n v="-120.71036999999978"/>
    <n v="126.08961999999974"/>
    <n v="0"/>
    <n v="0"/>
    <n v="0"/>
    <n v="0"/>
    <n v="0"/>
    <n v="0"/>
    <n v="0"/>
    <n v="0"/>
    <n v="0"/>
    <n v="0"/>
    <n v="0"/>
    <n v="0"/>
    <n v="0"/>
    <n v="0"/>
    <n v="0"/>
    <n v="599.0054782615252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3"/>
    <s v="Regular"/>
    <s v="Verde"/>
    <s v="A4"/>
    <s v="Poder público"/>
    <s v="Não se aplica"/>
    <s v="Não se aplica"/>
    <s v="Não se aplica"/>
    <s v="Não se aplica"/>
    <s v="CATIVO"/>
    <x v="1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73.75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1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74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817.678"/>
    <n v="817.678"/>
    <n v="817.678"/>
    <n v="817.678"/>
    <m/>
    <n v="183.49"/>
    <n v="70.459999999999994"/>
    <m/>
    <n v="207649.32810000001"/>
    <n v="207649.32810000001"/>
    <n v="181246.50547999999"/>
    <n v="0"/>
    <n v="27530.259734192572"/>
    <n v="0"/>
    <n v="0"/>
    <n v="0"/>
    <n v="0"/>
    <n v="87469.394322405773"/>
    <n v="57614.471320368139"/>
    <n v="0"/>
    <n v="0"/>
    <n v="0"/>
    <n v="0"/>
    <n v="0"/>
    <n v="4251.6130239687191"/>
    <m/>
    <n v="386.93614433013283"/>
    <n v="1563.2458705988263"/>
    <n v="8339.0478474778538"/>
    <n v="0"/>
    <n v="0"/>
    <n v="0"/>
    <n v="0"/>
    <n v="0"/>
    <n v="0"/>
    <n v="0"/>
    <n v="0"/>
    <n v="0"/>
    <n v="0"/>
    <m/>
    <n v="0"/>
    <n v="0"/>
    <n v="0"/>
    <n v="0"/>
    <n v="0"/>
    <n v="6102.0070810760708"/>
    <n v="0"/>
    <n v="0"/>
    <n v="0"/>
    <n v="99116.46"/>
    <n v="13"/>
    <m/>
    <m/>
    <m/>
    <m/>
    <m/>
    <m/>
    <m/>
    <m/>
    <m/>
    <n v="63716.478401444212"/>
    <m/>
    <m/>
    <m/>
    <m/>
    <m/>
    <m/>
    <m/>
    <m/>
    <m/>
    <m/>
    <m/>
    <m/>
    <n v="181246.94879999998"/>
    <n v="-26402.409300000058"/>
    <m/>
    <m/>
    <m/>
    <m/>
    <n v="-29035.745780000016"/>
    <n v="2632.9231600000107"/>
    <n v="31"/>
    <n v="648.1032693379384"/>
    <n v="114.11039877126382"/>
    <n v="608.71555341702697"/>
    <n v="0"/>
    <n v="0"/>
    <n v="0"/>
    <n v="0"/>
    <n v="0"/>
    <n v="0"/>
    <n v="0"/>
    <n v="0"/>
    <n v="2635.1217666623634"/>
    <n v="0"/>
    <n v="0"/>
    <n v="0"/>
    <n v="279.08841843328901"/>
    <n v="0"/>
    <n v="-2604.119823903784"/>
    <m/>
    <n v="0"/>
    <n v="0"/>
    <n v="0"/>
    <n v="0"/>
    <n v="-339.47676315267881"/>
    <n v="-45.336280889555042"/>
    <n v="0"/>
    <n v="0"/>
    <m/>
    <m/>
    <m/>
    <n v="87469.394322405773"/>
    <n v="0"/>
    <n v="0"/>
    <n v="-29035.745780000027"/>
    <n v="2632.923160000013"/>
    <n v="0"/>
    <n v="0"/>
    <n v="-27045.617626074483"/>
    <n v="0"/>
    <n v="0"/>
    <n v="0"/>
    <n v="0"/>
    <n v="0"/>
    <n v="0"/>
    <n v="0"/>
    <n v="0"/>
    <n v="0"/>
    <n v="0"/>
    <n v="0"/>
    <n v="0"/>
    <n v="14390.46489301754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5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77.210999999999999"/>
    <n v="72.578339999999997"/>
    <n v="77.210999999999999"/>
    <n v="72.578339999999997"/>
    <m/>
    <n v="333.61"/>
    <n v="128.11000000000001"/>
    <m/>
    <n v="35649.86292"/>
    <n v="35649.86292"/>
    <n v="31118.349330000001"/>
    <n v="0"/>
    <n v="4726.5524711700073"/>
    <n v="0"/>
    <n v="0"/>
    <n v="0"/>
    <n v="0"/>
    <n v="15017.24596418649"/>
    <n v="9891.5820055348031"/>
    <n v="0"/>
    <n v="0"/>
    <n v="0"/>
    <n v="0"/>
    <n v="0"/>
    <n v="729.94124424984591"/>
    <m/>
    <n v="66.431410630576963"/>
    <n v="268.38699322361794"/>
    <n v="1431.6954359042288"/>
    <n v="0"/>
    <n v="0"/>
    <n v="0"/>
    <n v="0"/>
    <n v="0"/>
    <n v="0"/>
    <n v="0"/>
    <n v="0"/>
    <n v="0"/>
    <n v="0"/>
    <m/>
    <n v="0"/>
    <n v="0"/>
    <n v="0"/>
    <n v="0"/>
    <n v="0"/>
    <n v="1047.627480693036"/>
    <n v="0"/>
    <n v="0"/>
    <n v="0"/>
    <n v="13148.14"/>
    <n v="28"/>
    <m/>
    <m/>
    <m/>
    <m/>
    <n v="1867.1009598000005"/>
    <m/>
    <m/>
    <m/>
    <m/>
    <n v="10939.209486227839"/>
    <m/>
    <m/>
    <m/>
    <m/>
    <m/>
    <m/>
    <m/>
    <m/>
    <m/>
    <m/>
    <m/>
    <m/>
    <n v="29251.917399999998"/>
    <n v="-4258.9837448000035"/>
    <m/>
    <m/>
    <m/>
    <m/>
    <n v="-4983.9700500000008"/>
    <n v="452.45645999999886"/>
    <n v="31"/>
    <n v="111.27007659351148"/>
    <n v="19.591126001206533"/>
    <n v="104.50776821656063"/>
    <n v="0"/>
    <n v="0"/>
    <n v="0"/>
    <n v="0"/>
    <n v="0"/>
    <n v="0"/>
    <n v="0"/>
    <n v="0"/>
    <n v="452.41277845930927"/>
    <n v="0"/>
    <n v="0"/>
    <n v="0"/>
    <n v="47.915496132506178"/>
    <n v="0"/>
    <n v="-447.09018758758248"/>
    <m/>
    <n v="0"/>
    <n v="0"/>
    <n v="0"/>
    <n v="0"/>
    <n v="-58.283312590446371"/>
    <n v="-7.7835920380381651"/>
    <n v="0"/>
    <n v="0"/>
    <m/>
    <m/>
    <m/>
    <n v="15017.24596418649"/>
    <n v="0"/>
    <n v="0"/>
    <n v="-4983.9700499999999"/>
    <n v="452.45645999999942"/>
    <n v="0"/>
    <n v="0"/>
    <n v="-4643.3463417736166"/>
    <n v="0"/>
    <n v="0"/>
    <n v="0"/>
    <n v="0"/>
    <n v="0"/>
    <n v="0"/>
    <n v="0"/>
    <n v="0"/>
    <n v="0"/>
    <n v="0"/>
    <n v="0"/>
    <n v="0"/>
    <n v="2470.637329908652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6"/>
    <s v="Regular"/>
    <s v="Azul"/>
    <s v="A4"/>
    <s v="Serviço público"/>
    <s v="Água, esgoto e saneamento"/>
    <s v="Não se aplica"/>
    <s v="Não se aplica"/>
    <s v="Ponta"/>
    <s v="CATIVO"/>
    <x v="1"/>
    <n v="403"/>
    <n v="378.82"/>
    <n v="19.538"/>
    <n v="18.36572"/>
    <n v="19.538"/>
    <n v="18.36572"/>
    <n v="52.19"/>
    <n v="96.28"/>
    <n v="128.11000000000001"/>
    <n v="21032.57"/>
    <n v="4384.1318200000005"/>
    <n v="25416.701820000002"/>
    <n v="19759.436320000001"/>
    <n v="0"/>
    <n v="1040.5540984846214"/>
    <n v="0"/>
    <n v="0"/>
    <n v="0"/>
    <n v="0"/>
    <n v="18833.659551020683"/>
    <n v="2503.0336250552255"/>
    <n v="0"/>
    <n v="0"/>
    <n v="0"/>
    <n v="0"/>
    <n v="0"/>
    <n v="184.70932937215539"/>
    <m/>
    <n v="9.6048935522989147"/>
    <n v="348.04274276226141"/>
    <n v="1851.4964782856871"/>
    <n v="0"/>
    <n v="0"/>
    <n v="0"/>
    <n v="0"/>
    <n v="0"/>
    <n v="0"/>
    <n v="0"/>
    <n v="0"/>
    <n v="0"/>
    <n v="0"/>
    <m/>
    <n v="0"/>
    <n v="0"/>
    <n v="0"/>
    <n v="0"/>
    <n v="0"/>
    <n v="102.35206600915808"/>
    <n v="0"/>
    <n v="0"/>
    <n v="0"/>
    <n v="0"/>
    <n v="0"/>
    <m/>
    <m/>
    <m/>
    <m/>
    <n v="1185.5661792000005"/>
    <m/>
    <m/>
    <m/>
    <m/>
    <n v="2605.3856910643835"/>
    <m/>
    <m/>
    <m/>
    <m/>
    <m/>
    <m/>
    <m/>
    <m/>
    <m/>
    <m/>
    <m/>
    <m/>
    <n v="18574.831600000001"/>
    <n v="-5316.8981107999934"/>
    <m/>
    <m/>
    <m/>
    <m/>
    <n v="-5771.7581799999989"/>
    <n v="114.49267999999971"/>
    <n v="31"/>
    <n v="165.41903482235193"/>
    <n v="25.405661971031805"/>
    <n v="135.15148540250539"/>
    <n v="0"/>
    <n v="0"/>
    <n v="0"/>
    <n v="0"/>
    <n v="0"/>
    <n v="0"/>
    <n v="0"/>
    <n v="0"/>
    <n v="114.4816265239142"/>
    <n v="0"/>
    <n v="0"/>
    <n v="0"/>
    <n v="4.6812918841839206"/>
    <n v="0"/>
    <n v="-98.427242673001388"/>
    <m/>
    <n v="0"/>
    <n v="0"/>
    <n v="0"/>
    <n v="0"/>
    <n v="-14.748408405436294"/>
    <n v="-1.125379880846106"/>
    <n v="0"/>
    <n v="0"/>
    <m/>
    <m/>
    <n v="18833.659551020683"/>
    <n v="0"/>
    <n v="0"/>
    <n v="0"/>
    <n v="-5771.7581800000007"/>
    <n v="114.49267999999984"/>
    <n v="0"/>
    <n v="0"/>
    <n v="-5823.3849526735612"/>
    <n v="0"/>
    <n v="0"/>
    <n v="0"/>
    <n v="0"/>
    <n v="0"/>
    <n v="0"/>
    <n v="0"/>
    <n v="0"/>
    <n v="0"/>
    <n v="0"/>
    <n v="0"/>
    <n v="0"/>
    <n v="543.9126752927304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7"/>
    <s v="Regular"/>
    <s v="Azul"/>
    <s v="A4"/>
    <s v="Serviço público"/>
    <s v="Água, esgoto e saneamento"/>
    <s v="Não se aplica"/>
    <s v="Não se aplica"/>
    <s v="Fora ponta"/>
    <s v="CATIVO"/>
    <x v="1"/>
    <n v="447"/>
    <n v="420.18"/>
    <n v="144.97499999999999"/>
    <n v="136.2765"/>
    <n v="144.97499999999999"/>
    <n v="136.2765"/>
    <n v="18.12"/>
    <n v="96.28"/>
    <n v="128.11000000000001"/>
    <n v="8099.64"/>
    <n v="32530.94025"/>
    <n v="40630.580249999999"/>
    <n v="39026.334000000003"/>
    <n v="0"/>
    <n v="7721.0733149661164"/>
    <n v="0"/>
    <n v="0"/>
    <n v="0"/>
    <n v="0"/>
    <n v="5837.3454281401446"/>
    <n v="18572.898955490902"/>
    <n v="0"/>
    <n v="0"/>
    <n v="0"/>
    <n v="0"/>
    <n v="0"/>
    <n v="1370.571963646649"/>
    <m/>
    <n v="71.269804624042123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759.46825517850812"/>
    <n v="0"/>
    <n v="0"/>
    <n v="0"/>
    <n v="0"/>
    <n v="0"/>
    <m/>
    <m/>
    <m/>
    <m/>
    <n v="2341.5800399999989"/>
    <m/>
    <m/>
    <m/>
    <m/>
    <n v="19332.36721066941"/>
    <m/>
    <m/>
    <m/>
    <m/>
    <m/>
    <m/>
    <m/>
    <m/>
    <m/>
    <m/>
    <m/>
    <m/>
    <n v="36685.540200000003"/>
    <n v="-1507.2352349999928"/>
    <m/>
    <m/>
    <m/>
    <m/>
    <n v="-2453.7997500000006"/>
    <n v="849.55349999999783"/>
    <n v="31"/>
    <n v="201.05507503830449"/>
    <n v="25.935927725842078"/>
    <n v="139.04318596064581"/>
    <n v="0"/>
    <n v="0"/>
    <n v="0"/>
    <n v="0"/>
    <n v="0"/>
    <n v="0"/>
    <n v="0"/>
    <n v="0"/>
    <n v="849.47148148759152"/>
    <n v="0"/>
    <n v="0"/>
    <n v="0"/>
    <n v="34.73591416263514"/>
    <n v="0"/>
    <n v="-730.34545534437439"/>
    <m/>
    <n v="0"/>
    <n v="0"/>
    <n v="0"/>
    <n v="0"/>
    <n v="-109.43548513553719"/>
    <n v="-8.3504938184903352"/>
    <n v="0"/>
    <n v="0"/>
    <m/>
    <m/>
    <n v="5837.3454281401446"/>
    <n v="0"/>
    <n v="0"/>
    <n v="0"/>
    <n v="-2453.7997499999983"/>
    <n v="849.55349999999817"/>
    <n v="0"/>
    <n v="0"/>
    <n v="-1804.9126054180488"/>
    <n v="0"/>
    <n v="0"/>
    <n v="0"/>
    <n v="0"/>
    <n v="0"/>
    <n v="0"/>
    <n v="0"/>
    <n v="0"/>
    <n v="0"/>
    <n v="0"/>
    <n v="0"/>
    <n v="0"/>
    <n v="4035.91668034412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78"/>
    <s v="Regular"/>
    <s v="Azul"/>
    <s v="A4"/>
    <s v="Serviço público"/>
    <s v="Água, esgoto e saneamento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835.3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79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0.51800000000000002"/>
    <n v="0.51800000000000002"/>
    <n v="0.51800000000000002"/>
    <n v="0.51800000000000002"/>
    <m/>
    <n v="333.61"/>
    <n v="128.11000000000001"/>
    <m/>
    <n v="239.17096000000004"/>
    <n v="239.17096000000004"/>
    <n v="208.76954000000001"/>
    <n v="0"/>
    <n v="31.709914132261773"/>
    <n v="0"/>
    <n v="0"/>
    <n v="0"/>
    <n v="0"/>
    <n v="100.74903070091828"/>
    <n v="66.361522048244794"/>
    <n v="0"/>
    <n v="0"/>
    <n v="0"/>
    <n v="0"/>
    <n v="0"/>
    <n v="4.8970945140125135"/>
    <m/>
    <n v="0.44568093544493487"/>
    <n v="1.8005784472398247"/>
    <n v="9.605085231358105"/>
    <n v="0"/>
    <n v="0"/>
    <n v="0"/>
    <n v="0"/>
    <n v="0"/>
    <n v="0"/>
    <n v="0"/>
    <n v="0"/>
    <n v="0"/>
    <n v="0"/>
    <m/>
    <n v="0"/>
    <n v="0"/>
    <n v="0"/>
    <n v="0"/>
    <n v="0"/>
    <n v="7.028416093548751"/>
    <n v="0"/>
    <n v="0"/>
    <n v="0"/>
    <n v="30.17"/>
    <n v="2"/>
    <m/>
    <m/>
    <m/>
    <m/>
    <m/>
    <m/>
    <m/>
    <m/>
    <m/>
    <n v="73.38993814179355"/>
    <m/>
    <m/>
    <m/>
    <m/>
    <m/>
    <m/>
    <m/>
    <m/>
    <m/>
    <m/>
    <m/>
    <m/>
    <n v="209.57560000000001"/>
    <n v="-29.625360000000001"/>
    <m/>
    <m/>
    <m/>
    <m/>
    <n v="-33.436900000000009"/>
    <n v="3.0354799999999926"/>
    <n v="31"/>
    <n v="0.74649855170170554"/>
    <n v="0.13143468247561851"/>
    <n v="0.70113097791996459"/>
    <n v="0"/>
    <n v="0"/>
    <n v="0"/>
    <n v="0"/>
    <n v="0"/>
    <n v="0"/>
    <n v="0"/>
    <n v="0"/>
    <n v="3.0351869454083129"/>
    <n v="0"/>
    <n v="0"/>
    <n v="0"/>
    <n v="0.32145972719739735"/>
    <n v="0"/>
    <n v="-2.9994782760276095"/>
    <m/>
    <n v="0"/>
    <n v="0"/>
    <n v="0"/>
    <n v="0"/>
    <n v="-0.39101625314853106"/>
    <n v="-5.221925212345091E-2"/>
    <n v="0"/>
    <n v="0"/>
    <m/>
    <m/>
    <m/>
    <n v="100.74903070091828"/>
    <n v="0"/>
    <n v="0"/>
    <n v="-33.436900000000009"/>
    <n v="3.0354799999999926"/>
    <n v="0"/>
    <n v="0"/>
    <n v="-31.151693476819801"/>
    <n v="0"/>
    <n v="0"/>
    <n v="0"/>
    <n v="0"/>
    <n v="0"/>
    <n v="0"/>
    <n v="0"/>
    <n v="0"/>
    <n v="0"/>
    <n v="0"/>
    <n v="0"/>
    <n v="0"/>
    <n v="16.57523069112797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0"/>
    <s v="Regular"/>
    <s v="Verde"/>
    <s v="A4"/>
    <s v="Consumo próprio"/>
    <s v="Não se aplica"/>
    <s v="Não se aplica"/>
    <s v="Não se aplica"/>
    <s v="Ponta"/>
    <s v="CATIVO"/>
    <x v="1"/>
    <n v="0"/>
    <n v="0"/>
    <n v="1.0249999999999999"/>
    <n v="1.0249999999999999"/>
    <n v="1.0249999999999999"/>
    <n v="1.0249999999999999"/>
    <m/>
    <n v="1351.49"/>
    <n v="128.11000000000001"/>
    <m/>
    <n v="1516.59"/>
    <n v="1516.59"/>
    <n v="1170.45775"/>
    <n v="0"/>
    <n v="54.589412987344502"/>
    <n v="0"/>
    <n v="0"/>
    <n v="0"/>
    <n v="0"/>
    <n v="1152.0432467152425"/>
    <n v="131.31382258581255"/>
    <n v="0"/>
    <n v="0"/>
    <n v="0"/>
    <n v="0"/>
    <n v="0"/>
    <n v="9.6901966734803597"/>
    <m/>
    <n v="0.50389066900943724"/>
    <n v="21.29184234051586"/>
    <n v="113.25437944257067"/>
    <n v="0"/>
    <n v="0"/>
    <n v="0"/>
    <n v="0"/>
    <n v="0"/>
    <n v="0"/>
    <n v="0"/>
    <n v="0"/>
    <n v="0"/>
    <n v="0"/>
    <m/>
    <n v="0"/>
    <n v="0"/>
    <n v="0"/>
    <n v="0"/>
    <n v="0"/>
    <n v="5.369580697071707"/>
    <n v="0"/>
    <n v="0"/>
    <n v="0"/>
    <n v="0"/>
    <n v="0"/>
    <m/>
    <m/>
    <m/>
    <m/>
    <m/>
    <m/>
    <m/>
    <m/>
    <m/>
    <n v="136.68340328288426"/>
    <m/>
    <m/>
    <m/>
    <m/>
    <m/>
    <m/>
    <m/>
    <m/>
    <m/>
    <m/>
    <m/>
    <m/>
    <n v="1176.1673000000001"/>
    <n v="-340.45269999999982"/>
    <m/>
    <m/>
    <m/>
    <m/>
    <n v="-352.1387499999999"/>
    <n v="6.006499999999984"/>
    <n v="31"/>
    <n v="10.076374163535093"/>
    <n v="1.5542152810039838"/>
    <n v="8.2670951792331664"/>
    <n v="0"/>
    <n v="0"/>
    <n v="0"/>
    <n v="0"/>
    <n v="0"/>
    <n v="0"/>
    <n v="0"/>
    <n v="0"/>
    <n v="6.0059201139836489"/>
    <n v="0"/>
    <n v="0"/>
    <n v="0"/>
    <n v="0.24558932241214748"/>
    <n v="0"/>
    <n v="-5.1636771286634513"/>
    <m/>
    <n v="0"/>
    <n v="0"/>
    <n v="0"/>
    <n v="0"/>
    <n v="-0.77372907234989263"/>
    <n v="-5.9039532084515178E-2"/>
    <n v="0"/>
    <n v="0"/>
    <m/>
    <m/>
    <m/>
    <n v="1152.0432467152425"/>
    <n v="0"/>
    <n v="0"/>
    <n v="-352.13874999999985"/>
    <n v="6.0064999999999884"/>
    <n v="0"/>
    <n v="0"/>
    <n v="-356.21283742421349"/>
    <n v="0"/>
    <n v="0"/>
    <n v="0"/>
    <n v="0"/>
    <n v="0"/>
    <n v="0"/>
    <n v="0"/>
    <n v="0"/>
    <n v="0"/>
    <n v="0"/>
    <n v="0"/>
    <n v="0"/>
    <n v="28.53467561546978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1"/>
    <s v="Regular"/>
    <s v="Verde"/>
    <s v="A4"/>
    <s v="Consumo próprio"/>
    <s v="Não se aplica"/>
    <s v="Não se aplica"/>
    <s v="Não se aplica"/>
    <s v="Fora ponta"/>
    <s v="CATIVO"/>
    <x v="1"/>
    <n v="0"/>
    <n v="0"/>
    <n v="12.083"/>
    <n v="12.083"/>
    <n v="12.083"/>
    <n v="12.083"/>
    <m/>
    <n v="96.28"/>
    <n v="128.11000000000001"/>
    <m/>
    <n v="2711.3043699999998"/>
    <n v="2711.3043699999998"/>
    <n v="2714.3251200000004"/>
    <n v="0"/>
    <n v="643.51597768398403"/>
    <n v="0"/>
    <n v="0"/>
    <n v="0"/>
    <n v="0"/>
    <n v="0"/>
    <n v="1547.9657739554862"/>
    <n v="0"/>
    <n v="0"/>
    <n v="0"/>
    <n v="0"/>
    <n v="0"/>
    <n v="114.23087454211043"/>
    <m/>
    <n v="5.94001068647905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298188841675561"/>
    <n v="0"/>
    <n v="0"/>
    <n v="0"/>
    <n v="0"/>
    <n v="0"/>
    <m/>
    <m/>
    <m/>
    <m/>
    <m/>
    <m/>
    <m/>
    <m/>
    <m/>
    <n v="1611.2639627971616"/>
    <m/>
    <m/>
    <m/>
    <m/>
    <m/>
    <m/>
    <m/>
    <m/>
    <m/>
    <m/>
    <m/>
    <m/>
    <n v="2713.6512000000002"/>
    <n v="2.3168299999997544"/>
    <m/>
    <m/>
    <m/>
    <m/>
    <n v="-67.785629999999998"/>
    <n v="70.80637999999982"/>
    <n v="31"/>
    <n v="3.0067655872671821"/>
    <n v="0"/>
    <n v="0"/>
    <n v="0"/>
    <n v="0"/>
    <n v="0"/>
    <n v="0"/>
    <n v="0"/>
    <n v="0"/>
    <n v="0"/>
    <n v="0"/>
    <n v="70.79954413391647"/>
    <n v="0"/>
    <n v="0"/>
    <n v="0"/>
    <n v="2.895078812396072"/>
    <n v="0"/>
    <n v="-60.870937312819933"/>
    <m/>
    <n v="0"/>
    <n v="0"/>
    <n v="0"/>
    <n v="0"/>
    <n v="-9.1209447621499891"/>
    <n v="-0.69597528407531417"/>
    <n v="0"/>
    <n v="0"/>
    <m/>
    <m/>
    <m/>
    <n v="0"/>
    <n v="0"/>
    <n v="0"/>
    <n v="-67.785629999999855"/>
    <n v="70.80637999999999"/>
    <n v="0"/>
    <n v="0"/>
    <n v="0"/>
    <n v="0"/>
    <n v="0"/>
    <n v="0"/>
    <n v="0"/>
    <n v="0"/>
    <n v="0"/>
    <n v="0"/>
    <n v="0"/>
    <n v="0"/>
    <n v="0"/>
    <n v="0"/>
    <n v="0"/>
    <n v="336.3751077675331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2"/>
    <s v="Regular"/>
    <s v="Verde"/>
    <s v="A4"/>
    <s v="Consumo próprio"/>
    <s v="Não se aplica"/>
    <s v="Não se aplica"/>
    <s v="Não se aplica"/>
    <s v="Não se aplica"/>
    <s v="CATIVO"/>
    <x v="1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1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83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171.05"/>
    <n v="15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84"/>
    <s v="Regular"/>
    <s v="Convencional"/>
    <s v="B2"/>
    <s v="Rural"/>
    <s v="Agropecuária rural"/>
    <s v="IRRIG./AQUIC."/>
    <s v="Não se aplica"/>
    <s v="Não se aplica"/>
    <s v="CATIVO"/>
    <x v="1"/>
    <n v="0"/>
    <n v="0"/>
    <n v="139.84200000000001"/>
    <n v="139.84200000000001"/>
    <n v="139.84200000000001"/>
    <n v="139.84200000000001"/>
    <m/>
    <n v="333.61"/>
    <n v="128.11000000000001"/>
    <m/>
    <n v="64567.848240000007"/>
    <n v="64567.848240000007"/>
    <n v="56360.521260000001"/>
    <n v="0"/>
    <n v="8560.5749268026084"/>
    <n v="0"/>
    <n v="0"/>
    <n v="0"/>
    <n v="0"/>
    <n v="27198.73735767918"/>
    <n v="17915.30495419044"/>
    <n v="0"/>
    <n v="0"/>
    <n v="0"/>
    <n v="0"/>
    <n v="0"/>
    <n v="1322.045349475942"/>
    <m/>
    <n v="120.31836558781967"/>
    <n v="486.09361239172125"/>
    <n v="2593.0392450262166"/>
    <n v="0"/>
    <n v="0"/>
    <n v="0"/>
    <n v="0"/>
    <n v="0"/>
    <n v="0"/>
    <n v="0"/>
    <n v="0"/>
    <n v="0"/>
    <n v="0"/>
    <m/>
    <n v="0"/>
    <n v="0"/>
    <n v="0"/>
    <n v="0"/>
    <n v="0"/>
    <n v="1897.4281145830976"/>
    <n v="0"/>
    <n v="0"/>
    <n v="0"/>
    <n v="0"/>
    <n v="0"/>
    <m/>
    <m/>
    <m/>
    <m/>
    <m/>
    <n v="6764.1575400000002"/>
    <m/>
    <m/>
    <m/>
    <n v="19812.733068773538"/>
    <m/>
    <m/>
    <m/>
    <m/>
    <m/>
    <m/>
    <m/>
    <m/>
    <m/>
    <m/>
    <m/>
    <m/>
    <n v="49595.654399999999"/>
    <n v="-7224.9770400000125"/>
    <m/>
    <m/>
    <m/>
    <m/>
    <n v="-9026.8011000000024"/>
    <n v="819.47411999999804"/>
    <n v="31"/>
    <n v="201.52866885535332"/>
    <n v="35.482797040068419"/>
    <n v="189.28100041367497"/>
    <n v="0"/>
    <n v="0"/>
    <n v="0"/>
    <n v="0"/>
    <n v="0"/>
    <n v="0"/>
    <n v="0"/>
    <n v="0"/>
    <n v="819.39500544361363"/>
    <n v="0"/>
    <n v="0"/>
    <n v="0"/>
    <n v="86.782955928066485"/>
    <n v="0"/>
    <n v="-809.75490555261149"/>
    <m/>
    <n v="0"/>
    <n v="0"/>
    <n v="0"/>
    <n v="0"/>
    <n v="-105.5608009127352"/>
    <n v="-14.097383504725144"/>
    <n v="0"/>
    <n v="0"/>
    <m/>
    <m/>
    <m/>
    <n v="27198.73735767918"/>
    <n v="0"/>
    <n v="0"/>
    <n v="-9026.8011000000042"/>
    <n v="819.47411999999895"/>
    <n v="0"/>
    <n v="0"/>
    <n v="-8409.8747474622287"/>
    <n v="0"/>
    <n v="0"/>
    <n v="0"/>
    <n v="0"/>
    <n v="0"/>
    <n v="0"/>
    <n v="0"/>
    <n v="0"/>
    <n v="0"/>
    <n v="0"/>
    <n v="0"/>
    <n v="0"/>
    <n v="4474.736313337293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5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79.552000000000007"/>
    <n v="31.820799999999998"/>
    <n v="79.552000000000007"/>
    <n v="31.820799999999998"/>
    <m/>
    <n v="333.61"/>
    <n v="128.11000000000001"/>
    <m/>
    <n v="36730.749440000007"/>
    <n v="36730.749440000007"/>
    <n v="32061.842560000005"/>
    <n v="0"/>
    <n v="4869.8592452696694"/>
    <n v="0"/>
    <n v="0"/>
    <n v="0"/>
    <n v="0"/>
    <n v="15472.561564323267"/>
    <n v="10191.489965216158"/>
    <n v="0"/>
    <n v="0"/>
    <n v="0"/>
    <n v="0"/>
    <n v="0"/>
    <n v="752.07270806703377"/>
    <m/>
    <n v="68.445578719141821"/>
    <n v="276.52435643788135"/>
    <n v="1475.1037458011583"/>
    <n v="0"/>
    <n v="0"/>
    <n v="0"/>
    <n v="0"/>
    <n v="0"/>
    <n v="0"/>
    <n v="0"/>
    <n v="0"/>
    <n v="0"/>
    <n v="0"/>
    <m/>
    <n v="0"/>
    <n v="0"/>
    <n v="0"/>
    <n v="0"/>
    <n v="0"/>
    <n v="1079.3910368223751"/>
    <n v="0"/>
    <n v="0"/>
    <n v="0"/>
    <n v="0"/>
    <n v="0"/>
    <m/>
    <m/>
    <m/>
    <m/>
    <m/>
    <m/>
    <n v="20776.277632000001"/>
    <m/>
    <m/>
    <n v="11270.881002038534"/>
    <m/>
    <m/>
    <m/>
    <m/>
    <m/>
    <m/>
    <m/>
    <m/>
    <m/>
    <m/>
    <m/>
    <m/>
    <n v="11285.281200000001"/>
    <n v="-1644.1762559999988"/>
    <m/>
    <m/>
    <m/>
    <m/>
    <n v="-5135.0816000000013"/>
    <n v="466.17471999999884"/>
    <n v="31"/>
    <n v="114.64373124512713"/>
    <n v="20.185119421429363"/>
    <n v="107.67639296426455"/>
    <n v="0"/>
    <n v="0"/>
    <n v="0"/>
    <n v="0"/>
    <n v="0"/>
    <n v="0"/>
    <n v="0"/>
    <n v="0"/>
    <n v="466.12971405622193"/>
    <n v="0"/>
    <n v="0"/>
    <n v="0"/>
    <n v="49.36827069113383"/>
    <n v="0"/>
    <n v="-460.64574481573072"/>
    <m/>
    <n v="0"/>
    <n v="0"/>
    <n v="0"/>
    <n v="0"/>
    <n v="-60.050434305930366"/>
    <n v="-8.0195867662640339"/>
    <n v="0"/>
    <n v="0"/>
    <m/>
    <m/>
    <m/>
    <n v="15472.561564323267"/>
    <n v="0"/>
    <n v="0"/>
    <n v="-5135.0816000000013"/>
    <n v="466.17471999999725"/>
    <n v="0"/>
    <n v="0"/>
    <n v="-4784.1303464632601"/>
    <n v="0"/>
    <n v="0"/>
    <n v="0"/>
    <n v="0"/>
    <n v="0"/>
    <n v="0"/>
    <n v="0"/>
    <n v="0"/>
    <n v="0"/>
    <n v="0"/>
    <n v="0"/>
    <n v="0"/>
    <n v="2545.545853167205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6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4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87"/>
    <s v="Regular"/>
    <s v="Convencional"/>
    <s v="B2"/>
    <s v="Rural"/>
    <s v="Aquicultura"/>
    <s v="IRRIG./AQUIC."/>
    <s v="Não se aplica"/>
    <s v="Não se aplica"/>
    <s v="CATIVO"/>
    <x v="1"/>
    <n v="0"/>
    <n v="0"/>
    <n v="6.7000000000000004E-2"/>
    <n v="6.7000000000000004E-2"/>
    <n v="6.7000000000000004E-2"/>
    <n v="6.7000000000000004E-2"/>
    <m/>
    <n v="333.61"/>
    <n v="128.11000000000001"/>
    <m/>
    <n v="30.935240000000004"/>
    <n v="30.935240000000004"/>
    <n v="27.003010000000003"/>
    <n v="0"/>
    <n v="4.1014753800415811"/>
    <n v="0"/>
    <n v="0"/>
    <n v="0"/>
    <n v="0"/>
    <n v="13.031245283709508"/>
    <n v="8.5834401104872615"/>
    <n v="0"/>
    <n v="0"/>
    <n v="0"/>
    <n v="0"/>
    <n v="0"/>
    <n v="0.63340797768115531"/>
    <m/>
    <n v="5.7645989719711653E-2"/>
    <n v="0.23289335128391556"/>
    <n v="1.2423565839787509"/>
    <n v="0"/>
    <n v="0"/>
    <n v="0"/>
    <n v="0"/>
    <n v="0"/>
    <n v="0"/>
    <n v="0"/>
    <n v="0"/>
    <n v="0"/>
    <n v="0"/>
    <m/>
    <n v="0"/>
    <n v="0"/>
    <n v="0"/>
    <n v="0"/>
    <n v="0"/>
    <n v="0.90908084607676898"/>
    <n v="0"/>
    <n v="0"/>
    <n v="0"/>
    <n v="0"/>
    <n v="0"/>
    <m/>
    <m/>
    <m/>
    <m/>
    <m/>
    <n v="3.2407899999999996"/>
    <m/>
    <m/>
    <m/>
    <n v="9.4925209565640305"/>
    <m/>
    <m/>
    <m/>
    <m/>
    <m/>
    <m/>
    <m/>
    <m/>
    <m/>
    <m/>
    <m/>
    <m/>
    <n v="24.8262"/>
    <n v="-2.4272400000000047"/>
    <m/>
    <m/>
    <m/>
    <m/>
    <n v="-4.3248500000000014"/>
    <n v="0.39261999999999903"/>
    <n v="31"/>
    <n v="9.6554831976863653E-2"/>
    <n v="1.7000238853024041E-2"/>
    <n v="9.068682532941641E-2"/>
    <n v="0"/>
    <n v="0"/>
    <n v="0"/>
    <n v="0"/>
    <n v="0"/>
    <n v="0"/>
    <n v="0"/>
    <n v="0"/>
    <n v="0.39258209525551635"/>
    <n v="0"/>
    <n v="0"/>
    <n v="0"/>
    <n v="4.157876780352443E-2"/>
    <n v="0"/>
    <n v="-0.38796340635878357"/>
    <m/>
    <n v="0"/>
    <n v="0"/>
    <n v="0"/>
    <n v="0"/>
    <n v="-5.0575461314578352E-2"/>
    <n v="-6.7542275912571628E-3"/>
    <n v="0"/>
    <n v="0"/>
    <m/>
    <m/>
    <m/>
    <n v="13.031245283709508"/>
    <n v="0"/>
    <n v="0"/>
    <n v="-4.3248500000000014"/>
    <n v="0.39261999999999908"/>
    <n v="0"/>
    <n v="0"/>
    <n v="-4.0292730944921349"/>
    <n v="0"/>
    <n v="0"/>
    <n v="0"/>
    <n v="0"/>
    <n v="0"/>
    <n v="0"/>
    <n v="0"/>
    <n v="0"/>
    <n v="0"/>
    <n v="0"/>
    <n v="0"/>
    <n v="0"/>
    <n v="2.143900494798406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8"/>
    <s v="Regular"/>
    <s v="Convencional"/>
    <s v="B2"/>
    <s v="Rural"/>
    <s v="Aquicultura"/>
    <s v="IRRIG./AQUIC. PR"/>
    <s v="Não se aplica"/>
    <s v="Não se aplica"/>
    <s v="CATIVO"/>
    <x v="1"/>
    <n v="0"/>
    <n v="0"/>
    <n v="3.3000000000000002E-2"/>
    <n v="1.32E-2"/>
    <n v="3.3000000000000002E-2"/>
    <n v="1.32E-2"/>
    <m/>
    <n v="333.61"/>
    <n v="128.11000000000001"/>
    <m/>
    <n v="15.23676"/>
    <n v="15.23676"/>
    <n v="13.299990000000001"/>
    <n v="0"/>
    <n v="2.0201296647965994"/>
    <n v="0"/>
    <n v="0"/>
    <n v="0"/>
    <n v="0"/>
    <n v="6.418374542722594"/>
    <n v="4.2276645320310386"/>
    <n v="0"/>
    <n v="0"/>
    <n v="0"/>
    <n v="0"/>
    <n v="0"/>
    <n v="0.31197706363400185"/>
    <m/>
    <n v="2.839280090672365E-2"/>
    <n v="0.11470866555774946"/>
    <n v="0.61190697419848927"/>
    <n v="0"/>
    <n v="0"/>
    <n v="0"/>
    <n v="0"/>
    <n v="0"/>
    <n v="0"/>
    <n v="0"/>
    <n v="0"/>
    <n v="0"/>
    <n v="0"/>
    <m/>
    <n v="0"/>
    <n v="0"/>
    <n v="0"/>
    <n v="0"/>
    <n v="0"/>
    <n v="0.44775623761990113"/>
    <n v="0"/>
    <n v="0"/>
    <n v="0"/>
    <n v="0"/>
    <n v="0"/>
    <m/>
    <m/>
    <m/>
    <m/>
    <m/>
    <m/>
    <n v="8.6184779999999996"/>
    <m/>
    <m/>
    <n v="4.6754207696509393"/>
    <m/>
    <m/>
    <m/>
    <m/>
    <m/>
    <m/>
    <m/>
    <m/>
    <m/>
    <m/>
    <m/>
    <m/>
    <n v="3.5466000000000002"/>
    <n v="-1.8468239999999994"/>
    <m/>
    <m/>
    <m/>
    <m/>
    <n v="-2.1301500000000004"/>
    <n v="0.19337999999999952"/>
    <n v="31"/>
    <n v="4.7556857540843822E-2"/>
    <n v="8.3732519723849624E-3"/>
    <n v="4.466664531150355E-2"/>
    <n v="0"/>
    <n v="0"/>
    <n v="0"/>
    <n v="0"/>
    <n v="0"/>
    <n v="0"/>
    <n v="0"/>
    <n v="0"/>
    <n v="0.19336133049898585"/>
    <n v="0"/>
    <n v="0"/>
    <n v="0"/>
    <n v="2.0479094589795632E-2"/>
    <n v="0"/>
    <n v="-0.19108645387820666"/>
    <m/>
    <n v="0"/>
    <n v="0"/>
    <n v="0"/>
    <n v="0"/>
    <n v="-2.491030184150872E-2"/>
    <n v="-3.3267091121117372E-3"/>
    <n v="0"/>
    <n v="0"/>
    <m/>
    <m/>
    <m/>
    <n v="6.418374542722594"/>
    <n v="0"/>
    <n v="0"/>
    <n v="-2.1301500000000004"/>
    <n v="0.19337999999999944"/>
    <n v="0"/>
    <n v="0"/>
    <n v="-1.9845673450483661"/>
    <n v="0"/>
    <n v="0"/>
    <n v="0"/>
    <n v="0"/>
    <n v="0"/>
    <n v="0"/>
    <n v="0"/>
    <n v="0"/>
    <n v="0"/>
    <n v="0"/>
    <n v="0"/>
    <n v="0"/>
    <n v="1.055950989975334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89"/>
    <s v="Regular"/>
    <s v="Convencional"/>
    <s v="B1"/>
    <s v="Residencial"/>
    <s v="Residencial"/>
    <s v="Não se aplica"/>
    <s v="Não se aplica"/>
    <s v="Não se aplica"/>
    <s v="CATIVO"/>
    <x v="2"/>
    <n v="0"/>
    <n v="0"/>
    <n v="4383.5619999999999"/>
    <n v="4383.5619999999999"/>
    <n v="4383.5619999999999"/>
    <n v="4383.5619999999999"/>
    <m/>
    <n v="333.61"/>
    <n v="128.11000000000001"/>
    <m/>
    <n v="2023978.24664"/>
    <n v="2023978.24664"/>
    <n v="1766706.9928600001"/>
    <n v="0"/>
    <n v="268344.35253560939"/>
    <n v="0"/>
    <n v="0"/>
    <n v="0"/>
    <n v="0"/>
    <n v="852586.14385594346"/>
    <n v="561582.71488966804"/>
    <n v="0"/>
    <n v="0"/>
    <n v="0"/>
    <n v="0"/>
    <n v="0"/>
    <n v="41441.539424775525"/>
    <m/>
    <n v="3771.5637311599799"/>
    <n v="15237.349921504827"/>
    <n v="81282.792716105396"/>
    <n v="0"/>
    <n v="0"/>
    <n v="0"/>
    <n v="0"/>
    <n v="0"/>
    <n v="0"/>
    <n v="0"/>
    <n v="0"/>
    <n v="0"/>
    <n v="0"/>
    <m/>
    <n v="0"/>
    <n v="0"/>
    <n v="0"/>
    <n v="0"/>
    <n v="0"/>
    <n v="59477.794802835422"/>
    <n v="0"/>
    <n v="0"/>
    <n v="0"/>
    <n v="507782.77"/>
    <n v="20643"/>
    <m/>
    <m/>
    <m/>
    <m/>
    <m/>
    <m/>
    <m/>
    <m/>
    <m/>
    <n v="621060.50969250349"/>
    <m/>
    <m/>
    <m/>
    <m/>
    <m/>
    <m/>
    <m/>
    <m/>
    <m/>
    <m/>
    <m/>
    <m/>
    <n v="1766706.1868000003"/>
    <n v="-257272.0898399998"/>
    <m/>
    <m/>
    <m/>
    <m/>
    <n v="-282958.92710000003"/>
    <n v="25687.673319999936"/>
    <n v="30"/>
    <n v="6317.2252592560835"/>
    <n v="1112.2627018961139"/>
    <n v="5933.3033046965138"/>
    <n v="0"/>
    <n v="0"/>
    <n v="0"/>
    <n v="0"/>
    <n v="0"/>
    <n v="0"/>
    <n v="0"/>
    <n v="0"/>
    <n v="25685.193352872506"/>
    <n v="0"/>
    <n v="0"/>
    <n v="0"/>
    <n v="2720.3448738858642"/>
    <n v="0"/>
    <n v="-25383.009634401795"/>
    <m/>
    <n v="0"/>
    <n v="0"/>
    <n v="0"/>
    <n v="0"/>
    <n v="-3308.9652291202292"/>
    <n v="-441.90411057293204"/>
    <n v="0"/>
    <n v="0"/>
    <m/>
    <m/>
    <m/>
    <n v="852586.14385594346"/>
    <n v="0"/>
    <n v="0"/>
    <n v="-282958.92709999997"/>
    <n v="25687.673319999943"/>
    <n v="0"/>
    <n v="0"/>
    <n v="-263620.42424833041"/>
    <n v="0"/>
    <n v="0"/>
    <n v="0"/>
    <n v="0"/>
    <n v="0"/>
    <n v="0"/>
    <n v="0"/>
    <n v="0"/>
    <n v="0"/>
    <n v="0"/>
    <n v="0"/>
    <n v="0"/>
    <n v="140267.473742977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0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2.2719999999999998"/>
    <n v="-2.2719999999999998"/>
    <n v="-2.2719999999999998"/>
    <n v="-2.2719999999999998"/>
    <m/>
    <n v="333.61"/>
    <n v="128.11000000000001"/>
    <m/>
    <n v="-1049.02784"/>
    <n v="-1049.02784"/>
    <n v="-915.68415999999991"/>
    <n v="0"/>
    <n v="-139.08286661872344"/>
    <n v="0"/>
    <n v="0"/>
    <n v="0"/>
    <n v="0"/>
    <n v="-441.89536245653727"/>
    <n v="-291.06829747801572"/>
    <n v="0"/>
    <n v="0"/>
    <n v="0"/>
    <n v="0"/>
    <n v="0"/>
    <n v="-21.479148138680365"/>
    <m/>
    <n v="-1.9548013230326098"/>
    <n v="-7.8975178226426284"/>
    <n v="-42.128868041786895"/>
    <n v="0"/>
    <n v="0"/>
    <n v="0"/>
    <n v="0"/>
    <n v="0"/>
    <n v="0"/>
    <n v="0"/>
    <n v="0"/>
    <n v="0"/>
    <n v="0"/>
    <m/>
    <n v="0"/>
    <n v="0"/>
    <n v="0"/>
    <n v="0"/>
    <n v="0"/>
    <n v="-30.82733854158834"/>
    <n v="0"/>
    <n v="0"/>
    <n v="0"/>
    <n v="-384.92"/>
    <n v="0"/>
    <m/>
    <m/>
    <m/>
    <m/>
    <m/>
    <m/>
    <m/>
    <m/>
    <m/>
    <n v="-321.89563601960407"/>
    <m/>
    <m/>
    <m/>
    <m/>
    <m/>
    <m/>
    <m/>
    <m/>
    <m/>
    <m/>
    <m/>
    <m/>
    <n v="-914.87810000000002"/>
    <n v="134.11973999999998"/>
    <m/>
    <m/>
    <m/>
    <m/>
    <n v="146.6576"/>
    <n v="-13.313919999999966"/>
    <n v="30"/>
    <n v="-3.274217585842166"/>
    <n v="-0.57648571155329265"/>
    <n v="-3.0752308529616954"/>
    <n v="0"/>
    <n v="0"/>
    <n v="0"/>
    <n v="0"/>
    <n v="0"/>
    <n v="0"/>
    <n v="0"/>
    <n v="0"/>
    <n v="-13.312634633142295"/>
    <n v="0"/>
    <n v="0"/>
    <n v="0"/>
    <n v="-1.4099546335762341"/>
    <n v="0"/>
    <n v="13.156012824584423"/>
    <m/>
    <n v="0"/>
    <n v="0"/>
    <n v="0"/>
    <n v="0"/>
    <n v="1.7150365389062969"/>
    <n v="0.22903888190054134"/>
    <n v="0"/>
    <n v="0"/>
    <m/>
    <m/>
    <m/>
    <n v="-441.89536245653727"/>
    <n v="0"/>
    <n v="0"/>
    <n v="146.6576"/>
    <n v="-13.313919999999939"/>
    <n v="0"/>
    <n v="0"/>
    <n v="136.63445478636015"/>
    <n v="0"/>
    <n v="0"/>
    <n v="0"/>
    <n v="0"/>
    <n v="0"/>
    <n v="0"/>
    <n v="0"/>
    <n v="0"/>
    <n v="0"/>
    <n v="0"/>
    <n v="0"/>
    <n v="0"/>
    <n v="-72.70062573405937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1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2.273999999999999"/>
    <n v="12.273999999999999"/>
    <n v="12.273999999999999"/>
    <n v="12.273999999999999"/>
    <m/>
    <n v="333.61"/>
    <n v="128.11000000000001"/>
    <m/>
    <n v="5667.15128"/>
    <n v="5667.15128"/>
    <n v="4946.7902199999999"/>
    <n v="0"/>
    <n v="751.36580320343819"/>
    <n v="0"/>
    <n v="0"/>
    <n v="0"/>
    <n v="0"/>
    <n v="2387.2463374962758"/>
    <n v="1572.4349838226958"/>
    <n v="0"/>
    <n v="0"/>
    <n v="0"/>
    <n v="0"/>
    <n v="0"/>
    <n v="116.03655997102237"/>
    <m/>
    <n v="10.560401161488668"/>
    <n v="42.664671547145957"/>
    <n v="227.59230913067444"/>
    <n v="0"/>
    <n v="0"/>
    <n v="0"/>
    <n v="0"/>
    <n v="0"/>
    <n v="0"/>
    <n v="0"/>
    <n v="0"/>
    <n v="0"/>
    <n v="0"/>
    <m/>
    <n v="0"/>
    <n v="0"/>
    <n v="0"/>
    <n v="0"/>
    <n v="0"/>
    <n v="166.53818365292926"/>
    <n v="0"/>
    <n v="0"/>
    <n v="0"/>
    <n v="3272.65"/>
    <n v="44"/>
    <m/>
    <m/>
    <m/>
    <m/>
    <m/>
    <m/>
    <m/>
    <m/>
    <m/>
    <n v="1738.9731674756251"/>
    <m/>
    <m/>
    <m/>
    <m/>
    <m/>
    <m/>
    <m/>
    <m/>
    <m/>
    <m/>
    <m/>
    <m/>
    <n v="4945.1781000000001"/>
    <n v="-722.00318000000061"/>
    <m/>
    <m/>
    <m/>
    <m/>
    <n v="-792.28670000000011"/>
    <n v="71.925639999999817"/>
    <n v="30"/>
    <n v="17.688268771403273"/>
    <n v="3.1143422639107001"/>
    <n v="16.61328498646651"/>
    <n v="0"/>
    <n v="0"/>
    <n v="0"/>
    <n v="0"/>
    <n v="0"/>
    <n v="0"/>
    <n v="0"/>
    <n v="0"/>
    <n v="71.918696077107597"/>
    <n v="0"/>
    <n v="0"/>
    <n v="0"/>
    <n v="7.6169820301560947"/>
    <n v="0"/>
    <n v="-71.072579845488235"/>
    <m/>
    <n v="0"/>
    <n v="0"/>
    <n v="0"/>
    <n v="0"/>
    <n v="-9.2651225697781285"/>
    <n v="-1.2373341709714989"/>
    <n v="0"/>
    <n v="0"/>
    <m/>
    <m/>
    <m/>
    <n v="2387.2463374962758"/>
    <n v="0"/>
    <n v="0"/>
    <n v="-792.28670000000011"/>
    <n v="71.925639999999703"/>
    <n v="0"/>
    <n v="0"/>
    <n v="-738.138775549201"/>
    <n v="0"/>
    <n v="0"/>
    <n v="0"/>
    <n v="0"/>
    <n v="0"/>
    <n v="0"/>
    <n v="0"/>
    <n v="0"/>
    <n v="0"/>
    <n v="0"/>
    <n v="0"/>
    <n v="0"/>
    <n v="392.7497712411288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3.145"/>
    <n v="13.145"/>
    <n v="13.145"/>
    <n v="13.145"/>
    <m/>
    <n v="230.94"/>
    <n v="128.11000000000001"/>
    <m/>
    <n v="4719.7122500000005"/>
    <n v="4719.7122500000005"/>
    <n v="4034.2004999999999"/>
    <n v="0"/>
    <n v="0"/>
    <n v="0"/>
    <n v="0"/>
    <n v="0"/>
    <n v="0"/>
    <n v="2556.6525261844995"/>
    <n v="1684.0197052590304"/>
    <n v="0"/>
    <n v="0"/>
    <n v="0"/>
    <n v="0"/>
    <n v="0"/>
    <n v="0"/>
    <m/>
    <n v="11.309799027844919"/>
    <n v="45.692285113836867"/>
    <n v="243.74294472239822"/>
    <n v="0"/>
    <n v="0"/>
    <n v="0"/>
    <n v="0"/>
    <n v="0"/>
    <n v="0"/>
    <n v="0"/>
    <n v="0"/>
    <n v="0"/>
    <n v="0"/>
    <m/>
    <n v="0"/>
    <n v="0"/>
    <n v="0"/>
    <n v="0"/>
    <n v="0"/>
    <n v="178.35623465192728"/>
    <n v="0"/>
    <n v="0"/>
    <n v="0"/>
    <n v="189.16"/>
    <n v="10"/>
    <m/>
    <m/>
    <m/>
    <m/>
    <m/>
    <m/>
    <m/>
    <n v="2622.1646000000001"/>
    <m/>
    <n v="1862.3759399109576"/>
    <m/>
    <m/>
    <m/>
    <m/>
    <m/>
    <m/>
    <m/>
    <m/>
    <m/>
    <m/>
    <m/>
    <m/>
    <n v="1412.5730000000001"/>
    <n v="-239.38914999999997"/>
    <m/>
    <m/>
    <m/>
    <m/>
    <n v="-762.54144999999983"/>
    <n v="77.029699999999806"/>
    <n v="30"/>
    <n v="104.98218928212236"/>
    <n v="3.3353453690000094"/>
    <n v="17.792213715748943"/>
    <n v="0"/>
    <n v="0"/>
    <n v="0"/>
    <n v="0"/>
    <n v="0"/>
    <n v="0"/>
    <n v="0"/>
    <n v="0"/>
    <n v="77.0222633154292"/>
    <n v="0"/>
    <n v="0"/>
    <n v="0"/>
    <n v="8.157506011601896"/>
    <n v="0"/>
    <n v="0"/>
    <m/>
    <n v="0"/>
    <n v="0"/>
    <n v="0"/>
    <n v="0"/>
    <n v="0"/>
    <n v="-1.3251391296578419"/>
    <n v="0"/>
    <n v="0"/>
    <m/>
    <m/>
    <m/>
    <n v="2556.6525261844995"/>
    <n v="0"/>
    <n v="0"/>
    <n v="-762.54144999999971"/>
    <n v="77.029699999999821"/>
    <n v="0"/>
    <n v="0"/>
    <n v="-790.51932577759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28.382000000000001"/>
    <n v="28.382000000000001"/>
    <n v="28.382000000000001"/>
    <n v="28.382000000000001"/>
    <m/>
    <n v="230.94"/>
    <n v="128.11000000000001"/>
    <m/>
    <n v="10190.557100000002"/>
    <n v="10190.557100000002"/>
    <n v="8710.4358000000011"/>
    <n v="0"/>
    <n v="0"/>
    <n v="0"/>
    <n v="0"/>
    <n v="0"/>
    <n v="0"/>
    <n v="5520.1910991379591"/>
    <n v="3636.0477196395436"/>
    <n v="0"/>
    <n v="0"/>
    <n v="0"/>
    <n v="0"/>
    <n v="0"/>
    <n v="0"/>
    <m/>
    <n v="24.41952955559487"/>
    <n v="98.656404420001365"/>
    <n v="526.27708308186436"/>
    <n v="0"/>
    <n v="0"/>
    <n v="0"/>
    <n v="0"/>
    <n v="0"/>
    <n v="0"/>
    <n v="0"/>
    <n v="0"/>
    <n v="0"/>
    <n v="0"/>
    <m/>
    <n v="0"/>
    <n v="0"/>
    <n v="0"/>
    <n v="0"/>
    <n v="0"/>
    <n v="385.09750109478892"/>
    <n v="0"/>
    <n v="0"/>
    <n v="0"/>
    <n v="727.44"/>
    <n v="60"/>
    <m/>
    <m/>
    <m/>
    <m/>
    <m/>
    <m/>
    <m/>
    <n v="3484.1743200000001"/>
    <m/>
    <n v="4021.1452207343327"/>
    <m/>
    <m/>
    <m/>
    <m/>
    <m/>
    <m/>
    <m/>
    <m/>
    <m/>
    <m/>
    <m/>
    <m/>
    <n v="5225.8931999999995"/>
    <n v="-888.75488000000132"/>
    <m/>
    <m/>
    <m/>
    <m/>
    <n v="-1646.4398199999998"/>
    <n v="166.31851999999958"/>
    <n v="30"/>
    <n v="226.67208035033764"/>
    <n v="7.2015041660675791"/>
    <n v="38.416022037305879"/>
    <n v="0"/>
    <n v="0"/>
    <n v="0"/>
    <n v="0"/>
    <n v="0"/>
    <n v="0"/>
    <n v="0"/>
    <n v="0"/>
    <n v="166.30246309764289"/>
    <n v="0"/>
    <n v="0"/>
    <n v="0"/>
    <n v="17.613262504472061"/>
    <n v="0"/>
    <n v="0"/>
    <m/>
    <n v="0"/>
    <n v="0"/>
    <n v="0"/>
    <n v="0"/>
    <n v="0"/>
    <n v="-2.8611714551501635"/>
    <n v="0"/>
    <n v="0"/>
    <m/>
    <m/>
    <m/>
    <n v="5520.1910991379591"/>
    <n v="0"/>
    <n v="0"/>
    <n v="-1646.4398199999996"/>
    <n v="166.31851999999981"/>
    <n v="0"/>
    <n v="0"/>
    <n v="-1706.848193550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4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2.201000000000001"/>
    <n v="32.201000000000001"/>
    <n v="32.201000000000001"/>
    <n v="32.201000000000001"/>
    <m/>
    <n v="230.94"/>
    <n v="128.11000000000001"/>
    <m/>
    <n v="11561.769050000001"/>
    <n v="11561.769050000001"/>
    <n v="9882.4868999999999"/>
    <n v="0"/>
    <n v="0"/>
    <n v="0"/>
    <n v="0"/>
    <n v="0"/>
    <n v="0"/>
    <n v="6262.9720803094006"/>
    <n v="4125.3038059373175"/>
    <n v="0"/>
    <n v="0"/>
    <n v="0"/>
    <n v="0"/>
    <n v="0"/>
    <n v="0"/>
    <m/>
    <n v="27.705350969618433"/>
    <n v="111.93132544318455"/>
    <n v="597.09140836865311"/>
    <n v="0"/>
    <n v="0"/>
    <n v="0"/>
    <n v="0"/>
    <n v="0"/>
    <n v="0"/>
    <n v="0"/>
    <n v="0"/>
    <n v="0"/>
    <n v="0"/>
    <m/>
    <n v="0"/>
    <n v="0"/>
    <n v="0"/>
    <n v="0"/>
    <n v="0"/>
    <n v="436.91510932116472"/>
    <n v="0"/>
    <n v="0"/>
    <n v="0"/>
    <n v="2258.2600000000002"/>
    <n v="224"/>
    <m/>
    <m/>
    <m/>
    <m/>
    <m/>
    <m/>
    <m/>
    <n v="988.24869000000081"/>
    <m/>
    <n v="4562.2189152584824"/>
    <m/>
    <m/>
    <m/>
    <m/>
    <m/>
    <m/>
    <m/>
    <m/>
    <m/>
    <m/>
    <m/>
    <m/>
    <n v="8893.9619999999995"/>
    <n v="-1511.8211500000016"/>
    <m/>
    <m/>
    <m/>
    <m/>
    <n v="-1867.9800099999998"/>
    <n v="188.69785999999954"/>
    <n v="30"/>
    <n v="257.17242123040069"/>
    <n v="8.1705177806899485"/>
    <n v="43.585171081082649"/>
    <n v="0"/>
    <n v="0"/>
    <n v="0"/>
    <n v="0"/>
    <n v="0"/>
    <n v="0"/>
    <n v="0"/>
    <n v="0"/>
    <n v="188.67964252720685"/>
    <n v="0"/>
    <n v="0"/>
    <n v="0"/>
    <n v="19.983252269273009"/>
    <n v="0"/>
    <n v="0"/>
    <m/>
    <n v="0"/>
    <n v="0"/>
    <n v="0"/>
    <n v="0"/>
    <n v="0"/>
    <n v="-3.2461624278518215"/>
    <n v="0"/>
    <n v="0"/>
    <m/>
    <m/>
    <m/>
    <n v="6262.9720803094006"/>
    <n v="0"/>
    <n v="0"/>
    <n v="-1867.9800100000002"/>
    <n v="188.69785999999931"/>
    <n v="0"/>
    <n v="0"/>
    <n v="-1936.5167599364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5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0.77"/>
    <n v="10.77"/>
    <n v="10.77"/>
    <n v="10.77"/>
    <m/>
    <n v="230.94"/>
    <n v="128.11000000000001"/>
    <m/>
    <n v="3866.9684999999999"/>
    <n v="3866.9684999999999"/>
    <n v="3305.3130000000001"/>
    <n v="0"/>
    <n v="0"/>
    <n v="0"/>
    <n v="0"/>
    <n v="0"/>
    <n v="0"/>
    <n v="2094.7240553067372"/>
    <n v="1379.7559699992207"/>
    <n v="0"/>
    <n v="0"/>
    <n v="0"/>
    <n v="0"/>
    <n v="0"/>
    <n v="0"/>
    <m/>
    <n v="9.2663777504670808"/>
    <n v="37.436737213847323"/>
    <n v="199.70418521568877"/>
    <n v="0"/>
    <n v="0"/>
    <n v="0"/>
    <n v="0"/>
    <n v="0"/>
    <n v="0"/>
    <n v="0"/>
    <n v="0"/>
    <n v="0"/>
    <n v="0"/>
    <m/>
    <n v="0"/>
    <n v="0"/>
    <n v="0"/>
    <n v="0"/>
    <n v="0"/>
    <n v="146.13135391413135"/>
    <n v="0"/>
    <n v="0"/>
    <n v="0"/>
    <n v="1491.31"/>
    <n v="144"/>
    <m/>
    <m/>
    <m/>
    <m/>
    <m/>
    <m/>
    <m/>
    <m/>
    <m/>
    <n v="1525.887323913352"/>
    <m/>
    <m/>
    <m/>
    <m/>
    <m/>
    <m/>
    <m/>
    <m/>
    <m/>
    <m/>
    <m/>
    <m/>
    <n v="3305.3130000000001"/>
    <n v="-561.6855000000005"/>
    <m/>
    <m/>
    <m/>
    <m/>
    <n v="-624.76769999999988"/>
    <n v="63.112199999999838"/>
    <n v="30"/>
    <n v="86.0143156004915"/>
    <n v="2.7327249618965439"/>
    <n v="14.577568788027065"/>
    <n v="0"/>
    <n v="0"/>
    <n v="0"/>
    <n v="0"/>
    <n v="0"/>
    <n v="0"/>
    <n v="0"/>
    <n v="0"/>
    <n v="63.106106953759991"/>
    <n v="0"/>
    <n v="0"/>
    <n v="0"/>
    <n v="6.6836317797605602"/>
    <n v="0"/>
    <n v="0"/>
    <m/>
    <n v="0"/>
    <n v="0"/>
    <n v="0"/>
    <n v="0"/>
    <n v="0"/>
    <n v="-1.0857168829528305"/>
    <n v="0"/>
    <n v="0"/>
    <m/>
    <m/>
    <m/>
    <n v="2094.7240553067372"/>
    <n v="0"/>
    <n v="0"/>
    <n v="-624.76769999999965"/>
    <n v="63.112199999999802"/>
    <n v="0"/>
    <n v="0"/>
    <n v="-647.69061533851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6"/>
    <s v="Refaturamento - 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23300000000000001"/>
    <n v="0.23300000000000001"/>
    <n v="0.23300000000000001"/>
    <n v="0.23300000000000001"/>
    <m/>
    <n v="230.94"/>
    <n v="128.11000000000001"/>
    <m/>
    <n v="83.658650000000009"/>
    <n v="83.658650000000009"/>
    <n v="71.5077"/>
    <n v="0"/>
    <n v="0"/>
    <n v="0"/>
    <n v="0"/>
    <n v="0"/>
    <n v="0"/>
    <n v="45.317614195586799"/>
    <n v="29.849873817067639"/>
    <n v="0"/>
    <n v="0"/>
    <n v="0"/>
    <n v="0"/>
    <n v="0"/>
    <n v="0"/>
    <m/>
    <n v="0.20047038215959426"/>
    <n v="0.80991269924107956"/>
    <n v="4.3204340905529701"/>
    <n v="0"/>
    <n v="0"/>
    <n v="0"/>
    <n v="0"/>
    <n v="0"/>
    <n v="0"/>
    <n v="0"/>
    <n v="0"/>
    <n v="0"/>
    <n v="0"/>
    <m/>
    <n v="0"/>
    <n v="0"/>
    <n v="0"/>
    <n v="0"/>
    <n v="0"/>
    <n v="3.1614304050132414"/>
    <n v="0"/>
    <n v="0"/>
    <n v="0"/>
    <n v="31.43"/>
    <n v="0"/>
    <m/>
    <m/>
    <m/>
    <m/>
    <m/>
    <m/>
    <m/>
    <m/>
    <m/>
    <n v="33.011304222080881"/>
    <m/>
    <m/>
    <m/>
    <m/>
    <m/>
    <m/>
    <m/>
    <m/>
    <m/>
    <m/>
    <m/>
    <m/>
    <n v="70.587000000000003"/>
    <n v="-13.101650000000006"/>
    <m/>
    <m/>
    <m/>
    <m/>
    <n v="-13.516329999999998"/>
    <n v="1.3653799999999967"/>
    <n v="30"/>
    <n v="1.8608482390821095"/>
    <n v="5.9120233623202845E-2"/>
    <n v="0.31537358659334291"/>
    <n v="0"/>
    <n v="0"/>
    <n v="0"/>
    <n v="0"/>
    <n v="0"/>
    <n v="0"/>
    <n v="0"/>
    <n v="0"/>
    <n v="1.3652481820079885"/>
    <n v="0"/>
    <n v="0"/>
    <n v="0"/>
    <n v="0.1445948193764357"/>
    <n v="0"/>
    <n v="0"/>
    <m/>
    <n v="0"/>
    <n v="0"/>
    <n v="0"/>
    <n v="0"/>
    <n v="0"/>
    <n v="-2.3488582518849527E-2"/>
    <n v="0"/>
    <n v="0"/>
    <m/>
    <m/>
    <m/>
    <n v="45.317614195586799"/>
    <n v="0"/>
    <n v="0"/>
    <n v="-13.516330000000004"/>
    <n v="1.3653799999999983"/>
    <n v="0"/>
    <n v="0"/>
    <n v="-14.012248224129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7"/>
    <s v="Regular"/>
    <s v="Convencional"/>
    <s v="B3"/>
    <s v="Industrial"/>
    <s v="Não se aplica"/>
    <s v="Não se aplica"/>
    <s v="Não se aplica"/>
    <s v="Não se aplica"/>
    <s v="CATIVO"/>
    <x v="2"/>
    <n v="0"/>
    <n v="0"/>
    <n v="396.29"/>
    <n v="396.29"/>
    <n v="396.29"/>
    <n v="396.29"/>
    <m/>
    <n v="333.61"/>
    <n v="128.11000000000001"/>
    <m/>
    <n v="182975.01880000002"/>
    <n v="182975.01880000002"/>
    <n v="159716.75870000001"/>
    <n v="0"/>
    <n v="24259.308632189226"/>
    <n v="0"/>
    <n v="0"/>
    <n v="0"/>
    <n v="0"/>
    <n v="77076.898410167778"/>
    <n v="50769.126587835774"/>
    <n v="0"/>
    <n v="0"/>
    <n v="0"/>
    <n v="0"/>
    <n v="0"/>
    <n v="3746.466380227836"/>
    <m/>
    <n v="340.96312337350048"/>
    <n v="1377.5120325418343"/>
    <n v="7348.2610547005852"/>
    <n v="0"/>
    <n v="0"/>
    <n v="0"/>
    <n v="0"/>
    <n v="0"/>
    <n v="0"/>
    <n v="0"/>
    <n v="0"/>
    <n v="0"/>
    <n v="0"/>
    <m/>
    <n v="0"/>
    <n v="0"/>
    <n v="0"/>
    <n v="0"/>
    <n v="0"/>
    <n v="5377.0096789815343"/>
    <n v="0"/>
    <n v="0"/>
    <n v="0"/>
    <n v="71994.600000000006"/>
    <n v="211"/>
    <m/>
    <m/>
    <m/>
    <m/>
    <m/>
    <m/>
    <m/>
    <m/>
    <m/>
    <n v="56146.13626681731"/>
    <m/>
    <m/>
    <m/>
    <m/>
    <m/>
    <m/>
    <m/>
    <m/>
    <m/>
    <m/>
    <m/>
    <m/>
    <n v="159716.75870000001"/>
    <n v="-23258.290100000042"/>
    <m/>
    <m/>
    <m/>
    <m/>
    <n v="-25580.519500000006"/>
    <n v="2322.2593999999945"/>
    <n v="30"/>
    <n v="571.1002143897058"/>
    <n v="100.55260679201342"/>
    <n v="536.39226880290153"/>
    <n v="0"/>
    <n v="0"/>
    <n v="0"/>
    <n v="0"/>
    <n v="0"/>
    <n v="0"/>
    <n v="0"/>
    <n v="0"/>
    <n v="2322.0352019225102"/>
    <n v="0"/>
    <n v="0"/>
    <n v="0"/>
    <n v="245.92910287848736"/>
    <n v="0"/>
    <n v="-2294.7166911331697"/>
    <m/>
    <n v="0"/>
    <n v="0"/>
    <n v="0"/>
    <n v="0"/>
    <n v="-299.14253081125707"/>
    <n v="-39.949744061780621"/>
    <n v="0"/>
    <n v="0"/>
    <m/>
    <m/>
    <m/>
    <n v="77076.898410167778"/>
    <n v="0"/>
    <n v="0"/>
    <n v="-25580.519500000024"/>
    <n v="2322.2593999999954"/>
    <n v="0"/>
    <n v="0"/>
    <n v="-23832.248277855055"/>
    <n v="0"/>
    <n v="0"/>
    <n v="0"/>
    <n v="0"/>
    <n v="0"/>
    <n v="0"/>
    <n v="0"/>
    <n v="0"/>
    <n v="0"/>
    <n v="0"/>
    <n v="0"/>
    <n v="0"/>
    <n v="12680.6914490098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8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2.9119999999999999"/>
    <n v="2.9119999999999999"/>
    <n v="2.9119999999999999"/>
    <n v="2.9119999999999999"/>
    <m/>
    <n v="333.61"/>
    <n v="128.11000000000001"/>
    <m/>
    <n v="1344.52864"/>
    <n v="1344.52864"/>
    <n v="1173.62336"/>
    <n v="0"/>
    <n v="178.2611389056878"/>
    <n v="0"/>
    <n v="0"/>
    <n v="0"/>
    <n v="0"/>
    <n v="566.3729293457028"/>
    <n v="373.05936719013283"/>
    <n v="0"/>
    <n v="0"/>
    <n v="0"/>
    <n v="0"/>
    <n v="0"/>
    <n v="27.529612403097374"/>
    <m/>
    <n v="2.5054495830417958"/>
    <n v="10.122170730429286"/>
    <n v="53.996154814121233"/>
    <n v="0"/>
    <n v="0"/>
    <n v="0"/>
    <n v="0"/>
    <n v="0"/>
    <n v="0"/>
    <n v="0"/>
    <n v="0"/>
    <n v="0"/>
    <n v="0"/>
    <m/>
    <n v="0"/>
    <n v="0"/>
    <n v="0"/>
    <n v="0"/>
    <n v="0"/>
    <n v="39.51109587724703"/>
    <n v="0"/>
    <n v="0"/>
    <n v="0"/>
    <n v="1295.6300000000001"/>
    <n v="2"/>
    <m/>
    <m/>
    <m/>
    <m/>
    <m/>
    <m/>
    <m/>
    <m/>
    <m/>
    <n v="412.57046306737988"/>
    <m/>
    <m/>
    <m/>
    <m/>
    <m/>
    <m/>
    <m/>
    <m/>
    <m/>
    <m/>
    <m/>
    <m/>
    <n v="1172.8173000000002"/>
    <n v="-171.74133999999981"/>
    <m/>
    <m/>
    <m/>
    <m/>
    <n v="-187.96960000000001"/>
    <n v="17.064319999999956"/>
    <n v="30"/>
    <n v="4.1965323987556076"/>
    <n v="0.73887605283590929"/>
    <n v="3.9414930650635895"/>
    <n v="0"/>
    <n v="0"/>
    <n v="0"/>
    <n v="0"/>
    <n v="0"/>
    <n v="0"/>
    <n v="0"/>
    <n v="0"/>
    <n v="17.062672557971098"/>
    <n v="0"/>
    <n v="0"/>
    <n v="0"/>
    <n v="1.8071249528934814"/>
    <n v="0"/>
    <n v="-16.86193193010115"/>
    <m/>
    <n v="0"/>
    <n v="0"/>
    <n v="0"/>
    <n v="0"/>
    <n v="-2.198145423105256"/>
    <n v="-0.29355687680210218"/>
    <n v="0"/>
    <n v="0"/>
    <m/>
    <m/>
    <m/>
    <n v="566.3729293457028"/>
    <n v="0"/>
    <n v="0"/>
    <n v="-187.96960000000001"/>
    <n v="17.064319999999952"/>
    <n v="0"/>
    <n v="0"/>
    <n v="-175.12303359941944"/>
    <n v="0"/>
    <n v="0"/>
    <n v="0"/>
    <n v="0"/>
    <n v="0"/>
    <n v="0"/>
    <n v="0"/>
    <n v="0"/>
    <n v="0"/>
    <n v="0"/>
    <n v="0"/>
    <n v="0"/>
    <n v="93.17967523661130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99"/>
    <s v="Regular"/>
    <s v="Azul"/>
    <s v="A3"/>
    <s v="Industrial"/>
    <s v="Não se aplica"/>
    <s v="Não se aplica"/>
    <s v="Não se aplica"/>
    <s v="Ponta"/>
    <s v="CATIVO"/>
    <x v="2"/>
    <n v="2353"/>
    <n v="2353"/>
    <n v="101.35"/>
    <n v="101.35"/>
    <n v="101.35"/>
    <n v="101.35"/>
    <n v="28.46"/>
    <n v="75.12"/>
    <n v="128.11000000000001"/>
    <n v="66966.38"/>
    <n v="20597.360500000003"/>
    <n v="87563.7405"/>
    <n v="71909.905999999988"/>
    <n v="0"/>
    <n v="4156.845297672141"/>
    <n v="0"/>
    <n v="0"/>
    <n v="0"/>
    <n v="0"/>
    <n v="54100.099406107554"/>
    <n v="12984.054555192295"/>
    <n v="0"/>
    <n v="0"/>
    <n v="0"/>
    <n v="0"/>
    <n v="0"/>
    <n v="958.1477393729117"/>
    <m/>
    <n v="24.806020585760727"/>
    <n v="1937.1565699777123"/>
    <n v="10920.12752918725"/>
    <n v="0"/>
    <n v="0"/>
    <n v="0"/>
    <n v="0"/>
    <n v="0"/>
    <n v="0"/>
    <n v="0"/>
    <n v="0"/>
    <n v="0"/>
    <n v="0"/>
    <m/>
    <n v="0"/>
    <n v="0"/>
    <n v="0"/>
    <n v="0"/>
    <n v="0"/>
    <n v="300.74404922685704"/>
    <n v="0"/>
    <n v="0"/>
    <n v="0"/>
    <n v="0"/>
    <n v="0"/>
    <m/>
    <m/>
    <m/>
    <m/>
    <m/>
    <m/>
    <m/>
    <m/>
    <m/>
    <n v="13284.798604419153"/>
    <m/>
    <m/>
    <m/>
    <m/>
    <m/>
    <m/>
    <m/>
    <m/>
    <m/>
    <m/>
    <m/>
    <m/>
    <n v="71909.905999999988"/>
    <n v="-15653.864499999996"/>
    <m/>
    <m/>
    <m/>
    <m/>
    <n v="-16247.745500000003"/>
    <n v="593.91099999999847"/>
    <n v="30"/>
    <n v="1073.5245180758138"/>
    <n v="141.40431319217191"/>
    <n v="797.12355581738848"/>
    <n v="0"/>
    <n v="0"/>
    <n v="0"/>
    <n v="0"/>
    <n v="0"/>
    <n v="0"/>
    <n v="0"/>
    <n v="0"/>
    <n v="593.85366200218778"/>
    <n v="0"/>
    <n v="0"/>
    <n v="0"/>
    <n v="13.755175950590683"/>
    <n v="0"/>
    <n v="-393.20091234463325"/>
    <m/>
    <n v="0"/>
    <n v="0"/>
    <n v="0"/>
    <n v="0"/>
    <n v="-76.504820958694268"/>
    <n v="-2.9064555831946421"/>
    <n v="0"/>
    <n v="0"/>
    <m/>
    <m/>
    <n v="54100.099406107554"/>
    <n v="0"/>
    <n v="0"/>
    <n v="0"/>
    <n v="-16247.745500000005"/>
    <n v="593.91099999999824"/>
    <n v="0"/>
    <n v="0"/>
    <n v="-16727.800774257688"/>
    <n v="0"/>
    <n v="0"/>
    <n v="0"/>
    <n v="0"/>
    <n v="0"/>
    <n v="0"/>
    <n v="0"/>
    <n v="0"/>
    <n v="0"/>
    <n v="0"/>
    <n v="0"/>
    <n v="0"/>
    <n v="2172.843151478188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0"/>
    <s v="Regular"/>
    <s v="Azul"/>
    <s v="A3"/>
    <s v="Industrial"/>
    <s v="Não se aplica"/>
    <s v="Não se aplica"/>
    <s v="Não se aplica"/>
    <s v="Fora ponta"/>
    <s v="CATIVO"/>
    <x v="2"/>
    <n v="2402"/>
    <n v="2402"/>
    <n v="1072.8430000000001"/>
    <n v="1072.8430000000001"/>
    <n v="1072.8430000000001"/>
    <n v="1072.8430000000001"/>
    <n v="9.92"/>
    <n v="75.12"/>
    <n v="128.11000000000001"/>
    <n v="23827.84"/>
    <n v="218033.88289000004"/>
    <n v="241861.72289000003"/>
    <n v="240502.28408000001"/>
    <n v="0"/>
    <n v="44002.391511499489"/>
    <n v="0"/>
    <n v="0"/>
    <n v="0"/>
    <n v="0"/>
    <n v="11818.364758049695"/>
    <n v="137443.0393799326"/>
    <n v="0"/>
    <n v="0"/>
    <n v="0"/>
    <n v="0"/>
    <n v="0"/>
    <n v="10142.497238796772"/>
    <m/>
    <n v="262.58476115726984"/>
    <n v="1785.2708965461245"/>
    <n v="10217.015941858826"/>
    <n v="0"/>
    <n v="0"/>
    <n v="0"/>
    <n v="0"/>
    <n v="0"/>
    <n v="0"/>
    <n v="0"/>
    <n v="0"/>
    <n v="0"/>
    <n v="0"/>
    <m/>
    <n v="0"/>
    <n v="0"/>
    <n v="0"/>
    <n v="0"/>
    <n v="0"/>
    <n v="3183.5337740965861"/>
    <n v="0"/>
    <n v="0"/>
    <n v="0"/>
    <n v="0"/>
    <n v="0"/>
    <m/>
    <m/>
    <m/>
    <m/>
    <m/>
    <m/>
    <m/>
    <m/>
    <m/>
    <n v="140626.57315402917"/>
    <m/>
    <m/>
    <m/>
    <m/>
    <m/>
    <m/>
    <m/>
    <m/>
    <m/>
    <m/>
    <m/>
    <m/>
    <n v="240501.6704"/>
    <n v="-1360.0824900000589"/>
    <m/>
    <m/>
    <m/>
    <m/>
    <n v="-7646.2987900000026"/>
    <n v="6286.8599799999847"/>
    <n v="30"/>
    <n v="2305.127109844907"/>
    <n v="130.31729541148025"/>
    <n v="745.7993558820217"/>
    <n v="0"/>
    <n v="0"/>
    <n v="0"/>
    <n v="0"/>
    <n v="0"/>
    <n v="0"/>
    <n v="0"/>
    <n v="0"/>
    <n v="6286.253027167375"/>
    <n v="0"/>
    <n v="0"/>
    <n v="0"/>
    <n v="145.60576450280814"/>
    <n v="0"/>
    <n v="-4162.2382476818311"/>
    <m/>
    <n v="0"/>
    <n v="0"/>
    <n v="0"/>
    <n v="0"/>
    <n v="-809.84372601665928"/>
    <n v="-30.766359420239667"/>
    <n v="0"/>
    <n v="0"/>
    <m/>
    <m/>
    <n v="11818.364758049695"/>
    <n v="0"/>
    <n v="0"/>
    <n v="0"/>
    <n v="-7646.2987900000007"/>
    <n v="6286.8599799999793"/>
    <n v="0"/>
    <n v="0"/>
    <n v="-3654.249314149054"/>
    <n v="0"/>
    <n v="0"/>
    <n v="0"/>
    <n v="0"/>
    <n v="0"/>
    <n v="0"/>
    <n v="0"/>
    <n v="0"/>
    <n v="0"/>
    <n v="0"/>
    <n v="0"/>
    <n v="0"/>
    <n v="23000.68638541010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1"/>
    <s v="Regular"/>
    <s v="Azul"/>
    <s v="A3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9715.8599999999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02"/>
    <s v="Regular"/>
    <s v="Azul"/>
    <s v="A4"/>
    <s v="Industrial"/>
    <s v="Não se aplica"/>
    <s v="Não se aplica"/>
    <s v="Não se aplica"/>
    <s v="Ponta"/>
    <s v="CATIVO"/>
    <x v="2"/>
    <n v="6122"/>
    <n v="6122"/>
    <n v="329.608"/>
    <n v="329.608"/>
    <n v="329.608"/>
    <n v="329.608"/>
    <n v="52.19"/>
    <n v="96.28"/>
    <n v="128.11000000000001"/>
    <n v="319507.18"/>
    <n v="73960.739120000013"/>
    <n v="393467.91912000004"/>
    <n v="307536.22112"/>
    <n v="0"/>
    <n v="17554.250961885511"/>
    <n v="0"/>
    <n v="0"/>
    <n v="0"/>
    <n v="0"/>
    <n v="286103.38404801144"/>
    <n v="42226.425790111716"/>
    <n v="0"/>
    <n v="0"/>
    <n v="0"/>
    <n v="0"/>
    <n v="0"/>
    <n v="3116.0647269780629"/>
    <m/>
    <n v="162.03550793254891"/>
    <n v="5287.1406233016487"/>
    <n v="28126.207047307631"/>
    <n v="0"/>
    <n v="0"/>
    <n v="0"/>
    <n v="0"/>
    <n v="0"/>
    <n v="0"/>
    <n v="0"/>
    <n v="0"/>
    <n v="0"/>
    <n v="0"/>
    <m/>
    <n v="0"/>
    <n v="0"/>
    <n v="0"/>
    <n v="0"/>
    <n v="0"/>
    <n v="1726.6895164882064"/>
    <n v="0"/>
    <n v="0"/>
    <n v="0"/>
    <n v="0"/>
    <n v="0"/>
    <m/>
    <m/>
    <m/>
    <m/>
    <m/>
    <m/>
    <m/>
    <m/>
    <m/>
    <n v="43953.115306599924"/>
    <m/>
    <m/>
    <m/>
    <m/>
    <m/>
    <m/>
    <m/>
    <m/>
    <m/>
    <m/>
    <m/>
    <m/>
    <n v="307536.6704"/>
    <n v="-85931.27872000006"/>
    <m/>
    <m/>
    <m/>
    <m/>
    <n v="-87863.200879999975"/>
    <n v="1931.5028799999952"/>
    <n v="30"/>
    <n v="2521.0549066981039"/>
    <n v="385.93911311825468"/>
    <n v="2053.0952695636224"/>
    <n v="0"/>
    <n v="0"/>
    <n v="0"/>
    <n v="0"/>
    <n v="0"/>
    <n v="0"/>
    <n v="0"/>
    <n v="0"/>
    <n v="1931.3164067608959"/>
    <n v="0"/>
    <n v="0"/>
    <n v="0"/>
    <n v="78.973858908900411"/>
    <n v="0"/>
    <n v="-1660.4773570970756"/>
    <m/>
    <n v="0"/>
    <n v="0"/>
    <n v="0"/>
    <n v="0"/>
    <n v="-248.80711422351533"/>
    <n v="-18.985270332988193"/>
    <n v="0"/>
    <n v="0"/>
    <m/>
    <m/>
    <n v="286103.38404801144"/>
    <n v="0"/>
    <n v="0"/>
    <n v="0"/>
    <n v="-87863.200880000019"/>
    <n v="1931.5028799999927"/>
    <n v="0"/>
    <n v="0"/>
    <n v="-88463.430968405795"/>
    <n v="0"/>
    <n v="0"/>
    <n v="0"/>
    <n v="0"/>
    <n v="0"/>
    <n v="0"/>
    <n v="0"/>
    <n v="0"/>
    <n v="0"/>
    <n v="0"/>
    <n v="0"/>
    <n v="0"/>
    <n v="9175.860839281722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3"/>
    <s v="Regular"/>
    <s v="Azul"/>
    <s v="A4"/>
    <s v="Industrial"/>
    <s v="Não se aplica"/>
    <s v="Não se aplica"/>
    <s v="Não se aplica"/>
    <s v="Fora ponta"/>
    <s v="CATIVO"/>
    <x v="2"/>
    <n v="6276"/>
    <n v="6276"/>
    <n v="3062.462"/>
    <n v="3062.462"/>
    <n v="3062.462"/>
    <n v="3062.462"/>
    <n v="18.12"/>
    <n v="96.28"/>
    <n v="128.11000000000001"/>
    <n v="113721.12000000001"/>
    <n v="687185.84818000009"/>
    <n v="800906.96818000008"/>
    <n v="778639.66368"/>
    <n v="0"/>
    <n v="163100.49061077953"/>
    <n v="0"/>
    <n v="0"/>
    <n v="0"/>
    <n v="0"/>
    <n v="81957.896883685782"/>
    <n v="392335.21145735873"/>
    <n v="0"/>
    <n v="0"/>
    <n v="0"/>
    <n v="0"/>
    <n v="0"/>
    <n v="28952.057643960987"/>
    <m/>
    <n v="1505.508318044858"/>
    <n v="4988.606705523569"/>
    <n v="26744.050846097532"/>
    <n v="0"/>
    <n v="0"/>
    <n v="0"/>
    <n v="0"/>
    <n v="0"/>
    <n v="0"/>
    <n v="0"/>
    <n v="0"/>
    <n v="0"/>
    <n v="0"/>
    <m/>
    <n v="0"/>
    <n v="0"/>
    <n v="0"/>
    <n v="0"/>
    <n v="0"/>
    <n v="16043.060332405479"/>
    <n v="0"/>
    <n v="0"/>
    <n v="0"/>
    <n v="0"/>
    <n v="0"/>
    <m/>
    <m/>
    <m/>
    <m/>
    <m/>
    <m/>
    <m/>
    <m/>
    <m/>
    <n v="408378.27178976423"/>
    <m/>
    <m/>
    <m/>
    <m/>
    <m/>
    <m/>
    <m/>
    <m/>
    <m/>
    <m/>
    <m/>
    <m/>
    <n v="778639.21440000006"/>
    <n v="-22267.783780000056"/>
    <m/>
    <m/>
    <m/>
    <m/>
    <n v="-40213.331820000007"/>
    <n v="17946.027319999954"/>
    <n v="30"/>
    <n v="3078.4221667598467"/>
    <n v="364.14738793598463"/>
    <n v="1952.2036579172564"/>
    <n v="0"/>
    <n v="0"/>
    <n v="0"/>
    <n v="0"/>
    <n v="0"/>
    <n v="0"/>
    <n v="0"/>
    <n v="0"/>
    <n v="17944.294755229843"/>
    <n v="0"/>
    <n v="0"/>
    <n v="0"/>
    <n v="733.76387072482612"/>
    <n v="0"/>
    <n v="-15427.868279805756"/>
    <m/>
    <n v="0"/>
    <n v="0"/>
    <n v="0"/>
    <n v="0"/>
    <n v="-2311.7228120651671"/>
    <n v="-176.39641317717906"/>
    <n v="0"/>
    <n v="0"/>
    <m/>
    <m/>
    <n v="81957.896883685782"/>
    <n v="0"/>
    <n v="0"/>
    <n v="0"/>
    <n v="-40213.331820000021"/>
    <n v="17946.027319999936"/>
    <n v="0"/>
    <n v="0"/>
    <n v="-25341.457520366159"/>
    <n v="0"/>
    <n v="0"/>
    <n v="0"/>
    <n v="0"/>
    <n v="0"/>
    <n v="0"/>
    <n v="0"/>
    <n v="0"/>
    <n v="0"/>
    <n v="0"/>
    <n v="0"/>
    <n v="0"/>
    <n v="85254.98512653935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4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05"/>
    <s v="Regular"/>
    <s v="Verde"/>
    <s v="A4"/>
    <s v="Industrial"/>
    <s v="Não se aplica"/>
    <s v="Não se aplica"/>
    <s v="Não se aplica"/>
    <s v="Ponta"/>
    <s v="CATIVO"/>
    <x v="2"/>
    <n v="0"/>
    <n v="0"/>
    <n v="805.73800000000006"/>
    <n v="805.73800000000006"/>
    <n v="805.73800000000006"/>
    <n v="805.73800000000006"/>
    <m/>
    <n v="1351.49"/>
    <n v="128.11000000000001"/>
    <m/>
    <n v="1192169.9447999999"/>
    <n v="1192169.9447999999"/>
    <n v="920080.27958000009"/>
    <n v="0"/>
    <n v="42911.965308875115"/>
    <n v="0"/>
    <n v="0"/>
    <n v="0"/>
    <n v="0"/>
    <n v="905604.89904570358"/>
    <n v="103223.9383245341"/>
    <n v="0"/>
    <n v="0"/>
    <n v="0"/>
    <n v="0"/>
    <n v="0"/>
    <n v="7617.3265241919207"/>
    <m/>
    <n v="396.10132669885468"/>
    <n v="16737.216062207386"/>
    <n v="89027.665544680989"/>
    <n v="0"/>
    <n v="0"/>
    <n v="0"/>
    <n v="0"/>
    <n v="0"/>
    <n v="0"/>
    <n v="0"/>
    <n v="0"/>
    <n v="0"/>
    <n v="0"/>
    <m/>
    <n v="0"/>
    <n v="0"/>
    <n v="0"/>
    <n v="0"/>
    <n v="0"/>
    <n v="4220.9514260460137"/>
    <n v="0"/>
    <n v="0"/>
    <n v="0"/>
    <n v="0"/>
    <n v="0"/>
    <m/>
    <m/>
    <m/>
    <m/>
    <m/>
    <m/>
    <m/>
    <m/>
    <m/>
    <n v="107444.88975058011"/>
    <m/>
    <m/>
    <m/>
    <m/>
    <m/>
    <m/>
    <m/>
    <m/>
    <m/>
    <m/>
    <m/>
    <m/>
    <n v="920082.5634000001"/>
    <n v="-272087.41139999987"/>
    <m/>
    <m/>
    <m/>
    <m/>
    <n v="-276811.28989999997"/>
    <n v="4721.6246799999881"/>
    <n v="30"/>
    <n v="7920.8951861252426"/>
    <n v="1221.7466459371572"/>
    <n v="6498.6465712438803"/>
    <n v="0"/>
    <n v="0"/>
    <n v="0"/>
    <n v="0"/>
    <n v="0"/>
    <n v="0"/>
    <n v="0"/>
    <n v="0"/>
    <n v="4721.1688398058031"/>
    <n v="0"/>
    <n v="0"/>
    <n v="0"/>
    <n v="193.0542921577744"/>
    <n v="0"/>
    <n v="-4059.0935437024673"/>
    <m/>
    <n v="0"/>
    <n v="0"/>
    <n v="0"/>
    <n v="0"/>
    <n v="-608.21747833859263"/>
    <n v="-46.41014097825672"/>
    <n v="0"/>
    <n v="0"/>
    <m/>
    <m/>
    <m/>
    <n v="905604.89904570358"/>
    <n v="0"/>
    <n v="0"/>
    <n v="-276811.28989999986"/>
    <n v="4721.6246799999935"/>
    <n v="0"/>
    <n v="0"/>
    <n v="-280013.87239074241"/>
    <n v="0"/>
    <n v="0"/>
    <n v="0"/>
    <n v="0"/>
    <n v="0"/>
    <n v="0"/>
    <n v="0"/>
    <n v="0"/>
    <n v="0"/>
    <n v="0"/>
    <n v="0"/>
    <n v="0"/>
    <n v="22430.70484005599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6"/>
    <s v="Regular"/>
    <s v="Verde"/>
    <s v="A4"/>
    <s v="Industrial"/>
    <s v="Não se aplica"/>
    <s v="Não se aplica"/>
    <s v="Não se aplica"/>
    <s v="Fora ponta"/>
    <s v="CATIVO"/>
    <x v="2"/>
    <n v="0"/>
    <n v="0"/>
    <n v="13251.582"/>
    <n v="13251.582"/>
    <n v="13251.582"/>
    <n v="13251.582"/>
    <m/>
    <n v="96.28"/>
    <n v="128.11000000000001"/>
    <m/>
    <n v="2973522.4849800002"/>
    <n v="2973522.4849800002"/>
    <n v="2976835.3804799998"/>
    <n v="0"/>
    <n v="705752.27564259584"/>
    <n v="0"/>
    <n v="0"/>
    <n v="0"/>
    <n v="0"/>
    <n v="0"/>
    <n v="1697674.0368091194"/>
    <n v="0"/>
    <n v="0"/>
    <n v="0"/>
    <n v="0"/>
    <n v="0"/>
    <n v="125278.47396561192"/>
    <m/>
    <n v="6514.48636040333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419.940402793072"/>
    <n v="0"/>
    <n v="0"/>
    <n v="0"/>
    <n v="0"/>
    <n v="0"/>
    <m/>
    <m/>
    <m/>
    <m/>
    <m/>
    <m/>
    <m/>
    <m/>
    <m/>
    <n v="1767093.9772119124"/>
    <m/>
    <m/>
    <m/>
    <m/>
    <m/>
    <m/>
    <m/>
    <m/>
    <m/>
    <m/>
    <m/>
    <m/>
    <n v="2976834.9312"/>
    <n v="3312.416219999548"/>
    <m/>
    <m/>
    <m/>
    <m/>
    <n v="-74341.375019999992"/>
    <n v="77654.270519999802"/>
    <n v="30"/>
    <n v="3297.5586141236126"/>
    <n v="0"/>
    <n v="0"/>
    <n v="0"/>
    <n v="0"/>
    <n v="0"/>
    <n v="0"/>
    <n v="0"/>
    <n v="0"/>
    <n v="0"/>
    <n v="0"/>
    <n v="77646.773537466768"/>
    <n v="0"/>
    <n v="0"/>
    <n v="0"/>
    <n v="3175.0702870917157"/>
    <n v="0"/>
    <n v="-66757.942333666608"/>
    <m/>
    <n v="0"/>
    <n v="0"/>
    <n v="0"/>
    <n v="0"/>
    <n v="-10003.05780295466"/>
    <n v="-763.28507381422878"/>
    <n v="0"/>
    <n v="0"/>
    <m/>
    <m/>
    <m/>
    <n v="0"/>
    <n v="0"/>
    <n v="0"/>
    <n v="-74341.375020000152"/>
    <n v="77654.270519999787"/>
    <n v="0"/>
    <n v="0"/>
    <n v="0"/>
    <n v="0"/>
    <n v="0"/>
    <n v="0"/>
    <n v="0"/>
    <n v="0"/>
    <n v="0"/>
    <n v="0"/>
    <n v="0"/>
    <n v="0"/>
    <n v="0"/>
    <n v="0"/>
    <n v="0"/>
    <n v="368906.9207432179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7"/>
    <s v="Regular"/>
    <s v="Verde"/>
    <s v="A4"/>
    <s v="Industrial"/>
    <s v="Não se aplica"/>
    <s v="Não se aplica"/>
    <s v="Não se aplica"/>
    <s v="Não se aplica"/>
    <s v="CATIVO"/>
    <x v="2"/>
    <n v="49779"/>
    <n v="49779"/>
    <n v="0"/>
    <n v="0"/>
    <n v="0"/>
    <n v="0"/>
    <n v="18.12"/>
    <m/>
    <m/>
    <n v="901995.4800000001"/>
    <m/>
    <n v="901995.4800000001"/>
    <n v="719306.54999999993"/>
    <n v="0"/>
    <n v="0"/>
    <n v="0"/>
    <n v="0"/>
    <n v="0"/>
    <n v="0"/>
    <n v="650060.89053106995"/>
    <m/>
    <m/>
    <m/>
    <n v="0"/>
    <n v="0"/>
    <n v="0"/>
    <n v="0"/>
    <m/>
    <n v="0"/>
    <n v="39567.854237453437"/>
    <n v="212124.30004268468"/>
    <n v="0"/>
    <n v="0"/>
    <m/>
    <m/>
    <n v="0"/>
    <n v="0"/>
    <n v="0"/>
    <m/>
    <m/>
    <n v="0"/>
    <m/>
    <n v="0"/>
    <n v="0"/>
    <n v="0"/>
    <n v="0"/>
    <m/>
    <n v="0"/>
    <n v="0"/>
    <n v="0"/>
    <n v="0"/>
    <n v="2013859.42"/>
    <n v="98"/>
    <m/>
    <m/>
    <m/>
    <m/>
    <m/>
    <m/>
    <m/>
    <m/>
    <m/>
    <n v="0"/>
    <m/>
    <m/>
    <m/>
    <m/>
    <m/>
    <m/>
    <m/>
    <m/>
    <m/>
    <m/>
    <m/>
    <m/>
    <n v="719306.54999999993"/>
    <n v="-182688.9600000002"/>
    <m/>
    <m/>
    <m/>
    <m/>
    <n v="-182688.93000000008"/>
    <n v="0"/>
    <n v="30"/>
    <n v="18372.47270738185"/>
    <n v="2888.2875755362256"/>
    <n v="15484.185131845617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0060.89053106995"/>
    <m/>
    <n v="0"/>
    <n v="0"/>
    <n v="-182688.93000000017"/>
    <m/>
    <n v="0"/>
    <m/>
    <n v="-200999.42860202474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08"/>
    <s v="Regular"/>
    <s v="Convencional"/>
    <s v="B3"/>
    <s v="Comercial"/>
    <s v="Não se aplica"/>
    <s v="Não se aplica"/>
    <s v="Não se aplica"/>
    <s v="Não se aplica"/>
    <s v="CATIVO"/>
    <x v="2"/>
    <n v="0"/>
    <n v="0"/>
    <n v="1053.56"/>
    <n v="1053.56"/>
    <n v="1053.56"/>
    <n v="1053.56"/>
    <m/>
    <n v="333.61"/>
    <n v="128.11000000000001"/>
    <m/>
    <n v="486449.72320000001"/>
    <n v="486449.72320000001"/>
    <n v="424616.2868"/>
    <n v="0"/>
    <n v="64494.782110397129"/>
    <n v="0"/>
    <n v="0"/>
    <n v="0"/>
    <n v="0"/>
    <n v="204913.41464335803"/>
    <n v="134972.6740717158"/>
    <n v="0"/>
    <n v="0"/>
    <n v="0"/>
    <n v="0"/>
    <n v="0"/>
    <n v="9960.1986412799688"/>
    <m/>
    <n v="906.47028252387167"/>
    <n v="3662.1958086370455"/>
    <n v="19535.779143532131"/>
    <n v="0"/>
    <n v="0"/>
    <n v="0"/>
    <n v="0"/>
    <n v="0"/>
    <n v="0"/>
    <n v="0"/>
    <n v="0"/>
    <n v="0"/>
    <n v="0"/>
    <m/>
    <n v="0"/>
    <n v="0"/>
    <n v="0"/>
    <n v="0"/>
    <n v="0"/>
    <n v="14295.092778994636"/>
    <n v="0"/>
    <n v="0"/>
    <n v="0"/>
    <n v="190463.82"/>
    <n v="1653"/>
    <m/>
    <m/>
    <m/>
    <m/>
    <m/>
    <m/>
    <m/>
    <m/>
    <m/>
    <n v="149267.76685071044"/>
    <m/>
    <m/>
    <m/>
    <m/>
    <m/>
    <m/>
    <m/>
    <m/>
    <m/>
    <m/>
    <m/>
    <m/>
    <n v="424616.2868"/>
    <n v="-61833.466400000034"/>
    <m/>
    <m/>
    <m/>
    <m/>
    <n v="-68007.29800000001"/>
    <n v="6173.8615999999838"/>
    <n v="30"/>
    <n v="1518.3031160826795"/>
    <n v="267.32494994017907"/>
    <n v="1426.0300252844754"/>
    <n v="0"/>
    <n v="0"/>
    <n v="0"/>
    <n v="0"/>
    <n v="0"/>
    <n v="0"/>
    <n v="0"/>
    <n v="0"/>
    <n v="6173.265556379105"/>
    <n v="0"/>
    <n v="0"/>
    <n v="0"/>
    <n v="653.8168150310612"/>
    <n v="0"/>
    <n v="-6100.637707512833"/>
    <m/>
    <n v="0"/>
    <n v="0"/>
    <n v="0"/>
    <n v="0"/>
    <n v="-795.28780630727124"/>
    <n v="-106.20871673201339"/>
    <n v="0"/>
    <n v="0"/>
    <m/>
    <m/>
    <m/>
    <n v="204913.41464335803"/>
    <n v="0"/>
    <n v="0"/>
    <n v="-68007.29800000001"/>
    <n v="6173.8616000000038"/>
    <n v="0"/>
    <n v="0"/>
    <n v="-63359.417334822909"/>
    <n v="0"/>
    <n v="0"/>
    <n v="0"/>
    <n v="0"/>
    <n v="0"/>
    <n v="0"/>
    <n v="0"/>
    <n v="0"/>
    <n v="0"/>
    <n v="0"/>
    <n v="0"/>
    <n v="0"/>
    <n v="33712.35530298221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09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0.08"/>
    <n v="0.08"/>
    <n v="0.08"/>
    <n v="0.08"/>
    <m/>
    <n v="333.61"/>
    <n v="128.11000000000001"/>
    <m/>
    <n v="36.937600000000003"/>
    <n v="36.937600000000003"/>
    <n v="32.242400000000004"/>
    <n v="0"/>
    <n v="4.8972840358705438"/>
    <n v="0"/>
    <n v="0"/>
    <n v="0"/>
    <n v="0"/>
    <n v="15.559695861145681"/>
    <n v="10.248883714014639"/>
    <n v="0"/>
    <n v="0"/>
    <n v="0"/>
    <n v="0"/>
    <n v="0"/>
    <n v="0.75630803305212568"/>
    <m/>
    <n v="6.8831032501148248E-2"/>
    <n v="0.27808161347333199"/>
    <n v="1.4834108465417921"/>
    <n v="0"/>
    <n v="0"/>
    <n v="0"/>
    <n v="0"/>
    <n v="0"/>
    <n v="0"/>
    <n v="0"/>
    <n v="0"/>
    <n v="0"/>
    <n v="0"/>
    <m/>
    <n v="0"/>
    <n v="0"/>
    <n v="0"/>
    <n v="0"/>
    <n v="0"/>
    <n v="1.085469666957336"/>
    <n v="0"/>
    <n v="0"/>
    <n v="0"/>
    <n v="14.54"/>
    <n v="0"/>
    <m/>
    <m/>
    <m/>
    <m/>
    <m/>
    <m/>
    <m/>
    <m/>
    <m/>
    <n v="11.334353380971974"/>
    <m/>
    <m/>
    <m/>
    <m/>
    <m/>
    <m/>
    <m/>
    <m/>
    <m/>
    <m/>
    <m/>
    <m/>
    <n v="32.242400000000004"/>
    <n v="-4.725200000000001"/>
    <m/>
    <m/>
    <m/>
    <m/>
    <n v="-5.1640000000000006"/>
    <n v="0.46879999999999883"/>
    <n v="30"/>
    <n v="0.11528935161416598"/>
    <n v="2.0298792660327192E-2"/>
    <n v="0.1082827765127361"/>
    <n v="0"/>
    <n v="0"/>
    <n v="0"/>
    <n v="0"/>
    <n v="0"/>
    <n v="0"/>
    <n v="0"/>
    <n v="0"/>
    <n v="0.46875474060360212"/>
    <n v="0"/>
    <n v="0"/>
    <n v="0"/>
    <n v="4.9646289914655917E-2"/>
    <n v="0"/>
    <n v="-0.46323988818959183"/>
    <m/>
    <n v="0"/>
    <n v="0"/>
    <n v="0"/>
    <n v="0"/>
    <n v="-6.0388610524869657E-2"/>
    <n v="-8.0647493626951269E-3"/>
    <n v="0"/>
    <n v="0"/>
    <m/>
    <m/>
    <m/>
    <n v="15.559695861145681"/>
    <n v="0"/>
    <n v="0"/>
    <n v="-5.1640000000000015"/>
    <n v="0.46879999999999988"/>
    <n v="0"/>
    <n v="0"/>
    <n v="-4.8110723516324008"/>
    <n v="0"/>
    <n v="0"/>
    <n v="0"/>
    <n v="0"/>
    <n v="0"/>
    <n v="0"/>
    <n v="0"/>
    <n v="0"/>
    <n v="0"/>
    <n v="0"/>
    <n v="0"/>
    <n v="0"/>
    <n v="2.559881187818992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0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0.43"/>
    <n v="0.43"/>
    <n v="0.43"/>
    <n v="0.43"/>
    <m/>
    <n v="333.61"/>
    <n v="128.11000000000001"/>
    <m/>
    <n v="198.53960000000001"/>
    <n v="198.53960000000001"/>
    <n v="173.30289999999999"/>
    <n v="0"/>
    <n v="26.322901692804173"/>
    <n v="0"/>
    <n v="0"/>
    <n v="0"/>
    <n v="0"/>
    <n v="83.633365253658027"/>
    <n v="55.087749962828688"/>
    <n v="0"/>
    <n v="0"/>
    <n v="0"/>
    <n v="0"/>
    <n v="0"/>
    <n v="4.0651556776551754"/>
    <m/>
    <n v="0.3699667996936718"/>
    <n v="1.4946886724191595"/>
    <n v="7.9733333001621327"/>
    <n v="0"/>
    <n v="0"/>
    <n v="0"/>
    <n v="0"/>
    <n v="0"/>
    <n v="0"/>
    <n v="0"/>
    <n v="0"/>
    <n v="0"/>
    <n v="0"/>
    <m/>
    <n v="0"/>
    <n v="0"/>
    <n v="0"/>
    <n v="0"/>
    <n v="0"/>
    <n v="5.834399459895681"/>
    <n v="0"/>
    <n v="0"/>
    <n v="0"/>
    <n v="946.51"/>
    <n v="5"/>
    <m/>
    <m/>
    <m/>
    <m/>
    <m/>
    <m/>
    <m/>
    <m/>
    <m/>
    <n v="60.922149422724367"/>
    <m/>
    <m/>
    <m/>
    <m/>
    <m/>
    <m/>
    <m/>
    <m/>
    <m/>
    <m/>
    <m/>
    <m/>
    <n v="173.30289999999999"/>
    <n v="-25.266699999999986"/>
    <m/>
    <m/>
    <m/>
    <m/>
    <n v="-27.756500000000006"/>
    <n v="2.5197999999999938"/>
    <n v="30"/>
    <n v="0.6196802649261457"/>
    <n v="0.10910601054925873"/>
    <n v="0.58201992375595513"/>
    <n v="0"/>
    <n v="0"/>
    <n v="0"/>
    <n v="0"/>
    <n v="0"/>
    <n v="0"/>
    <n v="0"/>
    <n v="0"/>
    <n v="2.5195567307443554"/>
    <n v="0"/>
    <n v="0"/>
    <n v="0"/>
    <n v="0.26684880829127611"/>
    <n v="0"/>
    <n v="-2.4899143990190566"/>
    <m/>
    <n v="0"/>
    <n v="0"/>
    <n v="0"/>
    <n v="0"/>
    <n v="-0.32458878157117432"/>
    <n v="-4.3348027824486268E-2"/>
    <n v="0"/>
    <n v="0"/>
    <m/>
    <m/>
    <m/>
    <n v="83.633365253658027"/>
    <n v="0"/>
    <n v="0"/>
    <n v="-27.756500000000003"/>
    <n v="2.5197999999999894"/>
    <n v="0"/>
    <n v="0"/>
    <n v="-25.859513890024154"/>
    <n v="0"/>
    <n v="0"/>
    <n v="0"/>
    <n v="0"/>
    <n v="0"/>
    <n v="0"/>
    <n v="0"/>
    <n v="0"/>
    <n v="0"/>
    <n v="0"/>
    <n v="0"/>
    <n v="0"/>
    <n v="13.75936138452708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1"/>
    <s v="Regular"/>
    <s v="Verde"/>
    <s v="A4"/>
    <s v="Comercial"/>
    <s v="Não se aplica"/>
    <s v="Não se aplica"/>
    <s v="Não se aplica"/>
    <s v="Ponta"/>
    <s v="CATIVO"/>
    <x v="2"/>
    <n v="0"/>
    <n v="0"/>
    <n v="40.037999999999997"/>
    <n v="40.037999999999997"/>
    <n v="40.037999999999997"/>
    <n v="40.037999999999997"/>
    <m/>
    <n v="1351.49"/>
    <n v="128.11000000000001"/>
    <m/>
    <n v="59240.224799999996"/>
    <n v="59240.224799999996"/>
    <n v="45719.792580000001"/>
    <n v="0"/>
    <n v="2132.3423582315113"/>
    <n v="0"/>
    <n v="0"/>
    <n v="0"/>
    <n v="0"/>
    <n v="45000.495133643788"/>
    <n v="5129.3100767714759"/>
    <n v="0"/>
    <n v="0"/>
    <n v="0"/>
    <n v="0"/>
    <n v="0"/>
    <n v="378.51326284176258"/>
    <m/>
    <n v="19.682706932487658"/>
    <n v="831.69052061421849"/>
    <n v="4423.8817991430678"/>
    <n v="0"/>
    <n v="0"/>
    <n v="0"/>
    <n v="0"/>
    <n v="0"/>
    <n v="0"/>
    <n v="0"/>
    <n v="0"/>
    <n v="0"/>
    <n v="0"/>
    <m/>
    <n v="0"/>
    <n v="0"/>
    <n v="0"/>
    <n v="0"/>
    <n v="0"/>
    <n v="209.74367995059222"/>
    <n v="0"/>
    <n v="0"/>
    <n v="0"/>
    <n v="0"/>
    <n v="0"/>
    <m/>
    <m/>
    <m/>
    <m/>
    <m/>
    <m/>
    <m/>
    <m/>
    <m/>
    <n v="5339.0537567220681"/>
    <m/>
    <m/>
    <m/>
    <m/>
    <m/>
    <m/>
    <m/>
    <m/>
    <m/>
    <m/>
    <m/>
    <m/>
    <n v="45722.076399999998"/>
    <n v="-13518.178400000004"/>
    <m/>
    <m/>
    <m/>
    <m/>
    <n v="-13755.054899999997"/>
    <n v="234.62267999999938"/>
    <n v="30"/>
    <n v="393.597920741091"/>
    <n v="60.709923337402415"/>
    <n v="322.92483588891446"/>
    <n v="0"/>
    <n v="0"/>
    <n v="0"/>
    <n v="0"/>
    <n v="0"/>
    <n v="0"/>
    <n v="0"/>
    <n v="0"/>
    <n v="234.60002880358752"/>
    <n v="0"/>
    <n v="0"/>
    <n v="0"/>
    <n v="9.5930783324268702"/>
    <n v="0"/>
    <n v="-201.70078524627024"/>
    <m/>
    <n v="0"/>
    <n v="0"/>
    <n v="0"/>
    <n v="0"/>
    <n v="-30.222989852434182"/>
    <n v="-2.3061705225364086"/>
    <n v="0"/>
    <n v="0"/>
    <m/>
    <m/>
    <m/>
    <n v="45000.495133643788"/>
    <n v="0"/>
    <n v="0"/>
    <n v="-13755.054899999996"/>
    <n v="234.62267999999949"/>
    <n v="0"/>
    <n v="0"/>
    <n v="-13914.19471686894"/>
    <n v="0"/>
    <n v="0"/>
    <n v="0"/>
    <n v="0"/>
    <n v="0"/>
    <n v="0"/>
    <n v="0"/>
    <n v="0"/>
    <n v="0"/>
    <n v="0"/>
    <n v="0"/>
    <n v="0"/>
    <n v="1114.606187602126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2"/>
    <s v="Regular"/>
    <s v="Verde"/>
    <s v="A4"/>
    <s v="Comercial"/>
    <s v="Não se aplica"/>
    <s v="Não se aplica"/>
    <s v="Não se aplica"/>
    <s v="Fora ponta"/>
    <s v="CATIVO"/>
    <x v="2"/>
    <n v="0"/>
    <n v="0"/>
    <n v="443.66300000000001"/>
    <n v="443.66300000000001"/>
    <n v="443.66300000000001"/>
    <n v="443.66300000000001"/>
    <m/>
    <n v="96.28"/>
    <n v="128.11000000000001"/>
    <m/>
    <n v="99553.540570000012"/>
    <n v="99553.540570000012"/>
    <n v="99664.456319999998"/>
    <n v="0"/>
    <n v="23628.588033369975"/>
    <n v="0"/>
    <n v="0"/>
    <n v="0"/>
    <n v="0"/>
    <n v="0"/>
    <n v="56838.131190135966"/>
    <n v="0"/>
    <n v="0"/>
    <n v="0"/>
    <n v="0"/>
    <n v="0"/>
    <n v="4194.3236358500653"/>
    <m/>
    <n v="218.10502037535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24.1797861511463"/>
    <n v="0"/>
    <n v="0"/>
    <n v="0"/>
    <n v="0"/>
    <n v="0"/>
    <m/>
    <m/>
    <m/>
    <m/>
    <m/>
    <m/>
    <m/>
    <m/>
    <m/>
    <n v="59162.31097628711"/>
    <m/>
    <m/>
    <m/>
    <m/>
    <m/>
    <m/>
    <m/>
    <m/>
    <m/>
    <m/>
    <m/>
    <m/>
    <n v="99663.782399999996"/>
    <n v="110.21183000000019"/>
    <m/>
    <m/>
    <m/>
    <m/>
    <n v="-2488.9494299999997"/>
    <n v="2599.8651799999934"/>
    <n v="30"/>
    <n v="110.40227102075005"/>
    <n v="0"/>
    <n v="0"/>
    <n v="0"/>
    <n v="0"/>
    <n v="0"/>
    <n v="0"/>
    <n v="0"/>
    <n v="0"/>
    <n v="0"/>
    <n v="0"/>
    <n v="2599.6141810051922"/>
    <n v="0"/>
    <n v="0"/>
    <n v="0"/>
    <n v="106.30136151155193"/>
    <n v="0"/>
    <n v="-2235.0560838382553"/>
    <m/>
    <n v="0"/>
    <n v="0"/>
    <n v="0"/>
    <n v="0"/>
    <n v="-334.90240139119032"/>
    <n v="-25.554786266548575"/>
    <n v="0"/>
    <n v="0"/>
    <m/>
    <m/>
    <m/>
    <n v="0"/>
    <n v="0"/>
    <n v="0"/>
    <n v="-2488.9494299999933"/>
    <n v="2599.8651799999934"/>
    <n v="0"/>
    <n v="0"/>
    <n v="0"/>
    <n v="0"/>
    <n v="0"/>
    <n v="0"/>
    <n v="0"/>
    <n v="0"/>
    <n v="0"/>
    <n v="0"/>
    <n v="0"/>
    <n v="0"/>
    <n v="0"/>
    <n v="0"/>
    <n v="0"/>
    <n v="12351.00467081577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3"/>
    <s v="Regular"/>
    <s v="Verde"/>
    <s v="A4"/>
    <s v="Comercial"/>
    <s v="Não se aplica"/>
    <s v="Não se aplica"/>
    <s v="Não se aplica"/>
    <s v="Não se aplica"/>
    <s v="CATIVO"/>
    <x v="2"/>
    <n v="1693"/>
    <n v="1693"/>
    <n v="0"/>
    <n v="0"/>
    <n v="0"/>
    <n v="0"/>
    <n v="18.12"/>
    <m/>
    <m/>
    <n v="30677.160000000003"/>
    <m/>
    <n v="30677.160000000003"/>
    <n v="24463.85"/>
    <n v="0"/>
    <n v="0"/>
    <n v="0"/>
    <n v="0"/>
    <n v="0"/>
    <n v="0"/>
    <n v="22108.782572351822"/>
    <m/>
    <m/>
    <m/>
    <n v="0"/>
    <n v="0"/>
    <n v="0"/>
    <n v="0"/>
    <m/>
    <n v="0"/>
    <n v="1345.7156074651693"/>
    <n v="7214.416520465762"/>
    <n v="0"/>
    <n v="0"/>
    <m/>
    <m/>
    <n v="0"/>
    <n v="0"/>
    <n v="0"/>
    <m/>
    <m/>
    <n v="0"/>
    <m/>
    <n v="0"/>
    <n v="0"/>
    <n v="0"/>
    <n v="0"/>
    <m/>
    <n v="0"/>
    <n v="0"/>
    <n v="0"/>
    <n v="0"/>
    <n v="77782.539999999994"/>
    <n v="17"/>
    <m/>
    <m/>
    <m/>
    <m/>
    <m/>
    <m/>
    <m/>
    <m/>
    <m/>
    <n v="0"/>
    <m/>
    <m/>
    <m/>
    <m/>
    <m/>
    <m/>
    <m/>
    <m/>
    <m/>
    <m/>
    <m/>
    <m/>
    <n v="24463.85"/>
    <n v="-6213.34"/>
    <m/>
    <m/>
    <m/>
    <m/>
    <n v="-6213.3100000000031"/>
    <n v="0"/>
    <n v="30"/>
    <n v="624.85377957768287"/>
    <n v="98.231600984005809"/>
    <n v="526.62217859367684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108.782572351822"/>
    <m/>
    <n v="0"/>
    <n v="0"/>
    <n v="-6213.3100000000049"/>
    <m/>
    <n v="0"/>
    <m/>
    <n v="-6836.0560200732798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14"/>
    <s v="Regular"/>
    <s v="Convencional"/>
    <s v="B2"/>
    <s v="Rural"/>
    <s v="Não se aplica"/>
    <s v="Não se aplica"/>
    <s v="Não se aplica"/>
    <s v="Não se aplica"/>
    <s v="CATIVO"/>
    <x v="2"/>
    <n v="0"/>
    <n v="0"/>
    <n v="1227.769"/>
    <n v="1227.769"/>
    <n v="1227.769"/>
    <n v="1227.769"/>
    <m/>
    <n v="333.61"/>
    <n v="128.11000000000001"/>
    <m/>
    <n v="566885.50268000003"/>
    <n v="566885.50268000003"/>
    <n v="494827.74007000006"/>
    <n v="0"/>
    <n v="75159.169042959271"/>
    <n v="0"/>
    <n v="0"/>
    <n v="0"/>
    <n v="0"/>
    <n v="238796.40284678715"/>
    <n v="157290.7713584005"/>
    <n v="0"/>
    <n v="0"/>
    <n v="0"/>
    <n v="0"/>
    <n v="0"/>
    <n v="11607.144467904691"/>
    <m/>
    <n v="1056.3575992862784"/>
    <n v="4267.7498061567421"/>
    <n v="22766.073145597118"/>
    <n v="0"/>
    <n v="0"/>
    <n v="0"/>
    <n v="0"/>
    <n v="0"/>
    <n v="0"/>
    <n v="0"/>
    <n v="0"/>
    <n v="0"/>
    <n v="0"/>
    <m/>
    <n v="0"/>
    <n v="0"/>
    <n v="0"/>
    <n v="0"/>
    <n v="0"/>
    <n v="16658.825094131767"/>
    <n v="0"/>
    <n v="0"/>
    <n v="0"/>
    <n v="133551.65"/>
    <n v="2374"/>
    <m/>
    <m/>
    <m/>
    <m/>
    <m/>
    <n v="59387.186529999992"/>
    <m/>
    <m/>
    <m/>
    <n v="173949.59645253228"/>
    <m/>
    <m/>
    <m/>
    <m/>
    <m/>
    <m/>
    <m/>
    <m/>
    <m/>
    <m/>
    <m/>
    <m/>
    <n v="435440.90820000001"/>
    <n v="-63426.221880000026"/>
    <m/>
    <m/>
    <m/>
    <m/>
    <n v="-79252.488950000014"/>
    <n v="7194.726339999982"/>
    <n v="30"/>
    <n v="1769.3586492746253"/>
    <n v="311.5278545722158"/>
    <n v="1661.8279529533174"/>
    <n v="0"/>
    <n v="0"/>
    <n v="0"/>
    <n v="0"/>
    <n v="0"/>
    <n v="0"/>
    <n v="0"/>
    <n v="0"/>
    <n v="7194.0317389518023"/>
    <n v="0"/>
    <n v="0"/>
    <n v="0"/>
    <n v="761.92719652784217"/>
    <n v="0"/>
    <n v="-7109.3946785330918"/>
    <m/>
    <n v="0"/>
    <n v="0"/>
    <n v="0"/>
    <n v="0"/>
    <n v="-926.79079944385921"/>
    <n v="-123.77061575358528"/>
    <n v="0"/>
    <n v="0"/>
    <m/>
    <m/>
    <m/>
    <n v="238796.40284678715"/>
    <n v="0"/>
    <n v="0"/>
    <n v="-79252.48894999997"/>
    <n v="7194.7263399999938"/>
    <n v="0"/>
    <n v="0"/>
    <n v="-73836.068626142049"/>
    <n v="0"/>
    <n v="0"/>
    <n v="0"/>
    <n v="0"/>
    <n v="0"/>
    <n v="0"/>
    <n v="0"/>
    <n v="0"/>
    <n v="0"/>
    <n v="0"/>
    <n v="0"/>
    <n v="0"/>
    <n v="39286.7845760916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5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27.45"/>
    <n v="27.45"/>
    <n v="27.45"/>
    <n v="27.45"/>
    <m/>
    <n v="333.61"/>
    <n v="128.11000000000001"/>
    <m/>
    <n v="12674.214"/>
    <n v="12674.214"/>
    <n v="11063.173500000001"/>
    <n v="0"/>
    <n v="1680.3805848080804"/>
    <n v="0"/>
    <n v="0"/>
    <n v="0"/>
    <n v="0"/>
    <n v="5338.9206423556116"/>
    <n v="3516.648224371273"/>
    <n v="0"/>
    <n v="0"/>
    <n v="0"/>
    <n v="0"/>
    <n v="0"/>
    <n v="259.50819384101061"/>
    <m/>
    <n v="23.617648026956491"/>
    <n v="95.416753623037039"/>
    <n v="508.99534671965239"/>
    <n v="0"/>
    <n v="0"/>
    <n v="0"/>
    <n v="0"/>
    <n v="0"/>
    <n v="0"/>
    <n v="0"/>
    <n v="0"/>
    <n v="0"/>
    <n v="0"/>
    <m/>
    <n v="0"/>
    <n v="0"/>
    <n v="0"/>
    <n v="0"/>
    <n v="0"/>
    <n v="372.45177947473593"/>
    <n v="0"/>
    <n v="0"/>
    <n v="0"/>
    <n v="6782.68"/>
    <n v="17"/>
    <m/>
    <m/>
    <m/>
    <m/>
    <m/>
    <n v="1327.7564999999997"/>
    <m/>
    <m/>
    <m/>
    <n v="3889.1000038460088"/>
    <m/>
    <m/>
    <m/>
    <m/>
    <m/>
    <m/>
    <m/>
    <m/>
    <m/>
    <m/>
    <m/>
    <m/>
    <n v="9735.4170000000013"/>
    <n v="-1418.0969999999998"/>
    <m/>
    <m/>
    <m/>
    <m/>
    <n v="-1771.8975000000003"/>
    <n v="160.8569999999996"/>
    <n v="30"/>
    <n v="39.558658772606577"/>
    <n v="6.9650232315747758"/>
    <n v="37.154527690932582"/>
    <n v="0"/>
    <n v="0"/>
    <n v="0"/>
    <n v="0"/>
    <n v="0"/>
    <n v="0"/>
    <n v="0"/>
    <n v="0"/>
    <n v="160.84147036961076"/>
    <n v="0"/>
    <n v="0"/>
    <n v="0"/>
    <n v="17.034883226966315"/>
    <n v="0"/>
    <n v="-158.94918663505382"/>
    <m/>
    <n v="0"/>
    <n v="0"/>
    <n v="0"/>
    <n v="0"/>
    <n v="-20.720841986345903"/>
    <n v="-2.7672171250747652"/>
    <n v="0"/>
    <n v="0"/>
    <m/>
    <m/>
    <m/>
    <n v="5338.9206423556116"/>
    <n v="0"/>
    <n v="0"/>
    <n v="-1771.8974999999991"/>
    <n v="160.85699999999952"/>
    <n v="0"/>
    <n v="0"/>
    <n v="-1650.7992006538675"/>
    <n v="0"/>
    <n v="0"/>
    <n v="0"/>
    <n v="0"/>
    <n v="0"/>
    <n v="0"/>
    <n v="0"/>
    <n v="0"/>
    <n v="0"/>
    <n v="0"/>
    <n v="0"/>
    <n v="0"/>
    <n v="878.359232570391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6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83.25700000000001"/>
    <n v="183.25700000000001"/>
    <n v="183.25700000000001"/>
    <n v="183.25700000000001"/>
    <m/>
    <n v="333.61"/>
    <n v="128.11000000000001"/>
    <m/>
    <n v="84613.422040000005"/>
    <n v="84613.422040000005"/>
    <n v="73858.068710000007"/>
    <n v="0"/>
    <n v="11218.269757019103"/>
    <n v="0"/>
    <n v="0"/>
    <n v="0"/>
    <n v="0"/>
    <n v="35642.789805324675"/>
    <n v="23477.246034739761"/>
    <n v="0"/>
    <n v="0"/>
    <n v="0"/>
    <n v="0"/>
    <n v="0"/>
    <n v="1732.4842651629174"/>
    <m/>
    <n v="157.67210653828656"/>
    <n v="637.00502800353001"/>
    <n v="3398.0677688088649"/>
    <n v="0"/>
    <n v="0"/>
    <n v="0"/>
    <n v="0"/>
    <n v="0"/>
    <n v="0"/>
    <n v="0"/>
    <n v="0"/>
    <n v="0"/>
    <n v="0"/>
    <m/>
    <n v="0"/>
    <n v="0"/>
    <n v="0"/>
    <n v="0"/>
    <n v="0"/>
    <n v="2486.4989344700066"/>
    <n v="0"/>
    <n v="0"/>
    <n v="0"/>
    <n v="28244.33"/>
    <n v="210"/>
    <m/>
    <m/>
    <m/>
    <m/>
    <m/>
    <m/>
    <m/>
    <m/>
    <m/>
    <n v="25963.744969209769"/>
    <m/>
    <m/>
    <m/>
    <m/>
    <m/>
    <m/>
    <m/>
    <m/>
    <m/>
    <m/>
    <m/>
    <m/>
    <n v="73859.277799999996"/>
    <n v="-10754.174240000008"/>
    <m/>
    <m/>
    <m/>
    <m/>
    <n v="-11829.239350000002"/>
    <n v="1073.8860199999974"/>
    <n v="30"/>
    <n v="264.09475885946449"/>
    <n v="46.49869808191977"/>
    <n v="248.04470969243084"/>
    <n v="0"/>
    <n v="0"/>
    <n v="0"/>
    <n v="0"/>
    <n v="0"/>
    <n v="0"/>
    <n v="0"/>
    <n v="0"/>
    <n v="1073.7823437349252"/>
    <n v="0"/>
    <n v="0"/>
    <n v="0"/>
    <n v="113.72537688612647"/>
    <n v="0"/>
    <n v="-1061.1494023744999"/>
    <m/>
    <n v="0"/>
    <n v="0"/>
    <n v="0"/>
    <n v="0"/>
    <n v="-138.33294498695045"/>
    <n v="-18.474022174492774"/>
    <n v="0"/>
    <n v="0"/>
    <m/>
    <m/>
    <m/>
    <n v="35642.789805324675"/>
    <n v="0"/>
    <n v="0"/>
    <n v="-11829.239350000003"/>
    <n v="1073.8860199999981"/>
    <n v="0"/>
    <n v="0"/>
    <n v="-11020.783574288736"/>
    <n v="0"/>
    <n v="0"/>
    <n v="0"/>
    <n v="0"/>
    <n v="0"/>
    <n v="0"/>
    <n v="0"/>
    <n v="0"/>
    <n v="0"/>
    <n v="0"/>
    <n v="0"/>
    <n v="0"/>
    <n v="5863.951835451813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7"/>
    <s v="Regular"/>
    <s v="Verde"/>
    <s v="A4"/>
    <s v="Poder público"/>
    <s v="Não se aplica"/>
    <s v="Não se aplica"/>
    <s v="Não se aplica"/>
    <s v="Ponta"/>
    <s v="CATIVO"/>
    <x v="2"/>
    <n v="0"/>
    <n v="0"/>
    <n v="2.0019999999999998"/>
    <n v="2.0019999999999998"/>
    <n v="2.0019999999999998"/>
    <n v="2.0019999999999998"/>
    <m/>
    <n v="1351.49"/>
    <n v="128.11000000000001"/>
    <m/>
    <n v="2962.1591999999996"/>
    <n v="2962.1591999999996"/>
    <n v="2286.1038199999998"/>
    <n v="0"/>
    <n v="106.62244370796458"/>
    <n v="0"/>
    <n v="0"/>
    <n v="0"/>
    <n v="0"/>
    <n v="2250.1371511452835"/>
    <n v="256.47831494321633"/>
    <n v="0"/>
    <n v="0"/>
    <n v="0"/>
    <n v="0"/>
    <n v="0"/>
    <n v="18.926608527129442"/>
    <m/>
    <n v="0.98418450668965218"/>
    <n v="41.586603283622196"/>
    <n v="221.20513916490387"/>
    <n v="0"/>
    <n v="0"/>
    <n v="0"/>
    <n v="0"/>
    <n v="0"/>
    <n v="0"/>
    <n v="0"/>
    <n v="0"/>
    <n v="0"/>
    <n v="0"/>
    <m/>
    <n v="0"/>
    <n v="0"/>
    <n v="0"/>
    <n v="0"/>
    <n v="0"/>
    <n v="10.487707859061032"/>
    <n v="0"/>
    <n v="0"/>
    <n v="0"/>
    <n v="0"/>
    <n v="0"/>
    <m/>
    <m/>
    <m/>
    <m/>
    <m/>
    <m/>
    <m/>
    <m/>
    <m/>
    <n v="266.96602280227739"/>
    <m/>
    <m/>
    <m/>
    <m/>
    <m/>
    <m/>
    <m/>
    <m/>
    <m/>
    <m/>
    <m/>
    <m/>
    <n v="2283.8200000000002"/>
    <n v="-678.36920000000009"/>
    <m/>
    <m/>
    <m/>
    <m/>
    <n v="-687.78709999999978"/>
    <n v="11.731719999999969"/>
    <n v="30"/>
    <n v="19.680879097948491"/>
    <n v="3.0356477976292382"/>
    <n v="16.1470483403169"/>
    <n v="0"/>
    <n v="0"/>
    <n v="0"/>
    <n v="0"/>
    <n v="0"/>
    <n v="0"/>
    <n v="0"/>
    <n v="0"/>
    <n v="11.730587383605098"/>
    <n v="0"/>
    <n v="0"/>
    <n v="0"/>
    <n v="0.47967787655523608"/>
    <n v="0"/>
    <n v="-10.085543035691927"/>
    <m/>
    <n v="0"/>
    <n v="0"/>
    <n v="0"/>
    <n v="0"/>
    <n v="-1.5112249783848632"/>
    <n v="-0.11531428608117023"/>
    <n v="0"/>
    <n v="0"/>
    <m/>
    <m/>
    <m/>
    <n v="2250.1371511452835"/>
    <n v="0"/>
    <n v="0"/>
    <n v="-687.78709999999978"/>
    <n v="11.731719999999939"/>
    <n v="0"/>
    <n v="0"/>
    <n v="-695.74448831539075"/>
    <n v="0"/>
    <n v="0"/>
    <n v="0"/>
    <n v="0"/>
    <n v="0"/>
    <n v="0"/>
    <n v="0"/>
    <n v="0"/>
    <n v="0"/>
    <n v="0"/>
    <n v="0"/>
    <n v="0"/>
    <n v="55.73309325089805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8"/>
    <s v="Regular"/>
    <s v="Verde"/>
    <s v="A4"/>
    <s v="Poder público"/>
    <s v="Não se aplica"/>
    <s v="Não se aplica"/>
    <s v="Não se aplica"/>
    <s v="Fora ponta"/>
    <s v="CATIVO"/>
    <x v="2"/>
    <n v="0"/>
    <n v="0"/>
    <n v="22.597000000000001"/>
    <n v="22.597000000000001"/>
    <n v="22.597000000000001"/>
    <n v="22.597000000000001"/>
    <m/>
    <n v="96.28"/>
    <n v="128.11000000000001"/>
    <m/>
    <n v="5070.5408300000008"/>
    <n v="5070.5408300000008"/>
    <n v="5076.1900800000003"/>
    <n v="0"/>
    <n v="1203.4702100244135"/>
    <n v="0"/>
    <n v="0"/>
    <n v="0"/>
    <n v="0"/>
    <n v="0"/>
    <n v="2894.9253160698604"/>
    <n v="0"/>
    <n v="0"/>
    <n v="0"/>
    <n v="0"/>
    <n v="0"/>
    <n v="213.62865778598606"/>
    <m/>
    <n v="11.1086999488841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.37699025534575"/>
    <n v="0"/>
    <n v="0"/>
    <n v="0"/>
    <n v="0"/>
    <n v="0"/>
    <m/>
    <m/>
    <m/>
    <m/>
    <m/>
    <m/>
    <m/>
    <m/>
    <m/>
    <n v="3013.3023063252062"/>
    <m/>
    <m/>
    <m/>
    <m/>
    <m/>
    <m/>
    <m/>
    <m/>
    <m/>
    <m/>
    <m/>
    <m/>
    <n v="5076.8640000000005"/>
    <n v="6.2931699999990087"/>
    <m/>
    <m/>
    <m/>
    <m/>
    <n v="-126.76916999999999"/>
    <n v="132.41841999999968"/>
    <n v="30"/>
    <n v="5.6230970765091115"/>
    <n v="0"/>
    <n v="0"/>
    <n v="0"/>
    <n v="0"/>
    <n v="0"/>
    <n v="0"/>
    <n v="0"/>
    <n v="0"/>
    <n v="0"/>
    <n v="0"/>
    <n v="132.4056359177448"/>
    <n v="0"/>
    <n v="0"/>
    <n v="0"/>
    <n v="5.4142262619973565"/>
    <n v="0"/>
    <n v="-113.83767031844673"/>
    <m/>
    <n v="0"/>
    <n v="0"/>
    <n v="0"/>
    <n v="0"/>
    <n v="-17.057517900380986"/>
    <n v="-1.3015768844036995"/>
    <n v="0"/>
    <n v="0"/>
    <m/>
    <m/>
    <m/>
    <n v="0"/>
    <n v="0"/>
    <n v="0"/>
    <n v="-126.76917000000003"/>
    <n v="132.41841999999951"/>
    <n v="0"/>
    <n v="0"/>
    <n v="0"/>
    <n v="0"/>
    <n v="0"/>
    <n v="0"/>
    <n v="0"/>
    <n v="0"/>
    <n v="0"/>
    <n v="0"/>
    <n v="0"/>
    <n v="0"/>
    <n v="0"/>
    <n v="0"/>
    <n v="0"/>
    <n v="629.0712828124593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19"/>
    <s v="Regular"/>
    <s v="Verde"/>
    <s v="A4"/>
    <s v="Poder público"/>
    <s v="Não se aplica"/>
    <s v="Não se aplica"/>
    <s v="Não se aplica"/>
    <s v="Não se aplica"/>
    <s v="CATIVO"/>
    <x v="2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97.34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0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20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736.83299999999997"/>
    <n v="736.83299999999997"/>
    <n v="736.83299999999997"/>
    <n v="736.83299999999997"/>
    <m/>
    <n v="183.49"/>
    <n v="70.459999999999994"/>
    <m/>
    <n v="187118.74035000001"/>
    <n v="187118.74035000001"/>
    <n v="163326.40278"/>
    <n v="0"/>
    <n v="24808.303355017884"/>
    <n v="0"/>
    <n v="0"/>
    <n v="0"/>
    <n v="0"/>
    <n v="78821.169490632266"/>
    <n v="51918.045668833962"/>
    <n v="0"/>
    <n v="0"/>
    <n v="0"/>
    <n v="0"/>
    <n v="0"/>
    <n v="3831.2499288105378"/>
    <m/>
    <n v="348.67921117506495"/>
    <n v="1408.6855028152218"/>
    <n v="7514.5541919932411"/>
    <n v="0"/>
    <n v="0"/>
    <n v="0"/>
    <n v="0"/>
    <n v="0"/>
    <n v="0"/>
    <n v="0"/>
    <n v="0"/>
    <n v="0"/>
    <n v="0"/>
    <m/>
    <n v="0"/>
    <n v="0"/>
    <n v="0"/>
    <n v="0"/>
    <n v="0"/>
    <n v="5498.6928639030575"/>
    <n v="0"/>
    <n v="0"/>
    <n v="0"/>
    <n v="89318.78"/>
    <n v="13"/>
    <m/>
    <m/>
    <m/>
    <m/>
    <m/>
    <m/>
    <m/>
    <m/>
    <m/>
    <n v="57416.738532737021"/>
    <m/>
    <m/>
    <m/>
    <m/>
    <m/>
    <m/>
    <m/>
    <m/>
    <m/>
    <m/>
    <m/>
    <m/>
    <n v="163325.7378"/>
    <n v="-23793.032550000033"/>
    <m/>
    <m/>
    <m/>
    <m/>
    <n v="-26164.939830000014"/>
    <n v="2372.6022600000097"/>
    <n v="30"/>
    <n v="584.02436687311274"/>
    <n v="102.82813950947275"/>
    <n v="548.53097108021484"/>
    <n v="0"/>
    <n v="0"/>
    <n v="0"/>
    <n v="0"/>
    <n v="0"/>
    <n v="0"/>
    <n v="0"/>
    <n v="0"/>
    <n v="2374.583487259195"/>
    <n v="0"/>
    <n v="0"/>
    <n v="0"/>
    <n v="251.49454506475195"/>
    <n v="0"/>
    <n v="-2346.646751174052"/>
    <m/>
    <n v="0"/>
    <n v="0"/>
    <n v="0"/>
    <n v="0"/>
    <n v="-305.91220727973314"/>
    <n v="-40.853817586743787"/>
    <n v="0"/>
    <n v="0"/>
    <m/>
    <m/>
    <m/>
    <n v="78821.169490632266"/>
    <n v="0"/>
    <n v="0"/>
    <n v="-26164.939830000018"/>
    <n v="2372.6022600000069"/>
    <n v="0"/>
    <n v="0"/>
    <n v="-24371.578509233877"/>
    <n v="0"/>
    <n v="0"/>
    <n v="0"/>
    <n v="0"/>
    <n v="0"/>
    <n v="0"/>
    <n v="0"/>
    <n v="0"/>
    <n v="0"/>
    <n v="0"/>
    <n v="0"/>
    <n v="0"/>
    <n v="12967.65892994161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1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74.158000000000001"/>
    <n v="69.708519999999993"/>
    <n v="74.158000000000001"/>
    <n v="69.708519999999993"/>
    <m/>
    <n v="333.61"/>
    <n v="128.11000000000001"/>
    <m/>
    <n v="34240.231760000002"/>
    <n v="34240.231760000002"/>
    <n v="29887.898740000001"/>
    <n v="0"/>
    <n v="4539.6598691510981"/>
    <n v="0"/>
    <n v="0"/>
    <n v="0"/>
    <n v="0"/>
    <n v="14423.449070885517"/>
    <n v="9500.4589807987213"/>
    <n v="0"/>
    <n v="0"/>
    <n v="0"/>
    <n v="0"/>
    <n v="0"/>
    <n v="701.07863893849424"/>
    <m/>
    <n v="63.804646352751895"/>
    <n v="257.77470364944196"/>
    <n v="1375.0847694730778"/>
    <n v="0"/>
    <n v="0"/>
    <n v="0"/>
    <n v="0"/>
    <n v="0"/>
    <n v="0"/>
    <n v="0"/>
    <n v="0"/>
    <n v="0"/>
    <n v="0"/>
    <m/>
    <n v="0"/>
    <n v="0"/>
    <n v="0"/>
    <n v="0"/>
    <n v="0"/>
    <n v="1006.2032445277765"/>
    <n v="0"/>
    <n v="0"/>
    <n v="0"/>
    <n v="12874.79"/>
    <n v="28"/>
    <m/>
    <m/>
    <m/>
    <m/>
    <n v="1793.2739244000031"/>
    <m/>
    <m/>
    <m/>
    <m/>
    <n v="10506.662225326498"/>
    <m/>
    <m/>
    <m/>
    <m/>
    <m/>
    <m/>
    <m/>
    <m/>
    <m/>
    <m/>
    <m/>
    <m/>
    <n v="28095.221299999997"/>
    <n v="-4090.6265543999943"/>
    <m/>
    <m/>
    <m/>
    <m/>
    <n v="-4786.898900000001"/>
    <n v="434.56587999999891"/>
    <n v="30"/>
    <n v="106.87034671253787"/>
    <n v="18.816473326306777"/>
    <n v="100.37542675789336"/>
    <n v="0"/>
    <n v="0"/>
    <n v="0"/>
    <n v="0"/>
    <n v="0"/>
    <n v="0"/>
    <n v="0"/>
    <n v="0"/>
    <n v="434.52392567102288"/>
    <n v="0"/>
    <n v="0"/>
    <n v="0"/>
    <n v="46.020869593638395"/>
    <n v="0"/>
    <n v="-429.41179535454739"/>
    <m/>
    <n v="0"/>
    <n v="0"/>
    <n v="0"/>
    <n v="0"/>
    <n v="-55.978732241291027"/>
    <n v="-7.4758210404843126"/>
    <n v="0"/>
    <n v="0"/>
    <m/>
    <m/>
    <m/>
    <n v="14423.449070885517"/>
    <n v="0"/>
    <n v="0"/>
    <n v="-4786.8989000000001"/>
    <n v="434.56588000000011"/>
    <n v="0"/>
    <n v="0"/>
    <n v="-4459.7437931544446"/>
    <n v="0"/>
    <n v="0"/>
    <n v="0"/>
    <n v="0"/>
    <n v="0"/>
    <n v="0"/>
    <n v="0"/>
    <n v="0"/>
    <n v="0"/>
    <n v="0"/>
    <n v="0"/>
    <n v="0"/>
    <n v="2372.94586407851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2"/>
    <s v="Regular"/>
    <s v="Azul"/>
    <s v="A4"/>
    <s v="Serviço público"/>
    <s v="Água, esgoto e saneamento"/>
    <s v="Não se aplica"/>
    <s v="Não se aplica"/>
    <s v="Ponta"/>
    <s v="CATIVO"/>
    <x v="2"/>
    <n v="401"/>
    <n v="376.94"/>
    <n v="18.024000000000001"/>
    <n v="16.94256"/>
    <n v="18.024000000000001"/>
    <n v="16.94256"/>
    <n v="52.19"/>
    <n v="96.28"/>
    <n v="128.11000000000001"/>
    <n v="20928.189999999999"/>
    <n v="4044.4053600000007"/>
    <n v="24972.595359999999"/>
    <n v="19343.051359999998"/>
    <n v="0"/>
    <n v="959.92154115502183"/>
    <n v="0"/>
    <n v="0"/>
    <n v="0"/>
    <n v="0"/>
    <n v="18740.192257963507"/>
    <n v="2309.0735007674984"/>
    <n v="0"/>
    <n v="0"/>
    <n v="0"/>
    <n v="0"/>
    <n v="0"/>
    <n v="170.39619984664392"/>
    <m/>
    <n v="8.8606101641230239"/>
    <n v="346.3154834929698"/>
    <n v="1842.3079101552369"/>
    <n v="0"/>
    <n v="0"/>
    <n v="0"/>
    <n v="0"/>
    <n v="0"/>
    <n v="0"/>
    <n v="0"/>
    <n v="0"/>
    <n v="0"/>
    <n v="0"/>
    <m/>
    <n v="0"/>
    <n v="0"/>
    <n v="0"/>
    <n v="0"/>
    <n v="0"/>
    <n v="94.420802423434608"/>
    <n v="0"/>
    <n v="0"/>
    <n v="0"/>
    <n v="0"/>
    <n v="0"/>
    <m/>
    <m/>
    <m/>
    <m/>
    <n v="1160.5830816000002"/>
    <m/>
    <m/>
    <m/>
    <m/>
    <n v="2403.4943031909329"/>
    <m/>
    <m/>
    <m/>
    <m/>
    <m/>
    <m/>
    <m/>
    <m/>
    <m/>
    <m/>
    <m/>
    <m/>
    <n v="18181.893199999999"/>
    <n v="-5292.3764383999987"/>
    <m/>
    <m/>
    <m/>
    <m/>
    <n v="-5735.1646399999991"/>
    <n v="105.62063999999974"/>
    <n v="30"/>
    <n v="164.24547740499838"/>
    <n v="25.279579281349299"/>
    <n v="134.48075842780327"/>
    <n v="0"/>
    <n v="0"/>
    <n v="0"/>
    <n v="0"/>
    <n v="0"/>
    <n v="0"/>
    <n v="0"/>
    <n v="0"/>
    <n v="105.61044305799123"/>
    <n v="0"/>
    <n v="0"/>
    <n v="0"/>
    <n v="4.3185384850307571"/>
    <n v="0"/>
    <n v="-90.800113723931645"/>
    <m/>
    <n v="0"/>
    <n v="0"/>
    <n v="0"/>
    <n v="0"/>
    <n v="-13.605553951253142"/>
    <n v="-1.038174171991515"/>
    <n v="0"/>
    <n v="0"/>
    <m/>
    <m/>
    <n v="18740.192257963507"/>
    <n v="0"/>
    <n v="0"/>
    <n v="0"/>
    <n v="-5735.1646399999991"/>
    <n v="105.62063999999964"/>
    <n v="0"/>
    <n v="0"/>
    <n v="-5794.4847792111595"/>
    <n v="0"/>
    <n v="0"/>
    <n v="0"/>
    <n v="0"/>
    <n v="0"/>
    <n v="0"/>
    <n v="0"/>
    <n v="0"/>
    <n v="0"/>
    <n v="0"/>
    <n v="0"/>
    <n v="0"/>
    <n v="501.7648715055877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3"/>
    <s v="Regular"/>
    <s v="Azul"/>
    <s v="A4"/>
    <s v="Serviço público"/>
    <s v="Água, esgoto e saneamento"/>
    <s v="Não se aplica"/>
    <s v="Não se aplica"/>
    <s v="Fora ponta"/>
    <s v="CATIVO"/>
    <x v="2"/>
    <n v="447"/>
    <n v="420.18"/>
    <n v="146.18100000000001"/>
    <n v="137.41014000000001"/>
    <n v="146.18100000000001"/>
    <n v="137.41014000000001"/>
    <n v="18.12"/>
    <n v="96.28"/>
    <n v="128.11000000000001"/>
    <n v="8099.64"/>
    <n v="32801.55459"/>
    <n v="40901.194589999999"/>
    <n v="39297.249840000004"/>
    <n v="0"/>
    <n v="7785.3024194175687"/>
    <n v="0"/>
    <n v="0"/>
    <n v="0"/>
    <n v="0"/>
    <n v="5837.3454281401446"/>
    <n v="18727.400877479675"/>
    <n v="0"/>
    <n v="0"/>
    <n v="0"/>
    <n v="0"/>
    <n v="0"/>
    <n v="1381.9733072449098"/>
    <m/>
    <n v="71.862675011188841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765.78602524745304"/>
    <n v="0"/>
    <n v="0"/>
    <n v="0"/>
    <n v="0"/>
    <n v="0"/>
    <m/>
    <m/>
    <m/>
    <m/>
    <n v="2357.8349903999997"/>
    <m/>
    <m/>
    <m/>
    <m/>
    <n v="19493.186902727128"/>
    <m/>
    <m/>
    <m/>
    <m/>
    <m/>
    <m/>
    <m/>
    <m/>
    <m/>
    <m/>
    <m/>
    <m/>
    <n v="36939.383399999999"/>
    <n v="-1507.7695146000042"/>
    <m/>
    <m/>
    <m/>
    <m/>
    <n v="-2460.5654100000006"/>
    <n v="856.62065999999788"/>
    <n v="30"/>
    <n v="201.35517925897875"/>
    <n v="25.935927725842078"/>
    <n v="139.04318596064581"/>
    <n v="0"/>
    <n v="0"/>
    <n v="0"/>
    <n v="0"/>
    <n v="0"/>
    <n v="0"/>
    <n v="0"/>
    <n v="0"/>
    <n v="856.53795920218909"/>
    <n v="0"/>
    <n v="0"/>
    <n v="0"/>
    <n v="35.024870965395166"/>
    <n v="0"/>
    <n v="-736.42096228795253"/>
    <m/>
    <n v="0"/>
    <n v="0"/>
    <n v="0"/>
    <n v="0"/>
    <n v="-110.3458434391996"/>
    <n v="-8.4199588679478197"/>
    <n v="0"/>
    <n v="0"/>
    <m/>
    <m/>
    <n v="5837.3454281401446"/>
    <n v="0"/>
    <n v="0"/>
    <n v="0"/>
    <n v="-2460.5654099999992"/>
    <n v="856.6206600000005"/>
    <n v="0"/>
    <n v="0"/>
    <n v="-1804.9126054180488"/>
    <n v="0"/>
    <n v="0"/>
    <n v="0"/>
    <n v="0"/>
    <n v="0"/>
    <n v="0"/>
    <n v="0"/>
    <n v="0"/>
    <n v="0"/>
    <n v="0"/>
    <n v="0"/>
    <n v="0"/>
    <n v="4069.490162092672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4"/>
    <s v="Regular"/>
    <s v="Azul"/>
    <s v="A4"/>
    <s v="Serviço público"/>
    <s v="Água, esgoto e saneamento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722.4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25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0.47199999999999998"/>
    <n v="0.47199999999999998"/>
    <n v="0.47199999999999998"/>
    <n v="0.47199999999999998"/>
    <m/>
    <n v="333.61"/>
    <n v="128.11000000000001"/>
    <m/>
    <n v="217.93184000000002"/>
    <n v="217.93184000000002"/>
    <n v="190.23015999999998"/>
    <n v="0"/>
    <n v="28.893975811636206"/>
    <n v="0"/>
    <n v="0"/>
    <n v="0"/>
    <n v="0"/>
    <n v="91.802205580759505"/>
    <n v="60.468413912686366"/>
    <n v="0"/>
    <n v="0"/>
    <n v="0"/>
    <n v="0"/>
    <n v="0"/>
    <n v="4.4622173950075412"/>
    <m/>
    <n v="0.40610309175677461"/>
    <n v="1.6406815194926587"/>
    <n v="8.7521239945965732"/>
    <n v="0"/>
    <n v="0"/>
    <n v="0"/>
    <n v="0"/>
    <n v="0"/>
    <n v="0"/>
    <n v="0"/>
    <n v="0"/>
    <n v="0"/>
    <n v="0"/>
    <m/>
    <n v="0"/>
    <n v="0"/>
    <n v="0"/>
    <n v="0"/>
    <n v="0"/>
    <n v="6.4042710350482821"/>
    <n v="0"/>
    <n v="0"/>
    <n v="0"/>
    <n v="37.6"/>
    <n v="2"/>
    <m/>
    <m/>
    <m/>
    <m/>
    <m/>
    <m/>
    <m/>
    <m/>
    <m/>
    <n v="66.872684947734655"/>
    <m/>
    <m/>
    <m/>
    <m/>
    <m/>
    <m/>
    <m/>
    <m/>
    <m/>
    <m/>
    <m/>
    <m/>
    <n v="189.42409999999998"/>
    <n v="-28.537740000000014"/>
    <m/>
    <m/>
    <m/>
    <m/>
    <n v="-30.467600000000004"/>
    <n v="2.7659199999999928"/>
    <n v="30"/>
    <n v="0.6802071745235736"/>
    <n v="0.11976287669593044"/>
    <n v="0.63886838142514257"/>
    <n v="0"/>
    <n v="0"/>
    <n v="0"/>
    <n v="0"/>
    <n v="0"/>
    <n v="0"/>
    <n v="0"/>
    <n v="0"/>
    <n v="2.765652969561252"/>
    <n v="0"/>
    <n v="0"/>
    <n v="0"/>
    <n v="0.29291311049647017"/>
    <n v="0"/>
    <n v="-2.7331153403185908"/>
    <m/>
    <n v="0"/>
    <n v="0"/>
    <n v="0"/>
    <n v="0"/>
    <n v="-0.35629280209673109"/>
    <n v="-4.758202123990124E-2"/>
    <n v="0"/>
    <n v="0"/>
    <m/>
    <m/>
    <m/>
    <n v="91.802205580759505"/>
    <n v="0"/>
    <n v="0"/>
    <n v="-30.467600000000004"/>
    <n v="2.7659199999999871"/>
    <n v="0"/>
    <n v="0"/>
    <n v="-28.385326874631161"/>
    <n v="0"/>
    <n v="0"/>
    <n v="0"/>
    <n v="0"/>
    <n v="0"/>
    <n v="0"/>
    <n v="0"/>
    <n v="0"/>
    <n v="0"/>
    <n v="0"/>
    <n v="0"/>
    <n v="0"/>
    <n v="15.1032990081320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6"/>
    <s v="Regular"/>
    <s v="Verde"/>
    <s v="A4"/>
    <s v="Consumo próprio"/>
    <s v="Não se aplica"/>
    <s v="Não se aplica"/>
    <s v="Não se aplica"/>
    <s v="Ponta"/>
    <s v="CATIVO"/>
    <x v="2"/>
    <n v="0"/>
    <n v="0"/>
    <n v="1.085"/>
    <n v="1.085"/>
    <n v="1.085"/>
    <n v="1.085"/>
    <m/>
    <n v="1351.49"/>
    <n v="128.11000000000001"/>
    <m/>
    <n v="1605.366"/>
    <n v="1605.366"/>
    <n v="1238.97235"/>
    <n v="0"/>
    <n v="57.784890820750036"/>
    <n v="0"/>
    <n v="0"/>
    <n v="0"/>
    <n v="0"/>
    <n v="1219.4799245717445"/>
    <n v="139.00048537132355"/>
    <n v="0"/>
    <n v="0"/>
    <n v="0"/>
    <n v="0"/>
    <n v="0"/>
    <n v="10.257427698269455"/>
    <m/>
    <n v="0.53338670817096534"/>
    <n v="22.538194087277763"/>
    <n v="119.8839040928675"/>
    <n v="0"/>
    <n v="0"/>
    <n v="0"/>
    <n v="0"/>
    <n v="0"/>
    <n v="0"/>
    <n v="0"/>
    <n v="0"/>
    <n v="0"/>
    <n v="0"/>
    <m/>
    <n v="0"/>
    <n v="0"/>
    <n v="0"/>
    <n v="0"/>
    <n v="0"/>
    <n v="5.6838976159246855"/>
    <n v="0"/>
    <n v="0"/>
    <n v="0"/>
    <n v="0"/>
    <n v="0"/>
    <m/>
    <m/>
    <m/>
    <m/>
    <m/>
    <m/>
    <m/>
    <m/>
    <m/>
    <n v="144.68438298724823"/>
    <m/>
    <m/>
    <m/>
    <m/>
    <m/>
    <m/>
    <m/>
    <m/>
    <m/>
    <m/>
    <m/>
    <m/>
    <n v="1244.6819"/>
    <n v="-360.71409999999992"/>
    <m/>
    <m/>
    <m/>
    <m/>
    <n v="-372.75174999999996"/>
    <n v="6.3580999999999834"/>
    <n v="30"/>
    <n v="10.666210699937096"/>
    <n v="1.6451937364773883"/>
    <n v="8.7510227019199789"/>
    <n v="0"/>
    <n v="0"/>
    <n v="0"/>
    <n v="0"/>
    <n v="0"/>
    <n v="0"/>
    <n v="0"/>
    <n v="0"/>
    <n v="6.3574861694363278"/>
    <n v="0"/>
    <n v="0"/>
    <n v="0"/>
    <n v="0.25996528274846753"/>
    <n v="0"/>
    <n v="-5.4659411557071635"/>
    <m/>
    <n v="0"/>
    <n v="0"/>
    <n v="0"/>
    <n v="0"/>
    <n v="-0.81902053024354515"/>
    <n v="-6.2495504694340454E-2"/>
    <n v="0"/>
    <n v="0"/>
    <m/>
    <m/>
    <m/>
    <n v="1219.4799245717445"/>
    <n v="0"/>
    <n v="0"/>
    <n v="-372.7517499999999"/>
    <n v="6.358099999999979"/>
    <n v="0"/>
    <n v="0"/>
    <n v="-377.06432059050883"/>
    <n v="0"/>
    <n v="0"/>
    <n v="0"/>
    <n v="0"/>
    <n v="0"/>
    <n v="0"/>
    <n v="0"/>
    <n v="0"/>
    <n v="0"/>
    <n v="0"/>
    <n v="0"/>
    <n v="0"/>
    <n v="30.20499809052167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7"/>
    <s v="Regular"/>
    <s v="Verde"/>
    <s v="A4"/>
    <s v="Consumo próprio"/>
    <s v="Não se aplica"/>
    <s v="Não se aplica"/>
    <s v="Não se aplica"/>
    <s v="Fora ponta"/>
    <s v="CATIVO"/>
    <x v="2"/>
    <n v="0"/>
    <n v="0"/>
    <n v="14.297000000000001"/>
    <n v="14.297000000000001"/>
    <n v="14.297000000000001"/>
    <n v="14.297000000000001"/>
    <m/>
    <n v="96.28"/>
    <n v="128.11000000000001"/>
    <m/>
    <n v="3208.1038300000005"/>
    <n v="3208.1038300000005"/>
    <n v="3211.6780800000001"/>
    <n v="0"/>
    <n v="761.42910973664823"/>
    <n v="0"/>
    <n v="0"/>
    <n v="0"/>
    <n v="0"/>
    <n v="0"/>
    <n v="1831.6036307408413"/>
    <n v="0"/>
    <n v="0"/>
    <n v="0"/>
    <n v="0"/>
    <n v="0"/>
    <n v="135.16169935682802"/>
    <m/>
    <n v="7.0284145315394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896483147350452"/>
    <n v="0"/>
    <n v="0"/>
    <n v="0"/>
    <n v="0"/>
    <n v="0"/>
    <m/>
    <m/>
    <m/>
    <m/>
    <m/>
    <m/>
    <m/>
    <m/>
    <m/>
    <n v="1906.5001138881917"/>
    <m/>
    <m/>
    <m/>
    <m/>
    <m/>
    <m/>
    <m/>
    <m/>
    <m/>
    <m/>
    <m/>
    <m/>
    <n v="3212.3520000000003"/>
    <n v="4.2181699999996454"/>
    <m/>
    <m/>
    <m/>
    <m/>
    <n v="-80.20617"/>
    <n v="83.780419999999793"/>
    <n v="30"/>
    <n v="3.5577031863904267"/>
    <n v="0"/>
    <n v="0"/>
    <n v="0"/>
    <n v="0"/>
    <n v="0"/>
    <n v="0"/>
    <n v="0"/>
    <n v="0"/>
    <n v="0"/>
    <n v="0"/>
    <n v="83.77233158012109"/>
    <n v="0"/>
    <n v="0"/>
    <n v="0"/>
    <n v="3.4255517488062992"/>
    <n v="0"/>
    <n v="-72.024479910733021"/>
    <m/>
    <n v="0"/>
    <n v="0"/>
    <n v="0"/>
    <n v="0"/>
    <n v="-10.792199558425779"/>
    <n v="-0.82350067337786736"/>
    <n v="0"/>
    <n v="0"/>
    <m/>
    <m/>
    <m/>
    <n v="0"/>
    <n v="0"/>
    <n v="0"/>
    <n v="-80.206170000000157"/>
    <n v="83.780419999999822"/>
    <n v="0"/>
    <n v="0"/>
    <n v="0"/>
    <n v="0"/>
    <n v="0"/>
    <n v="0"/>
    <n v="0"/>
    <n v="0"/>
    <n v="0"/>
    <n v="0"/>
    <n v="0"/>
    <n v="0"/>
    <n v="0"/>
    <n v="0"/>
    <n v="0"/>
    <n v="398.010007096947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28"/>
    <s v="Regular"/>
    <s v="Verde"/>
    <s v="A4"/>
    <s v="Consumo próprio"/>
    <s v="Não se aplica"/>
    <s v="Não se aplica"/>
    <s v="Não se aplica"/>
    <s v="Não se aplica"/>
    <s v="CATIVO"/>
    <x v="2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0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29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521.59"/>
    <n v="15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30"/>
    <s v="Regular"/>
    <s v="Convencional"/>
    <s v="B2"/>
    <s v="Rural"/>
    <s v="Agropecuária rural"/>
    <s v="IRRIG./AQUIC."/>
    <s v="Não se aplica"/>
    <s v="Não se aplica"/>
    <s v="CATIVO"/>
    <x v="2"/>
    <n v="0"/>
    <n v="0"/>
    <n v="171.75"/>
    <n v="171.75"/>
    <n v="171.75"/>
    <n v="171.75"/>
    <m/>
    <n v="333.61"/>
    <n v="128.11000000000001"/>
    <m/>
    <n v="79300.41"/>
    <n v="79300.41"/>
    <n v="69220.402499999997"/>
    <n v="0"/>
    <n v="10513.856664509574"/>
    <n v="0"/>
    <n v="0"/>
    <n v="0"/>
    <n v="0"/>
    <n v="33404.72205189713"/>
    <n v="22003.072223525178"/>
    <n v="0"/>
    <n v="0"/>
    <n v="0"/>
    <n v="0"/>
    <n v="0"/>
    <n v="1623.6988084587822"/>
    <m/>
    <n v="147.77162290090263"/>
    <n v="597.00646392555961"/>
    <n v="3184.6976611694099"/>
    <n v="0"/>
    <n v="0"/>
    <n v="0"/>
    <n v="0"/>
    <n v="0"/>
    <n v="0"/>
    <n v="0"/>
    <n v="0"/>
    <n v="0"/>
    <n v="0"/>
    <m/>
    <n v="0"/>
    <n v="0"/>
    <n v="0"/>
    <n v="0"/>
    <n v="0"/>
    <n v="2330.3676912490309"/>
    <n v="0"/>
    <n v="0"/>
    <n v="0"/>
    <n v="0"/>
    <n v="0"/>
    <m/>
    <m/>
    <m/>
    <m/>
    <m/>
    <n v="8307.5474999999988"/>
    <m/>
    <m/>
    <m/>
    <n v="24333.439914774208"/>
    <m/>
    <m/>
    <m/>
    <m/>
    <m/>
    <m/>
    <m/>
    <m/>
    <m/>
    <m/>
    <m/>
    <m/>
    <n v="60912.85500000001"/>
    <n v="-8872.6349999999802"/>
    <m/>
    <m/>
    <m/>
    <m/>
    <n v="-11086.462500000001"/>
    <n v="1006.4549999999974"/>
    <n v="30"/>
    <n v="247.51182674665324"/>
    <n v="43.578970492639996"/>
    <n v="232.46958582578009"/>
    <n v="0"/>
    <n v="0"/>
    <n v="0"/>
    <n v="0"/>
    <n v="0"/>
    <n v="0"/>
    <n v="0"/>
    <n v="0"/>
    <n v="1006.3578337333565"/>
    <n v="0"/>
    <n v="0"/>
    <n v="0"/>
    <n v="106.58437866052691"/>
    <n v="0"/>
    <n v="-994.51813495703027"/>
    <m/>
    <n v="0"/>
    <n v="0"/>
    <n v="0"/>
    <n v="0"/>
    <n v="-129.64679822057951"/>
    <n v="-17.314008788036091"/>
    <n v="0"/>
    <n v="0"/>
    <m/>
    <m/>
    <m/>
    <n v="33404.72205189713"/>
    <n v="0"/>
    <n v="0"/>
    <n v="-11086.462500000001"/>
    <n v="1006.4549999999981"/>
    <n v="0"/>
    <n v="0"/>
    <n v="-10328.770954910808"/>
    <n v="0"/>
    <n v="0"/>
    <n v="0"/>
    <n v="0"/>
    <n v="0"/>
    <n v="0"/>
    <n v="0"/>
    <n v="0"/>
    <n v="0"/>
    <n v="0"/>
    <n v="0"/>
    <n v="0"/>
    <n v="5495.74492509889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1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08.729"/>
    <n v="43.491599999999998"/>
    <n v="108.729"/>
    <n v="43.491599999999998"/>
    <m/>
    <n v="333.61"/>
    <n v="128.11000000000001"/>
    <m/>
    <n v="50202.353880000002"/>
    <n v="50202.353880000002"/>
    <n v="43821.048869999999"/>
    <n v="0"/>
    <n v="6655.9599492021043"/>
    <n v="0"/>
    <n v="0"/>
    <n v="0"/>
    <n v="0"/>
    <n v="21147.377141081361"/>
    <n v="13929.385966763721"/>
    <n v="0"/>
    <n v="0"/>
    <n v="0"/>
    <n v="0"/>
    <n v="0"/>
    <n v="1027.907701571557"/>
    <m/>
    <n v="93.549116660216839"/>
    <n v="377.94419689177397"/>
    <n v="2016.1222241705314"/>
    <n v="0"/>
    <n v="0"/>
    <n v="0"/>
    <n v="0"/>
    <n v="0"/>
    <n v="0"/>
    <n v="0"/>
    <n v="0"/>
    <n v="0"/>
    <n v="0"/>
    <m/>
    <n v="0"/>
    <n v="0"/>
    <n v="0"/>
    <n v="0"/>
    <n v="0"/>
    <n v="1475.2753927325523"/>
    <n v="0"/>
    <n v="0"/>
    <n v="0"/>
    <n v="0"/>
    <n v="0"/>
    <m/>
    <m/>
    <m/>
    <m/>
    <m/>
    <m/>
    <n v="28396.318014000004"/>
    <m/>
    <m/>
    <n v="15404.661359496273"/>
    <m/>
    <m/>
    <m/>
    <m/>
    <m/>
    <m/>
    <m/>
    <m/>
    <m/>
    <m/>
    <m/>
    <m/>
    <n v="15424.163400000001"/>
    <n v="-2247.3735119999947"/>
    <m/>
    <m/>
    <m/>
    <m/>
    <n v="-7018.4569500000016"/>
    <n v="637.15193999999838"/>
    <n v="30"/>
    <n v="156.69119889570356"/>
    <n v="27.588342839558891"/>
    <n v="147.16847509316585"/>
    <n v="0"/>
    <n v="0"/>
    <n v="0"/>
    <n v="0"/>
    <n v="0"/>
    <n v="0"/>
    <n v="0"/>
    <n v="0"/>
    <n v="637.09042738861353"/>
    <n v="0"/>
    <n v="0"/>
    <n v="0"/>
    <n v="67.474893201632995"/>
    <n v="0"/>
    <n v="-629.59512253707635"/>
    <m/>
    <n v="0"/>
    <n v="0"/>
    <n v="0"/>
    <n v="0"/>
    <n v="-82.074915421981814"/>
    <n v="-10.960901668205977"/>
    <n v="0"/>
    <n v="0"/>
    <m/>
    <m/>
    <m/>
    <n v="21147.377141081361"/>
    <n v="0"/>
    <n v="0"/>
    <n v="-7018.4569499999998"/>
    <n v="637.15193999999792"/>
    <n v="0"/>
    <n v="0"/>
    <n v="-6538.7885715079938"/>
    <n v="0"/>
    <n v="0"/>
    <n v="0"/>
    <n v="0"/>
    <n v="0"/>
    <n v="0"/>
    <n v="0"/>
    <n v="0"/>
    <n v="0"/>
    <n v="0"/>
    <n v="0"/>
    <n v="0"/>
    <n v="3479.166520879639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2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7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33"/>
    <s v="Regular"/>
    <s v="Convencional"/>
    <s v="B2"/>
    <s v="Rural"/>
    <s v="Aquicultura"/>
    <s v="IRRIG./AQUIC."/>
    <s v="Não se aplica"/>
    <s v="Não se aplica"/>
    <s v="CATIVO"/>
    <x v="2"/>
    <n v="0"/>
    <n v="0"/>
    <n v="7.3999999999999996E-2"/>
    <n v="7.3999999999999996E-2"/>
    <n v="7.3999999999999996E-2"/>
    <n v="7.3999999999999996E-2"/>
    <m/>
    <n v="333.61"/>
    <n v="128.11000000000001"/>
    <m/>
    <n v="34.167279999999998"/>
    <n v="34.167279999999998"/>
    <n v="29.824219999999997"/>
    <n v="0"/>
    <n v="4.5299877331802527"/>
    <n v="0"/>
    <n v="0"/>
    <n v="0"/>
    <n v="0"/>
    <n v="14.392718671559754"/>
    <n v="9.4802174354635405"/>
    <n v="0"/>
    <n v="0"/>
    <n v="0"/>
    <n v="0"/>
    <n v="0"/>
    <n v="0.69958493057321625"/>
    <m/>
    <n v="6.366870506356212E-2"/>
    <n v="0.25722549246283211"/>
    <n v="1.3721550330511576"/>
    <n v="0"/>
    <n v="0"/>
    <n v="0"/>
    <n v="0"/>
    <n v="0"/>
    <n v="0"/>
    <n v="0"/>
    <n v="0"/>
    <n v="0"/>
    <n v="0"/>
    <m/>
    <n v="0"/>
    <n v="0"/>
    <n v="0"/>
    <n v="0"/>
    <n v="0"/>
    <n v="1.0040594419355358"/>
    <n v="0"/>
    <n v="0"/>
    <n v="0"/>
    <n v="0"/>
    <n v="0"/>
    <m/>
    <m/>
    <m/>
    <m/>
    <m/>
    <n v="3.5793799999999991"/>
    <m/>
    <m/>
    <m/>
    <n v="10.484276877399076"/>
    <m/>
    <m/>
    <m/>
    <m/>
    <m/>
    <m/>
    <m/>
    <m/>
    <m/>
    <m/>
    <m/>
    <m/>
    <n v="24.8262"/>
    <n v="-5.2714800000000004"/>
    <m/>
    <m/>
    <m/>
    <m/>
    <n v="-4.7767000000000008"/>
    <n v="0.43363999999999886"/>
    <n v="30"/>
    <n v="0.10664265024310282"/>
    <n v="1.8776383210802661E-2"/>
    <n v="0.10016156827428069"/>
    <n v="0"/>
    <n v="0"/>
    <n v="0"/>
    <n v="0"/>
    <n v="0"/>
    <n v="0"/>
    <n v="0"/>
    <n v="0"/>
    <n v="0.43359813505833245"/>
    <n v="0"/>
    <n v="0"/>
    <n v="0"/>
    <n v="4.5922818171056923E-2"/>
    <n v="0"/>
    <n v="-0.42849689657537215"/>
    <m/>
    <n v="0"/>
    <n v="0"/>
    <n v="0"/>
    <n v="0"/>
    <n v="-5.5859464735504516E-2"/>
    <n v="-7.4598931604929891E-3"/>
    <n v="0"/>
    <n v="0"/>
    <m/>
    <m/>
    <m/>
    <n v="14.392718671559754"/>
    <n v="0"/>
    <n v="0"/>
    <n v="-4.7767000000000017"/>
    <n v="0.43363999999999869"/>
    <n v="0"/>
    <n v="0"/>
    <n v="-4.4502419252599719"/>
    <n v="0"/>
    <n v="0"/>
    <n v="0"/>
    <n v="0"/>
    <n v="0"/>
    <n v="0"/>
    <n v="0"/>
    <n v="0"/>
    <n v="0"/>
    <n v="0"/>
    <n v="0"/>
    <n v="0"/>
    <n v="2.367890098732567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4"/>
    <s v="Regular"/>
    <s v="Convencional"/>
    <s v="B2"/>
    <s v="Rural"/>
    <s v="Aquicultura"/>
    <s v="IRRIG./AQUIC. PR"/>
    <s v="Não se aplica"/>
    <s v="Não se aplica"/>
    <s v="CATIVO"/>
    <x v="2"/>
    <n v="0"/>
    <n v="0"/>
    <n v="2.5999999999999999E-2"/>
    <n v="1.04E-2"/>
    <n v="2.5999999999999999E-2"/>
    <n v="1.04E-2"/>
    <m/>
    <n v="333.61"/>
    <n v="128.11000000000001"/>
    <m/>
    <n v="12.004719999999999"/>
    <n v="12.004719999999999"/>
    <n v="10.478779999999999"/>
    <n v="0"/>
    <n v="1.5916173116579266"/>
    <n v="0"/>
    <n v="0"/>
    <n v="0"/>
    <n v="0"/>
    <n v="5.0569011548723459"/>
    <n v="3.3308872070547575"/>
    <n v="0"/>
    <n v="0"/>
    <n v="0"/>
    <n v="0"/>
    <n v="0"/>
    <n v="0.24580011074194083"/>
    <m/>
    <n v="2.2370085562873177E-2"/>
    <n v="9.0376524378832895E-2"/>
    <n v="0.48210852512608243"/>
    <n v="0"/>
    <n v="0"/>
    <n v="0"/>
    <n v="0"/>
    <n v="0"/>
    <n v="0"/>
    <n v="0"/>
    <n v="0"/>
    <n v="0"/>
    <n v="0"/>
    <m/>
    <n v="0"/>
    <n v="0"/>
    <n v="0"/>
    <n v="0"/>
    <n v="0"/>
    <n v="0.35277764176113419"/>
    <n v="0"/>
    <n v="0"/>
    <n v="0"/>
    <n v="0"/>
    <n v="0"/>
    <m/>
    <m/>
    <m/>
    <m/>
    <m/>
    <m/>
    <n v="6.7903159999999989"/>
    <m/>
    <m/>
    <n v="3.6836648488158916"/>
    <m/>
    <m/>
    <m/>
    <m/>
    <m/>
    <m/>
    <m/>
    <m/>
    <m/>
    <m/>
    <m/>
    <m/>
    <n v="3.5466000000000002"/>
    <n v="-0.70912799999999843"/>
    <m/>
    <m/>
    <m/>
    <m/>
    <n v="-1.6783000000000001"/>
    <n v="0.15235999999999961"/>
    <n v="30"/>
    <n v="3.7469039274602878E-2"/>
    <n v="6.5971076146063429E-3"/>
    <n v="3.5191902366639216E-2"/>
    <n v="0"/>
    <n v="0"/>
    <n v="0"/>
    <n v="0"/>
    <n v="0"/>
    <n v="0"/>
    <n v="0"/>
    <n v="0"/>
    <n v="0.15234529069617064"/>
    <n v="0"/>
    <n v="0"/>
    <n v="0"/>
    <n v="1.6135044222263195E-2"/>
    <n v="0"/>
    <n v="-0.15055296366161741"/>
    <m/>
    <n v="0"/>
    <n v="0"/>
    <n v="0"/>
    <n v="0"/>
    <n v="-1.9626298420582639E-2"/>
    <n v="-2.6210435428759143E-3"/>
    <n v="0"/>
    <n v="0"/>
    <m/>
    <m/>
    <m/>
    <n v="5.0569011548723459"/>
    <n v="0"/>
    <n v="0"/>
    <n v="-1.6783000000000001"/>
    <n v="0.15235999999999938"/>
    <n v="0"/>
    <n v="0"/>
    <n v="-1.5635985142805304"/>
    <n v="0"/>
    <n v="0"/>
    <n v="0"/>
    <n v="0"/>
    <n v="0"/>
    <n v="0"/>
    <n v="0"/>
    <n v="0"/>
    <n v="0"/>
    <n v="0"/>
    <n v="0"/>
    <n v="0"/>
    <n v="0.831961386041172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"/>
    <s v="Não se aplica"/>
    <s v="Não se aplica"/>
    <s v="Não se aplica"/>
    <s v="CATIVO"/>
    <x v="3"/>
    <n v="0"/>
    <n v="0"/>
    <n v="4585.6549999999997"/>
    <n v="4585.6549999999997"/>
    <n v="4585.6549999999997"/>
    <n v="4585.6549999999997"/>
    <m/>
    <n v="333.61"/>
    <n v="128.11000000000001"/>
    <m/>
    <n v="2117288.6266000001"/>
    <n v="2117288.6266000001"/>
    <n v="1848156.5346499998"/>
    <n v="0"/>
    <n v="280715.68781887426"/>
    <n v="0"/>
    <n v="0"/>
    <n v="0"/>
    <n v="0"/>
    <n v="891892.46405177494"/>
    <n v="587473.06059487246"/>
    <n v="0"/>
    <n v="0"/>
    <n v="0"/>
    <n v="0"/>
    <n v="0"/>
    <n v="43352.096416320564"/>
    <m/>
    <n v="3945.4421043006614"/>
    <n v="15939.829265400653"/>
    <n v="85030.129568732518"/>
    <n v="0"/>
    <n v="0"/>
    <n v="0"/>
    <n v="0"/>
    <n v="0"/>
    <n v="0"/>
    <n v="0"/>
    <n v="0"/>
    <n v="0"/>
    <n v="0"/>
    <m/>
    <n v="0"/>
    <n v="0"/>
    <n v="0"/>
    <n v="0"/>
    <n v="0"/>
    <n v="62219.867570390532"/>
    <n v="0"/>
    <n v="0"/>
    <n v="0"/>
    <n v="542316.06999999995"/>
    <n v="20673"/>
    <m/>
    <m/>
    <m/>
    <m/>
    <m/>
    <m/>
    <m/>
    <m/>
    <m/>
    <n v="649692.92816526303"/>
    <m/>
    <m/>
    <m/>
    <m/>
    <m/>
    <m/>
    <m/>
    <m/>
    <m/>
    <m/>
    <m/>
    <m/>
    <n v="1848158.5497999999"/>
    <n v="-269130.10679999995"/>
    <m/>
    <m/>
    <m/>
    <m/>
    <n v="-296004.03025000001"/>
    <n v="26871.938299999932"/>
    <m/>
    <n v="6608.4648959529586"/>
    <n v="1163.5407507099098"/>
    <n v="6206.8431941188755"/>
    <n v="0"/>
    <n v="0"/>
    <n v="0"/>
    <n v="0"/>
    <n v="0"/>
    <n v="0"/>
    <n v="0"/>
    <n v="0"/>
    <n v="26869.344000282581"/>
    <n v="0"/>
    <n v="0"/>
    <n v="0"/>
    <n v="2845.7594697323948"/>
    <n v="0"/>
    <n v="-26553.228868450562"/>
    <m/>
    <n v="0"/>
    <n v="0"/>
    <n v="0"/>
    <n v="0"/>
    <n v="-3461.5166724552619"/>
    <n v="-462.27697798487134"/>
    <n v="0"/>
    <n v="0"/>
    <m/>
    <m/>
    <m/>
    <n v="891892.46405177494"/>
    <n v="0"/>
    <n v="0"/>
    <n v="-296004.03025000007"/>
    <n v="26871.938299999922"/>
    <n v="0"/>
    <n v="0"/>
    <n v="-275773.97480781097"/>
    <n v="0"/>
    <n v="0"/>
    <n v="0"/>
    <n v="0"/>
    <n v="0"/>
    <n v="0"/>
    <n v="0"/>
    <n v="0"/>
    <n v="0"/>
    <n v="0"/>
    <n v="0"/>
    <n v="0"/>
    <n v="146734.1496041012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0.81899999999999995"/>
    <n v="-0.81899999999999995"/>
    <n v="-0.81899999999999995"/>
    <n v="-0.81899999999999995"/>
    <m/>
    <n v="333.61"/>
    <n v="128.11000000000001"/>
    <m/>
    <n v="-378.14868000000001"/>
    <n v="-378.14868000000001"/>
    <n v="-330.08157"/>
    <n v="0"/>
    <n v="-50.135945317224689"/>
    <n v="0"/>
    <n v="0"/>
    <n v="0"/>
    <n v="0"/>
    <n v="-159.29238637847891"/>
    <n v="-104.92294702222486"/>
    <n v="0"/>
    <n v="0"/>
    <n v="0"/>
    <n v="0"/>
    <n v="0"/>
    <n v="-7.7427034883711361"/>
    <m/>
    <n v="-0.70465769523050503"/>
    <n v="-2.8468605179332362"/>
    <n v="-15.186418541471596"/>
    <n v="0"/>
    <n v="0"/>
    <n v="0"/>
    <n v="0"/>
    <n v="0"/>
    <n v="0"/>
    <n v="0"/>
    <n v="0"/>
    <n v="0"/>
    <n v="0"/>
    <m/>
    <n v="0"/>
    <n v="0"/>
    <n v="0"/>
    <n v="0"/>
    <n v="0"/>
    <n v="-11.112495715475728"/>
    <n v="0"/>
    <n v="0"/>
    <n v="0"/>
    <n v="-127.61"/>
    <n v="0"/>
    <m/>
    <m/>
    <m/>
    <m/>
    <m/>
    <m/>
    <m/>
    <m/>
    <m/>
    <n v="-116.03544273770059"/>
    <m/>
    <m/>
    <m/>
    <m/>
    <m/>
    <m/>
    <m/>
    <m/>
    <m/>
    <m/>
    <m/>
    <m/>
    <n v="-330.4846"/>
    <n v="47.63408000000004"/>
    <m/>
    <m/>
    <m/>
    <m/>
    <n v="52.866450000000007"/>
    <n v="-4.7993399999999875"/>
    <m/>
    <n v="-1.180274737149972"/>
    <n v="-0.20780888986009938"/>
    <n v="-1.1085449245491326"/>
    <n v="0"/>
    <n v="0"/>
    <n v="0"/>
    <n v="0"/>
    <n v="0"/>
    <n v="0"/>
    <n v="0"/>
    <n v="0"/>
    <n v="-4.7988766569293659"/>
    <n v="0"/>
    <n v="0"/>
    <n v="0"/>
    <n v="-0.50825389300129054"/>
    <n v="0"/>
    <n v="4.7424183553409449"/>
    <m/>
    <n v="0"/>
    <n v="0"/>
    <n v="0"/>
    <n v="0"/>
    <n v="0.61822840024835291"/>
    <n v="8.2562871600591281E-2"/>
    <n v="0"/>
    <n v="0"/>
    <m/>
    <m/>
    <m/>
    <n v="-159.29238637847891"/>
    <n v="0"/>
    <n v="0"/>
    <n v="52.866449999999986"/>
    <n v="-4.7993399999999866"/>
    <n v="0"/>
    <n v="0"/>
    <n v="49.253353199836724"/>
    <n v="0"/>
    <n v="0"/>
    <n v="0"/>
    <n v="0"/>
    <n v="0"/>
    <n v="0"/>
    <n v="0"/>
    <n v="0"/>
    <n v="0"/>
    <n v="0"/>
    <n v="0"/>
    <n v="0"/>
    <n v="-26.20678366029692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7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0.584"/>
    <n v="10.584"/>
    <n v="10.584"/>
    <n v="10.584"/>
    <m/>
    <n v="333.61"/>
    <n v="128.11000000000001"/>
    <m/>
    <n v="4886.8444799999997"/>
    <n v="4886.8444799999997"/>
    <n v="4265.6695200000004"/>
    <n v="0"/>
    <n v="647.910677945673"/>
    <n v="0"/>
    <n v="0"/>
    <n v="0"/>
    <n v="0"/>
    <n v="2058.5477624295736"/>
    <n v="1355.9273153641368"/>
    <n v="0"/>
    <n v="0"/>
    <n v="0"/>
    <n v="0"/>
    <n v="0"/>
    <n v="100.05955277279622"/>
    <m/>
    <n v="9.1063455999019123"/>
    <n v="36.790197462521824"/>
    <n v="196.25525499747908"/>
    <n v="0"/>
    <n v="0"/>
    <n v="0"/>
    <n v="0"/>
    <n v="0"/>
    <n v="0"/>
    <n v="0"/>
    <n v="0"/>
    <n v="0"/>
    <n v="0"/>
    <m/>
    <n v="0"/>
    <n v="0"/>
    <n v="0"/>
    <n v="0"/>
    <n v="0"/>
    <n v="143.60763693845556"/>
    <n v="0"/>
    <n v="0"/>
    <n v="0"/>
    <n v="3048.33"/>
    <n v="44"/>
    <m/>
    <m/>
    <m/>
    <m/>
    <m/>
    <m/>
    <m/>
    <m/>
    <m/>
    <n v="1499.5349523025923"/>
    <m/>
    <m/>
    <m/>
    <m/>
    <m/>
    <m/>
    <m/>
    <m/>
    <m/>
    <m/>
    <m/>
    <m/>
    <n v="4264.0573999999997"/>
    <n v="-622.81708000000071"/>
    <m/>
    <m/>
    <m/>
    <m/>
    <n v="-683.19720000000007"/>
    <n v="62.02223999999984"/>
    <m/>
    <n v="15.252781218553537"/>
    <n v="2.685530268961287"/>
    <n v="14.32581133263497"/>
    <n v="0"/>
    <n v="0"/>
    <n v="0"/>
    <n v="0"/>
    <n v="0"/>
    <n v="0"/>
    <n v="0"/>
    <n v="0"/>
    <n v="62.016252181856316"/>
    <n v="0"/>
    <n v="0"/>
    <n v="0"/>
    <n v="6.5682041557089974"/>
    <n v="0"/>
    <n v="-61.286637207483068"/>
    <m/>
    <n v="0"/>
    <n v="0"/>
    <n v="0"/>
    <n v="0"/>
    <n v="-7.9894131724402513"/>
    <n v="-1.0669663406845658"/>
    <n v="0"/>
    <n v="0"/>
    <m/>
    <m/>
    <m/>
    <n v="2058.5477624295736"/>
    <n v="0"/>
    <n v="0"/>
    <n v="-683.19720000000007"/>
    <n v="62.022240000000011"/>
    <n v="0"/>
    <n v="0"/>
    <n v="-636.50487212096687"/>
    <n v="0"/>
    <n v="0"/>
    <n v="0"/>
    <n v="0"/>
    <n v="0"/>
    <n v="0"/>
    <n v="0"/>
    <n v="0"/>
    <n v="0"/>
    <n v="0"/>
    <n v="0"/>
    <n v="0"/>
    <n v="338.6722811484526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3.44"/>
    <n v="13.44"/>
    <n v="13.44"/>
    <n v="13.44"/>
    <m/>
    <n v="230.94"/>
    <n v="128.11000000000001"/>
    <m/>
    <n v="4825.6319999999996"/>
    <n v="4825.6319999999996"/>
    <n v="4124.7359999999999"/>
    <n v="0"/>
    <n v="0"/>
    <n v="0"/>
    <n v="0"/>
    <n v="0"/>
    <n v="0"/>
    <n v="2614.0289046724743"/>
    <n v="1721.8124639544594"/>
    <n v="0"/>
    <n v="0"/>
    <n v="0"/>
    <n v="0"/>
    <n v="0"/>
    <n v="0"/>
    <m/>
    <n v="11.563613460192904"/>
    <n v="46.717711063519772"/>
    <n v="249.21302221902107"/>
    <n v="0"/>
    <n v="0"/>
    <n v="0"/>
    <n v="0"/>
    <n v="0"/>
    <n v="0"/>
    <n v="0"/>
    <n v="0"/>
    <n v="0"/>
    <n v="0"/>
    <m/>
    <n v="0"/>
    <n v="0"/>
    <n v="0"/>
    <n v="0"/>
    <n v="0"/>
    <n v="182.35890404883244"/>
    <n v="0"/>
    <n v="0"/>
    <n v="0"/>
    <n v="192.81"/>
    <n v="13"/>
    <m/>
    <m/>
    <m/>
    <m/>
    <m/>
    <m/>
    <m/>
    <n v="2681.0111999999999"/>
    <m/>
    <n v="1904.1713680032919"/>
    <m/>
    <m/>
    <m/>
    <m/>
    <m/>
    <m/>
    <m/>
    <m/>
    <m/>
    <m/>
    <m/>
    <m/>
    <n v="1443.7248"/>
    <n v="-245.31000000000017"/>
    <m/>
    <m/>
    <m/>
    <m/>
    <n v="-779.6543999999999"/>
    <n v="78.758399999999796"/>
    <m/>
    <n v="107.3381988552087"/>
    <n v="3.4101971669349709"/>
    <n v="18.191506454139642"/>
    <n v="0"/>
    <n v="0"/>
    <n v="0"/>
    <n v="0"/>
    <n v="0"/>
    <n v="0"/>
    <n v="0"/>
    <n v="0"/>
    <n v="78.750796421404857"/>
    <n v="0"/>
    <n v="0"/>
    <n v="0"/>
    <n v="8.3405767056622153"/>
    <n v="0"/>
    <n v="0"/>
    <m/>
    <n v="0"/>
    <n v="0"/>
    <n v="0"/>
    <n v="0"/>
    <n v="0"/>
    <n v="-1.3548778929327803"/>
    <n v="0"/>
    <n v="0"/>
    <m/>
    <m/>
    <m/>
    <n v="2614.0289046724743"/>
    <n v="0"/>
    <n v="0"/>
    <n v="-779.6543999999999"/>
    <n v="78.75839999999971"/>
    <n v="0"/>
    <n v="0"/>
    <n v="-808.2601550742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28.824999999999999"/>
    <n v="28.824999999999999"/>
    <n v="28.824999999999999"/>
    <n v="28.824999999999999"/>
    <m/>
    <n v="230.94"/>
    <n v="128.11000000000001"/>
    <m/>
    <n v="10349.616249999999"/>
    <n v="10349.616249999999"/>
    <n v="8846.3924999999999"/>
    <n v="0"/>
    <n v="0"/>
    <n v="0"/>
    <n v="0"/>
    <n v="0"/>
    <n v="0"/>
    <n v="5606.352914969053"/>
    <n v="3692.8009132058996"/>
    <n v="0"/>
    <n v="0"/>
    <n v="0"/>
    <n v="0"/>
    <n v="0"/>
    <n v="0"/>
    <m/>
    <n v="24.800681398069976"/>
    <n v="100.19628135460994"/>
    <n v="534.49147064458941"/>
    <n v="0"/>
    <n v="0"/>
    <n v="0"/>
    <n v="0"/>
    <n v="0"/>
    <n v="0"/>
    <n v="0"/>
    <n v="0"/>
    <n v="0"/>
    <n v="0"/>
    <m/>
    <n v="0"/>
    <n v="0"/>
    <n v="0"/>
    <n v="0"/>
    <n v="0"/>
    <n v="391.10828937556511"/>
    <n v="0"/>
    <n v="0"/>
    <n v="0"/>
    <n v="726.88"/>
    <n v="59"/>
    <m/>
    <m/>
    <m/>
    <m/>
    <m/>
    <m/>
    <m/>
    <n v="3538.5570000000002"/>
    <m/>
    <n v="4083.9092025814648"/>
    <m/>
    <m/>
    <m/>
    <m/>
    <m/>
    <m/>
    <m/>
    <m/>
    <m/>
    <m/>
    <m/>
    <m/>
    <n v="5308.7561999999998"/>
    <n v="-901.33180000000084"/>
    <m/>
    <m/>
    <m/>
    <m/>
    <n v="-1672.1382499999997"/>
    <n v="168.91449999999958"/>
    <m/>
    <n v="230.21008794653244"/>
    <n v="7.3139087304241315"/>
    <n v="39.015637912245211"/>
    <n v="0"/>
    <n v="0"/>
    <n v="0"/>
    <n v="0"/>
    <n v="0"/>
    <n v="0"/>
    <n v="0"/>
    <n v="0"/>
    <n v="168.89819247373498"/>
    <n v="0"/>
    <n v="0"/>
    <n v="0"/>
    <n v="17.888178834874509"/>
    <n v="0"/>
    <n v="0"/>
    <m/>
    <n v="0"/>
    <n v="0"/>
    <n v="0"/>
    <n v="0"/>
    <n v="0"/>
    <n v="-2.9058300047460861"/>
    <n v="0"/>
    <n v="0"/>
    <m/>
    <m/>
    <m/>
    <n v="5606.352914969053"/>
    <n v="0"/>
    <n v="0"/>
    <n v="-1672.1382499999991"/>
    <n v="168.91449999999986"/>
    <n v="0"/>
    <n v="0"/>
    <n v="-1733.489506697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0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33.396999999999998"/>
    <n v="33.396999999999998"/>
    <n v="33.396999999999998"/>
    <n v="33.396999999999998"/>
    <m/>
    <n v="230.94"/>
    <n v="128.11000000000001"/>
    <m/>
    <n v="11991.192849999999"/>
    <n v="11991.192849999999"/>
    <n v="10249.5393"/>
    <n v="0"/>
    <n v="0"/>
    <n v="0"/>
    <n v="0"/>
    <n v="0"/>
    <n v="0"/>
    <n v="6495.5895334335282"/>
    <n v="4278.524617461836"/>
    <n v="0"/>
    <n v="0"/>
    <n v="0"/>
    <n v="0"/>
    <n v="0"/>
    <n v="0"/>
    <m/>
    <n v="28.734374905510595"/>
    <n v="116.08864556461086"/>
    <n v="619.26840052445289"/>
    <n v="0"/>
    <n v="0"/>
    <n v="0"/>
    <n v="0"/>
    <n v="0"/>
    <n v="0"/>
    <n v="0"/>
    <n v="0"/>
    <n v="0"/>
    <n v="0"/>
    <m/>
    <n v="0"/>
    <n v="0"/>
    <n v="0"/>
    <n v="0"/>
    <n v="0"/>
    <n v="453.14288084217685"/>
    <n v="0"/>
    <n v="0"/>
    <n v="0"/>
    <n v="2162.5500000000002"/>
    <n v="211"/>
    <m/>
    <m/>
    <m/>
    <m/>
    <m/>
    <m/>
    <m/>
    <n v="1024.9539300000008"/>
    <m/>
    <n v="4731.667498304013"/>
    <m/>
    <m/>
    <m/>
    <m/>
    <m/>
    <m/>
    <m/>
    <m/>
    <m/>
    <m/>
    <m/>
    <m/>
    <n v="9225.4139999999989"/>
    <n v="-1566.8565500000004"/>
    <m/>
    <m/>
    <m/>
    <m/>
    <n v="-1937.3599699999995"/>
    <n v="195.7064199999995"/>
    <m/>
    <n v="266.72424309281359"/>
    <n v="8.4739847309618312"/>
    <n v="45.203998589948014"/>
    <n v="0"/>
    <n v="0"/>
    <n v="0"/>
    <n v="0"/>
    <n v="0"/>
    <n v="0"/>
    <n v="0"/>
    <n v="0"/>
    <n v="195.68752589923133"/>
    <n v="0"/>
    <n v="0"/>
    <n v="0"/>
    <n v="20.72546430349712"/>
    <n v="0"/>
    <n v="0"/>
    <m/>
    <n v="0"/>
    <n v="0"/>
    <n v="0"/>
    <n v="0"/>
    <n v="0"/>
    <n v="-3.3667304308241128"/>
    <n v="0"/>
    <n v="0"/>
    <m/>
    <m/>
    <m/>
    <n v="6495.5895334335282"/>
    <n v="0"/>
    <n v="0"/>
    <n v="-1937.3599699999995"/>
    <n v="195.70641999999953"/>
    <n v="0"/>
    <n v="0"/>
    <n v="-2008.442291593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1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3.891"/>
    <n v="13.891"/>
    <n v="13.891"/>
    <n v="13.891"/>
    <m/>
    <n v="230.94"/>
    <n v="128.11000000000001"/>
    <m/>
    <n v="4987.5635500000008"/>
    <n v="4987.5635500000008"/>
    <n v="4263.1478999999999"/>
    <n v="0"/>
    <n v="0"/>
    <n v="0"/>
    <n v="0"/>
    <n v="0"/>
    <n v="0"/>
    <n v="2701.7466900896829"/>
    <n v="1779.5905458922168"/>
    <n v="0"/>
    <n v="0"/>
    <n v="0"/>
    <n v="0"/>
    <n v="0"/>
    <n v="0"/>
    <m/>
    <n v="11.951648405918128"/>
    <n v="48.285396159475688"/>
    <n v="257.57575086640043"/>
    <n v="0"/>
    <n v="0"/>
    <n v="0"/>
    <n v="0"/>
    <n v="0"/>
    <n v="0"/>
    <n v="0"/>
    <n v="0"/>
    <n v="0"/>
    <n v="0"/>
    <m/>
    <n v="0"/>
    <n v="0"/>
    <n v="0"/>
    <n v="0"/>
    <n v="0"/>
    <n v="188.47823929630442"/>
    <n v="0"/>
    <n v="0"/>
    <n v="0"/>
    <n v="1476.34"/>
    <n v="165"/>
    <m/>
    <m/>
    <m/>
    <m/>
    <m/>
    <m/>
    <m/>
    <m/>
    <m/>
    <n v="1968.0687851885214"/>
    <m/>
    <m/>
    <m/>
    <m/>
    <m/>
    <m/>
    <m/>
    <m/>
    <m/>
    <m/>
    <m/>
    <m/>
    <n v="4262.8410000000003"/>
    <n v="-724.75255000000107"/>
    <m/>
    <m/>
    <m/>
    <m/>
    <n v="-805.81690999999989"/>
    <n v="81.401259999999795"/>
    <m/>
    <n v="110.94009823643682"/>
    <n v="3.524631610557563"/>
    <n v="18.801950606730202"/>
    <n v="0"/>
    <n v="0"/>
    <n v="0"/>
    <n v="0"/>
    <n v="0"/>
    <n v="0"/>
    <n v="0"/>
    <n v="0"/>
    <n v="81.393401271557877"/>
    <n v="0"/>
    <n v="0"/>
    <n v="0"/>
    <n v="8.620457665056108"/>
    <n v="0"/>
    <n v="0"/>
    <m/>
    <n v="0"/>
    <n v="0"/>
    <n v="0"/>
    <n v="0"/>
    <n v="0"/>
    <n v="-1.4003429174649753"/>
    <n v="0"/>
    <n v="0"/>
    <m/>
    <m/>
    <m/>
    <n v="2701.7466900896829"/>
    <n v="0"/>
    <n v="0"/>
    <n v="-805.81691000000001"/>
    <n v="81.401259999999866"/>
    <n v="0"/>
    <n v="0"/>
    <n v="-835.3825754565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2"/>
    <s v="Regular"/>
    <s v="Convencional"/>
    <s v="B3"/>
    <s v="Industrial"/>
    <s v="Não se aplica"/>
    <s v="Não se aplica"/>
    <s v="Não se aplica"/>
    <s v="Não se aplica"/>
    <s v="CATIVO"/>
    <x v="3"/>
    <n v="0"/>
    <n v="0"/>
    <n v="408.26499999999999"/>
    <n v="408.26499999999999"/>
    <n v="408.26499999999999"/>
    <n v="408.26499999999999"/>
    <m/>
    <n v="333.61"/>
    <n v="128.11000000000001"/>
    <m/>
    <n v="188504.1158"/>
    <n v="188504.1158"/>
    <n v="164543.04295"/>
    <n v="0"/>
    <n v="24992.370836308593"/>
    <n v="0"/>
    <n v="0"/>
    <n v="0"/>
    <n v="0"/>
    <n v="79405.990384383011"/>
    <n v="52303.256368777329"/>
    <n v="0"/>
    <n v="0"/>
    <n v="0"/>
    <n v="0"/>
    <n v="0"/>
    <n v="3859.6762389253258"/>
    <m/>
    <n v="351.26626855101608"/>
    <n v="1419.1373740586237"/>
    <n v="7570.3091157923091"/>
    <n v="0"/>
    <n v="0"/>
    <n v="0"/>
    <n v="0"/>
    <n v="0"/>
    <n v="0"/>
    <n v="0"/>
    <n v="0"/>
    <n v="0"/>
    <n v="0"/>
    <m/>
    <n v="0"/>
    <n v="0"/>
    <n v="0"/>
    <n v="0"/>
    <n v="0"/>
    <n v="5539.4909197542092"/>
    <n v="0"/>
    <n v="0"/>
    <n v="0"/>
    <n v="74170.149999999994"/>
    <n v="216"/>
    <m/>
    <m/>
    <m/>
    <m/>
    <m/>
    <m/>
    <m/>
    <m/>
    <m/>
    <n v="57842.747288531536"/>
    <m/>
    <m/>
    <m/>
    <m/>
    <m/>
    <m/>
    <m/>
    <m/>
    <m/>
    <m/>
    <m/>
    <m/>
    <n v="164545.05809999999"/>
    <n v="-23959.087700000033"/>
    <m/>
    <m/>
    <m/>
    <m/>
    <n v="-26353.505750000004"/>
    <n v="2392.4328999999939"/>
    <m/>
    <n v="588.35758920943772"/>
    <n v="103.5910823183558"/>
    <n v="552.60084691215161"/>
    <n v="0"/>
    <n v="0"/>
    <n v="0"/>
    <n v="0"/>
    <n v="0"/>
    <n v="0"/>
    <n v="0"/>
    <n v="0"/>
    <n v="2392.2019271566169"/>
    <n v="0"/>
    <n v="0"/>
    <n v="0"/>
    <n v="253.36053190008806"/>
    <n v="0"/>
    <n v="-2364.057911896547"/>
    <m/>
    <n v="0"/>
    <n v="0"/>
    <n v="0"/>
    <n v="0"/>
    <n v="-308.18195094919884"/>
    <n v="-41.156936232009059"/>
    <n v="0"/>
    <n v="0"/>
    <m/>
    <m/>
    <m/>
    <n v="79405.990384383011"/>
    <n v="0"/>
    <n v="0"/>
    <n v="-26353.505749999997"/>
    <n v="2392.4328999999925"/>
    <n v="0"/>
    <n v="0"/>
    <n v="-24552.405670490029"/>
    <n v="0"/>
    <n v="0"/>
    <n v="0"/>
    <n v="0"/>
    <n v="0"/>
    <n v="0"/>
    <n v="0"/>
    <n v="0"/>
    <n v="0"/>
    <n v="0"/>
    <n v="0"/>
    <n v="0"/>
    <n v="13063.8736643115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3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2.2069999999999999"/>
    <n v="2.2069999999999999"/>
    <n v="2.2069999999999999"/>
    <n v="2.2069999999999999"/>
    <m/>
    <n v="333.61"/>
    <n v="128.11000000000001"/>
    <m/>
    <n v="1019.01604"/>
    <n v="1019.01604"/>
    <n v="889.48721"/>
    <n v="0"/>
    <n v="135.10382333957861"/>
    <n v="0"/>
    <n v="0"/>
    <n v="0"/>
    <n v="0"/>
    <n v="429.25310956935641"/>
    <n v="282.74107946037884"/>
    <n v="0"/>
    <n v="0"/>
    <n v="0"/>
    <n v="0"/>
    <n v="0"/>
    <n v="20.864647861825514"/>
    <m/>
    <n v="1.8988761091254269"/>
    <n v="7.6715765116955463"/>
    <n v="40.923596728971688"/>
    <n v="0"/>
    <n v="0"/>
    <n v="0"/>
    <n v="0"/>
    <n v="0"/>
    <n v="0"/>
    <n v="0"/>
    <n v="0"/>
    <n v="0"/>
    <n v="0"/>
    <m/>
    <n v="0"/>
    <n v="0"/>
    <n v="0"/>
    <n v="0"/>
    <n v="0"/>
    <n v="29.945394437185506"/>
    <n v="0"/>
    <n v="0"/>
    <n v="0"/>
    <n v="1300.6099999999999"/>
    <n v="2"/>
    <m/>
    <m/>
    <m/>
    <m/>
    <m/>
    <m/>
    <m/>
    <m/>
    <m/>
    <n v="312.68647389756433"/>
    <m/>
    <m/>
    <m/>
    <m/>
    <m/>
    <m/>
    <m/>
    <m/>
    <m/>
    <m/>
    <m/>
    <m/>
    <n v="890.69630000000006"/>
    <n v="-128.34973999999988"/>
    <m/>
    <m/>
    <m/>
    <m/>
    <n v="-142.46185000000003"/>
    <n v="12.933019999999967"/>
    <m/>
    <n v="3.1805449876557077"/>
    <n v="0.55999294251677689"/>
    <n v="2.9872510970451032"/>
    <n v="0"/>
    <n v="0"/>
    <n v="0"/>
    <n v="0"/>
    <n v="0"/>
    <n v="0"/>
    <n v="0"/>
    <n v="0"/>
    <n v="12.931771406401879"/>
    <n v="0"/>
    <n v="0"/>
    <n v="0"/>
    <n v="1.3696170230205738"/>
    <n v="0"/>
    <n v="-12.779630415430361"/>
    <m/>
    <n v="0"/>
    <n v="0"/>
    <n v="0"/>
    <n v="0"/>
    <n v="-1.6659707928548393"/>
    <n v="-0.22248627304335167"/>
    <n v="0"/>
    <n v="0"/>
    <m/>
    <m/>
    <m/>
    <n v="429.25310956935641"/>
    <n v="0"/>
    <n v="0"/>
    <n v="-142.46184999999991"/>
    <n v="12.933019999999999"/>
    <n v="0"/>
    <n v="0"/>
    <n v="-132.72545850065882"/>
    <n v="0"/>
    <n v="0"/>
    <n v="0"/>
    <n v="0"/>
    <n v="0"/>
    <n v="0"/>
    <n v="0"/>
    <n v="0"/>
    <n v="0"/>
    <n v="0"/>
    <n v="0"/>
    <n v="0"/>
    <n v="70.6207222689564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4"/>
    <s v="Regular"/>
    <s v="Azul"/>
    <s v="A3"/>
    <s v="Industrial"/>
    <s v="Não se aplica"/>
    <s v="Não se aplica"/>
    <s v="Não se aplica"/>
    <s v="Ponta"/>
    <s v="CATIVO"/>
    <x v="3"/>
    <n v="2442"/>
    <n v="2442"/>
    <n v="110.199"/>
    <n v="110.199"/>
    <n v="110.199"/>
    <n v="110.199"/>
    <n v="28.46"/>
    <n v="75.12"/>
    <n v="128.11000000000001"/>
    <n v="69499.320000000007"/>
    <n v="22395.742770000004"/>
    <n v="91895.062770000004"/>
    <n v="75655.807440000004"/>
    <n v="0"/>
    <n v="4519.7848540520199"/>
    <n v="0"/>
    <n v="0"/>
    <n v="0"/>
    <n v="0"/>
    <n v="56146.384509016003"/>
    <n v="14117.709205008739"/>
    <n v="0"/>
    <n v="0"/>
    <n v="0"/>
    <n v="0"/>
    <n v="0"/>
    <n v="1041.8048616788899"/>
    <m/>
    <n v="26.97186642851748"/>
    <n v="2010.4276854592322"/>
    <n v="11333.171026891316"/>
    <n v="0"/>
    <n v="0"/>
    <n v="0"/>
    <n v="0"/>
    <n v="0"/>
    <n v="0"/>
    <n v="0"/>
    <n v="0"/>
    <n v="0"/>
    <n v="0"/>
    <m/>
    <n v="0"/>
    <n v="0"/>
    <n v="0"/>
    <n v="0"/>
    <n v="0"/>
    <n v="327.00240237543579"/>
    <n v="0"/>
    <n v="0"/>
    <n v="0"/>
    <n v="0"/>
    <n v="0"/>
    <m/>
    <m/>
    <m/>
    <m/>
    <m/>
    <m/>
    <m/>
    <m/>
    <m/>
    <n v="14444.711607384175"/>
    <m/>
    <m/>
    <m/>
    <m/>
    <m/>
    <m/>
    <m/>
    <m/>
    <m/>
    <m/>
    <m/>
    <m/>
    <n v="75656.012000000002"/>
    <n v="-16239.08077"/>
    <m/>
    <m/>
    <m/>
    <m/>
    <n v="-16885.021470000003"/>
    <n v="645.76613999999836"/>
    <m/>
    <n v="1120.8101798338394"/>
    <n v="146.75279762655509"/>
    <n v="827.27400055506223"/>
    <n v="0"/>
    <n v="0"/>
    <n v="0"/>
    <n v="0"/>
    <n v="0"/>
    <n v="0"/>
    <n v="0"/>
    <n v="0"/>
    <n v="645.70379574720391"/>
    <n v="0"/>
    <n v="0"/>
    <n v="0"/>
    <n v="14.956158209957039"/>
    <n v="0"/>
    <n v="-427.53179417332194"/>
    <m/>
    <n v="0"/>
    <n v="0"/>
    <n v="0"/>
    <n v="0"/>
    <n v="-83.184556140376344"/>
    <n v="-3.1602219912428886"/>
    <n v="0"/>
    <n v="0"/>
    <m/>
    <m/>
    <n v="56146.384509016003"/>
    <n v="0"/>
    <n v="0"/>
    <n v="0"/>
    <n v="-16885.02147"/>
    <n v="645.7661399999979"/>
    <n v="0"/>
    <n v="0"/>
    <n v="-17360.514020712828"/>
    <n v="0"/>
    <n v="0"/>
    <n v="0"/>
    <n v="0"/>
    <n v="0"/>
    <n v="0"/>
    <n v="0"/>
    <n v="0"/>
    <n v="0"/>
    <n v="0"/>
    <n v="0"/>
    <n v="0"/>
    <n v="2362.55690626289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5"/>
    <s v="Regular"/>
    <s v="Azul"/>
    <s v="A3"/>
    <s v="Industrial"/>
    <s v="Não se aplica"/>
    <s v="Não se aplica"/>
    <s v="Não se aplica"/>
    <s v="Fora ponta"/>
    <s v="CATIVO"/>
    <x v="3"/>
    <n v="2500"/>
    <n v="2500"/>
    <n v="1023.229"/>
    <n v="1023.229"/>
    <n v="1023.229"/>
    <n v="1023.229"/>
    <n v="9.92"/>
    <n v="75.12"/>
    <n v="128.11000000000001"/>
    <n v="24800"/>
    <n v="207950.82967000001"/>
    <n v="232750.82967000001"/>
    <n v="231211.72424000001"/>
    <n v="0"/>
    <n v="41967.48551644566"/>
    <n v="0"/>
    <n v="0"/>
    <n v="0"/>
    <n v="0"/>
    <n v="12300.546167828574"/>
    <n v="131086.93792259358"/>
    <n v="0"/>
    <n v="0"/>
    <n v="0"/>
    <n v="0"/>
    <n v="0"/>
    <n v="9673.4539043986697"/>
    <m/>
    <n v="250.44143698024044"/>
    <n v="1858.1087599355999"/>
    <n v="10633.863386614099"/>
    <n v="0"/>
    <n v="0"/>
    <n v="0"/>
    <n v="0"/>
    <n v="0"/>
    <n v="0"/>
    <n v="0"/>
    <n v="0"/>
    <n v="0"/>
    <n v="0"/>
    <m/>
    <n v="0"/>
    <n v="0"/>
    <n v="0"/>
    <n v="0"/>
    <n v="0"/>
    <n v="3036.3101405658385"/>
    <n v="0"/>
    <n v="0"/>
    <n v="0"/>
    <n v="0"/>
    <n v="0"/>
    <m/>
    <m/>
    <m/>
    <m/>
    <m/>
    <m/>
    <m/>
    <m/>
    <m/>
    <n v="134123.24806315944"/>
    <m/>
    <m/>
    <m/>
    <m/>
    <m/>
    <m/>
    <m/>
    <m/>
    <m/>
    <m/>
    <m/>
    <m/>
    <n v="231211.92879999999"/>
    <n v="-1538.9308700000402"/>
    <m/>
    <m/>
    <m/>
    <m/>
    <n v="-7535.2273700000023"/>
    <n v="5996.1219399999854"/>
    <m/>
    <n v="2274.786996856943"/>
    <n v="135.63415425841004"/>
    <n v="776.22747281642478"/>
    <n v="0"/>
    <n v="0"/>
    <n v="0"/>
    <n v="0"/>
    <n v="0"/>
    <n v="0"/>
    <n v="0"/>
    <n v="0"/>
    <n v="5995.5430559135275"/>
    <n v="0"/>
    <n v="0"/>
    <n v="0"/>
    <n v="138.87217496543644"/>
    <n v="0"/>
    <n v="-3969.7540832509767"/>
    <m/>
    <n v="0"/>
    <n v="0"/>
    <n v="0"/>
    <n v="0"/>
    <n v="-772.39221948439808"/>
    <n v="-29.343558361486686"/>
    <n v="0"/>
    <n v="0"/>
    <m/>
    <m/>
    <n v="12300.546167828574"/>
    <n v="0"/>
    <n v="0"/>
    <n v="0"/>
    <n v="-7535.2273699999932"/>
    <n v="5996.1219399999827"/>
    <n v="0"/>
    <n v="0"/>
    <n v="-3803.3402520285745"/>
    <n v="0"/>
    <n v="0"/>
    <n v="0"/>
    <n v="0"/>
    <n v="0"/>
    <n v="0"/>
    <n v="0"/>
    <n v="0"/>
    <n v="0"/>
    <n v="0"/>
    <n v="0"/>
    <n v="0"/>
    <n v="21937.01159392082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6"/>
    <s v="Regular"/>
    <s v="Azul"/>
    <s v="A3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56930.8900000000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47"/>
    <s v="Regular"/>
    <s v="Azul"/>
    <s v="A4"/>
    <s v="Industrial"/>
    <s v="Não se aplica"/>
    <s v="Não se aplica"/>
    <s v="Não se aplica"/>
    <s v="Ponta"/>
    <s v="CATIVO"/>
    <x v="3"/>
    <n v="5967"/>
    <n v="5967"/>
    <n v="354.03300000000002"/>
    <n v="354.03300000000002"/>
    <n v="354.03300000000002"/>
    <n v="354.03300000000002"/>
    <n v="52.19"/>
    <n v="96.28"/>
    <n v="128.11000000000001"/>
    <n v="311417.73"/>
    <n v="79441.464869999996"/>
    <n v="390859.19486999995"/>
    <n v="307111.35312000004"/>
    <n v="0"/>
    <n v="18855.076729901011"/>
    <n v="0"/>
    <n v="0"/>
    <n v="0"/>
    <n v="0"/>
    <n v="278859.66883608041"/>
    <n v="45355.538099046811"/>
    <n v="0"/>
    <n v="0"/>
    <n v="0"/>
    <n v="0"/>
    <n v="0"/>
    <n v="3346.9750233192904"/>
    <m/>
    <n v="174.04285387455428"/>
    <n v="5153.2780299315482"/>
    <n v="27414.093017197752"/>
    <n v="0"/>
    <n v="0"/>
    <n v="0"/>
    <n v="0"/>
    <n v="0"/>
    <n v="0"/>
    <n v="0"/>
    <n v="0"/>
    <n v="0"/>
    <n v="0"/>
    <m/>
    <n v="0"/>
    <n v="0"/>
    <n v="0"/>
    <n v="0"/>
    <n v="0"/>
    <n v="1854.6426955379395"/>
    <n v="0"/>
    <n v="0"/>
    <n v="0"/>
    <n v="0"/>
    <n v="0"/>
    <m/>
    <m/>
    <m/>
    <m/>
    <m/>
    <m/>
    <m/>
    <m/>
    <m/>
    <n v="47210.180794584754"/>
    <m/>
    <m/>
    <m/>
    <m/>
    <m/>
    <m/>
    <m/>
    <m/>
    <m/>
    <m/>
    <m/>
    <m/>
    <n v="307110.67920000001"/>
    <n v="-83748.545669999963"/>
    <m/>
    <m/>
    <m/>
    <m/>
    <n v="-85822.475129999977"/>
    <n v="2074.6333799999948"/>
    <m/>
    <n v="2465.3801391258894"/>
    <n v="376.16770466785783"/>
    <n v="2001.1139290241954"/>
    <n v="0"/>
    <n v="0"/>
    <n v="0"/>
    <n v="0"/>
    <n v="0"/>
    <n v="0"/>
    <n v="0"/>
    <n v="0"/>
    <n v="2074.4330885014351"/>
    <n v="0"/>
    <n v="0"/>
    <n v="0"/>
    <n v="84.826072762477679"/>
    <n v="0"/>
    <n v="-1783.5240047727857"/>
    <m/>
    <n v="0"/>
    <n v="0"/>
    <n v="0"/>
    <n v="0"/>
    <n v="-267.2445118743899"/>
    <n v="-20.392139182904572"/>
    <n v="0"/>
    <n v="0"/>
    <m/>
    <m/>
    <n v="278859.66883608041"/>
    <n v="0"/>
    <n v="0"/>
    <n v="0"/>
    <n v="-85822.475129999948"/>
    <n v="2074.6333799999993"/>
    <n v="0"/>
    <n v="0"/>
    <n v="-86223.667525069817"/>
    <n v="0"/>
    <n v="0"/>
    <n v="0"/>
    <n v="0"/>
    <n v="0"/>
    <n v="0"/>
    <n v="0"/>
    <n v="0"/>
    <n v="0"/>
    <n v="0"/>
    <n v="0"/>
    <n v="0"/>
    <n v="9855.821280167430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8"/>
    <s v="Regular"/>
    <s v="Azul"/>
    <s v="A4"/>
    <s v="Industrial"/>
    <s v="Não se aplica"/>
    <s v="Não se aplica"/>
    <s v="Não se aplica"/>
    <s v="Fora ponta"/>
    <s v="CATIVO"/>
    <x v="3"/>
    <n v="6256"/>
    <n v="6256"/>
    <n v="3047.5450000000001"/>
    <n v="3047.5450000000001"/>
    <n v="3047.5450000000001"/>
    <n v="3047.5450000000001"/>
    <n v="18.12"/>
    <n v="96.28"/>
    <n v="128.11000000000001"/>
    <n v="113358.72"/>
    <n v="683838.62255000009"/>
    <n v="797197.34255000006"/>
    <n v="774999.70880000002"/>
    <n v="0"/>
    <n v="162306.04156343103"/>
    <n v="0"/>
    <n v="0"/>
    <n v="0"/>
    <n v="0"/>
    <n v="81696.718117326047"/>
    <n v="390424.17897783429"/>
    <n v="0"/>
    <n v="0"/>
    <n v="0"/>
    <n v="0"/>
    <n v="0"/>
    <n v="28811.034557348004"/>
    <m/>
    <n v="1498.1751111086496"/>
    <n v="4972.7092972841701"/>
    <n v="26658.824425300536"/>
    <n v="0"/>
    <n v="0"/>
    <n v="0"/>
    <n v="0"/>
    <n v="0"/>
    <n v="0"/>
    <n v="0"/>
    <n v="0"/>
    <n v="0"/>
    <n v="0"/>
    <m/>
    <n v="0"/>
    <n v="0"/>
    <n v="0"/>
    <n v="0"/>
    <n v="0"/>
    <n v="15964.915907763316"/>
    <n v="0"/>
    <n v="0"/>
    <n v="0"/>
    <n v="0"/>
    <n v="0"/>
    <m/>
    <m/>
    <m/>
    <m/>
    <m/>
    <m/>
    <m/>
    <m/>
    <m/>
    <n v="406389.09488559759"/>
    <m/>
    <m/>
    <m/>
    <m/>
    <m/>
    <m/>
    <m/>
    <m/>
    <m/>
    <m/>
    <m/>
    <m/>
    <n v="775000.83200000005"/>
    <n v="-22196.540550000034"/>
    <m/>
    <m/>
    <m/>
    <m/>
    <n v="-40056.24745000001"/>
    <n v="17858.613699999954"/>
    <m/>
    <n v="3067.328565313248"/>
    <n v="362.98694374243405"/>
    <n v="1945.9824862859059"/>
    <n v="0"/>
    <n v="0"/>
    <n v="0"/>
    <n v="0"/>
    <n v="0"/>
    <n v="0"/>
    <n v="0"/>
    <n v="0"/>
    <n v="17856.889574410045"/>
    <n v="0"/>
    <n v="0"/>
    <n v="0"/>
    <n v="730.18976738588026"/>
    <n v="0"/>
    <n v="-15352.720404948923"/>
    <m/>
    <n v="0"/>
    <n v="0"/>
    <n v="0"/>
    <n v="0"/>
    <n v="-2300.4626007751722"/>
    <n v="-175.53720078683318"/>
    <n v="0"/>
    <n v="0"/>
    <m/>
    <m/>
    <n v="81696.718117326047"/>
    <n v="0"/>
    <n v="0"/>
    <n v="0"/>
    <n v="-40056.247449999966"/>
    <n v="17858.613699999929"/>
    <n v="0"/>
    <n v="0"/>
    <n v="-25260.70080424007"/>
    <n v="0"/>
    <n v="0"/>
    <n v="0"/>
    <n v="0"/>
    <n v="0"/>
    <n v="0"/>
    <n v="0"/>
    <n v="0"/>
    <n v="0"/>
    <n v="0"/>
    <n v="0"/>
    <n v="0"/>
    <n v="84839.71512053353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49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50"/>
    <s v="Regular"/>
    <s v="Verde"/>
    <s v="A4"/>
    <s v="Industrial"/>
    <s v="Não se aplica"/>
    <s v="Não se aplica"/>
    <s v="Não se aplica"/>
    <s v="Ponta"/>
    <s v="CATIVO"/>
    <x v="3"/>
    <n v="0"/>
    <n v="0"/>
    <n v="823.31500000000005"/>
    <n v="823.31500000000005"/>
    <n v="823.31500000000005"/>
    <n v="823.31500000000005"/>
    <m/>
    <n v="1351.49"/>
    <n v="128.11000000000001"/>
    <m/>
    <n v="1218176.8740000003"/>
    <n v="1218176.8740000003"/>
    <n v="940151.63165000011"/>
    <n v="0"/>
    <n v="43848.080540171264"/>
    <n v="0"/>
    <n v="0"/>
    <n v="0"/>
    <n v="0"/>
    <n v="925360.47382376587"/>
    <n v="105475.74618754954"/>
    <n v="0"/>
    <n v="0"/>
    <n v="0"/>
    <n v="0"/>
    <n v="0"/>
    <n v="7783.4968529038861"/>
    <m/>
    <n v="404.74219137122429"/>
    <n v="17102.334806421284"/>
    <n v="90969.784790985446"/>
    <n v="0"/>
    <n v="0"/>
    <n v="0"/>
    <n v="0"/>
    <n v="0"/>
    <n v="0"/>
    <n v="0"/>
    <n v="0"/>
    <n v="0"/>
    <n v="0"/>
    <m/>
    <n v="0"/>
    <n v="0"/>
    <n v="0"/>
    <n v="0"/>
    <n v="0"/>
    <n v="4313.0305674239935"/>
    <n v="0"/>
    <n v="0"/>
    <n v="0"/>
    <n v="0"/>
    <n v="0"/>
    <m/>
    <m/>
    <m/>
    <m/>
    <m/>
    <m/>
    <m/>
    <m/>
    <m/>
    <n v="109788.77675497353"/>
    <m/>
    <m/>
    <m/>
    <m/>
    <m/>
    <m/>
    <m/>
    <m/>
    <m/>
    <m/>
    <m/>
    <m/>
    <n v="940157.34120000014"/>
    <n v="-278019.56280000019"/>
    <m/>
    <m/>
    <m/>
    <m/>
    <n v="-282849.86825"/>
    <n v="4824.6258999999882"/>
    <m/>
    <n v="8093.6877994643874"/>
    <n v="1248.3987844680923"/>
    <n v="6640.4131390149851"/>
    <n v="0"/>
    <n v="0"/>
    <n v="0"/>
    <n v="0"/>
    <n v="0"/>
    <n v="0"/>
    <n v="0"/>
    <n v="0"/>
    <n v="4824.1601157506811"/>
    <n v="0"/>
    <n v="0"/>
    <n v="0"/>
    <n v="197.26572973829934"/>
    <n v="0"/>
    <n v="-4147.6417904249247"/>
    <m/>
    <n v="0"/>
    <n v="0"/>
    <n v="0"/>
    <n v="0"/>
    <n v="-621.48561092853834"/>
    <n v="-47.422568154304997"/>
    <n v="0"/>
    <n v="0"/>
    <m/>
    <m/>
    <m/>
    <n v="925360.47382376587"/>
    <n v="0"/>
    <n v="0"/>
    <n v="-282849.86825000006"/>
    <n v="4824.6258999999845"/>
    <n v="0"/>
    <n v="0"/>
    <n v="-286122.31438430864"/>
    <n v="0"/>
    <n v="0"/>
    <n v="0"/>
    <n v="0"/>
    <n v="0"/>
    <n v="0"/>
    <n v="0"/>
    <n v="0"/>
    <n v="0"/>
    <n v="0"/>
    <n v="0"/>
    <n v="0"/>
    <n v="22920.025809122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1"/>
    <s v="Regular"/>
    <s v="Verde"/>
    <s v="A4"/>
    <s v="Industrial"/>
    <s v="Não se aplica"/>
    <s v="Não se aplica"/>
    <s v="Não se aplica"/>
    <s v="Fora ponta"/>
    <s v="CATIVO"/>
    <x v="3"/>
    <n v="0"/>
    <n v="0"/>
    <n v="12253.656000000001"/>
    <n v="12253.656000000001"/>
    <n v="12253.656000000001"/>
    <n v="12253.656000000001"/>
    <m/>
    <n v="96.28"/>
    <n v="128.11000000000001"/>
    <m/>
    <n v="2749597.8698400003"/>
    <n v="2749597.8698400003"/>
    <n v="2752661.2838400002"/>
    <n v="0"/>
    <n v="652604.76876961172"/>
    <n v="0"/>
    <n v="0"/>
    <n v="0"/>
    <n v="0"/>
    <n v="0"/>
    <n v="1569828.6926942223"/>
    <n v="0"/>
    <n v="0"/>
    <n v="0"/>
    <n v="0"/>
    <n v="0"/>
    <n v="115844.23083821723"/>
    <m/>
    <n v="6023.9052874648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192.18997673846"/>
    <n v="0"/>
    <n v="0"/>
    <n v="0"/>
    <n v="0"/>
    <n v="0"/>
    <m/>
    <m/>
    <m/>
    <m/>
    <m/>
    <m/>
    <m/>
    <m/>
    <m/>
    <n v="1634020.8826709609"/>
    <m/>
    <m/>
    <m/>
    <m/>
    <m/>
    <m/>
    <m/>
    <m/>
    <m/>
    <m/>
    <m/>
    <m/>
    <n v="2752662.1824000003"/>
    <n v="3064.2825600001961"/>
    <m/>
    <m/>
    <m/>
    <m/>
    <n v="-68743.010159999991"/>
    <n v="71806.42415999982"/>
    <m/>
    <n v="3049.2320763892494"/>
    <n v="0"/>
    <n v="0"/>
    <n v="0"/>
    <n v="0"/>
    <n v="0"/>
    <n v="0"/>
    <n v="0"/>
    <n v="0"/>
    <n v="0"/>
    <n v="0"/>
    <n v="71799.491746572079"/>
    <n v="0"/>
    <n v="0"/>
    <n v="0"/>
    <n v="2935.967877181989"/>
    <n v="0"/>
    <n v="-61730.656809472828"/>
    <m/>
    <n v="0"/>
    <n v="0"/>
    <n v="0"/>
    <n v="0"/>
    <n v="-9249.7657461216586"/>
    <n v="-705.80499177035381"/>
    <n v="0"/>
    <n v="0"/>
    <m/>
    <m/>
    <m/>
    <n v="0"/>
    <n v="0"/>
    <n v="0"/>
    <n v="-68743.010160000063"/>
    <n v="71806.424159999937"/>
    <n v="0"/>
    <n v="0"/>
    <n v="0"/>
    <n v="0"/>
    <n v="0"/>
    <n v="0"/>
    <n v="0"/>
    <n v="0"/>
    <n v="0"/>
    <n v="0"/>
    <n v="0"/>
    <n v="0"/>
    <n v="0"/>
    <n v="0"/>
    <n v="0"/>
    <n v="341125.950305907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2"/>
    <s v="Regular"/>
    <s v="Verde"/>
    <s v="A4"/>
    <s v="Industrial"/>
    <s v="Não se aplica"/>
    <s v="Não se aplica"/>
    <s v="Não se aplica"/>
    <s v="Não se aplica"/>
    <s v="CATIVO"/>
    <x v="3"/>
    <n v="49875"/>
    <n v="49875"/>
    <n v="0"/>
    <n v="0"/>
    <n v="0"/>
    <n v="0"/>
    <n v="18.12"/>
    <m/>
    <m/>
    <n v="903735"/>
    <m/>
    <n v="903735"/>
    <n v="720693.75"/>
    <n v="0"/>
    <n v="0"/>
    <n v="0"/>
    <n v="0"/>
    <n v="0"/>
    <n v="0"/>
    <n v="651314.54860959668"/>
    <m/>
    <m/>
    <m/>
    <n v="0"/>
    <n v="0"/>
    <n v="0"/>
    <n v="0"/>
    <m/>
    <n v="0"/>
    <n v="39644.161797002555"/>
    <n v="212533.38686251026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90773.35"/>
    <n v="99"/>
    <m/>
    <m/>
    <m/>
    <m/>
    <m/>
    <m/>
    <m/>
    <m/>
    <m/>
    <n v="0"/>
    <m/>
    <m/>
    <m/>
    <m/>
    <m/>
    <m/>
    <m/>
    <m/>
    <m/>
    <m/>
    <m/>
    <m/>
    <n v="720693.75"/>
    <n v="-183041.28000000003"/>
    <m/>
    <m/>
    <m/>
    <m/>
    <n v="-183041.25000000009"/>
    <n v="0"/>
    <m/>
    <n v="18407.904463341343"/>
    <n v="2893.8577076652655"/>
    <n v="15514.046755676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1314.54860959668"/>
    <m/>
    <n v="0"/>
    <n v="0"/>
    <n v="-183041.25"/>
    <m/>
    <n v="0"/>
    <m/>
    <n v="-201387.06083942996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53"/>
    <s v="Regular"/>
    <s v="Convencional"/>
    <s v="B3"/>
    <s v="Comercial"/>
    <s v="Não se aplica"/>
    <s v="Não se aplica"/>
    <s v="Não se aplica"/>
    <s v="Não se aplica"/>
    <s v="CATIVO"/>
    <x v="3"/>
    <n v="0"/>
    <n v="0"/>
    <n v="1147.079"/>
    <n v="1147.079"/>
    <n v="1147.079"/>
    <n v="1147.079"/>
    <m/>
    <n v="333.61"/>
    <n v="128.11000000000001"/>
    <m/>
    <n v="529629.31588000001"/>
    <n v="529629.31588000001"/>
    <n v="462307.24936999998"/>
    <n v="0"/>
    <n v="70219.645932279338"/>
    <n v="0"/>
    <n v="0"/>
    <n v="0"/>
    <n v="0"/>
    <n v="223102.50460883908"/>
    <n v="146953.49102235248"/>
    <n v="0"/>
    <n v="0"/>
    <n v="0"/>
    <n v="0"/>
    <n v="0"/>
    <n v="10844.31327806749"/>
    <m/>
    <n v="986.93289912980777"/>
    <n v="3987.2697387672024"/>
    <n v="21269.867880503905"/>
    <n v="0"/>
    <n v="0"/>
    <n v="0"/>
    <n v="0"/>
    <n v="0"/>
    <n v="0"/>
    <n v="0"/>
    <n v="0"/>
    <n v="0"/>
    <n v="0"/>
    <m/>
    <n v="0"/>
    <n v="0"/>
    <n v="0"/>
    <n v="0"/>
    <n v="0"/>
    <n v="15563.993251296924"/>
    <n v="0"/>
    <n v="0"/>
    <n v="0"/>
    <n v="207253.55"/>
    <n v="1660"/>
    <m/>
    <m/>
    <m/>
    <m/>
    <m/>
    <m/>
    <m/>
    <m/>
    <m/>
    <n v="162517.4842736494"/>
    <m/>
    <m/>
    <m/>
    <m/>
    <m/>
    <m/>
    <m/>
    <m/>
    <m/>
    <m/>
    <m/>
    <m/>
    <n v="462307.65239999996"/>
    <n v="-67321.693480000074"/>
    <m/>
    <m/>
    <m/>
    <m/>
    <n v="-74043.949450000015"/>
    <n v="6721.8829399999831"/>
    <m/>
    <n v="1653.0749270027736"/>
    <n v="291.05398482519286"/>
    <n v="1552.6112374931581"/>
    <n v="0"/>
    <n v="0"/>
    <n v="0"/>
    <n v="0"/>
    <n v="0"/>
    <n v="0"/>
    <n v="0"/>
    <n v="0"/>
    <n v="6721.2339887104754"/>
    <n v="0"/>
    <n v="0"/>
    <n v="0"/>
    <n v="711.85270736267194"/>
    <n v="0"/>
    <n v="-6642.1593463078607"/>
    <m/>
    <n v="0"/>
    <n v="0"/>
    <n v="0"/>
    <n v="0"/>
    <n v="-865.88133715321055"/>
    <n v="-115.63630792763695"/>
    <n v="0"/>
    <n v="0"/>
    <m/>
    <m/>
    <m/>
    <n v="223102.50460883908"/>
    <n v="0"/>
    <n v="0"/>
    <n v="-74043.949450000015"/>
    <n v="6721.8829399999813"/>
    <n v="0"/>
    <n v="0"/>
    <n v="-68983.500775476801"/>
    <n v="0"/>
    <n v="0"/>
    <n v="0"/>
    <n v="0"/>
    <n v="0"/>
    <n v="0"/>
    <n v="0"/>
    <n v="0"/>
    <n v="0"/>
    <n v="0"/>
    <n v="0"/>
    <n v="0"/>
    <n v="36704.8244130277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4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0.29899999999999999"/>
    <n v="-0.29899999999999999"/>
    <n v="-0.29899999999999999"/>
    <n v="-0.29899999999999999"/>
    <m/>
    <n v="333.61"/>
    <n v="128.11000000000001"/>
    <m/>
    <n v="-138.05428000000001"/>
    <n v="-138.05428000000001"/>
    <n v="-120.50596999999999"/>
    <n v="0"/>
    <n v="-18.303599084066157"/>
    <n v="0"/>
    <n v="0"/>
    <n v="0"/>
    <n v="0"/>
    <n v="-58.154363281031976"/>
    <n v="-38.305202881129716"/>
    <n v="0"/>
    <n v="0"/>
    <n v="0"/>
    <n v="0"/>
    <n v="0"/>
    <n v="-2.8267012735323194"/>
    <m/>
    <n v="-0.25725598397304156"/>
    <n v="-1.0393300303565782"/>
    <n v="-5.5442480389499478"/>
    <n v="0"/>
    <n v="0"/>
    <n v="0"/>
    <n v="0"/>
    <n v="0"/>
    <n v="0"/>
    <n v="0"/>
    <n v="0"/>
    <n v="0"/>
    <n v="0"/>
    <m/>
    <n v="0"/>
    <n v="0"/>
    <n v="0"/>
    <n v="0"/>
    <n v="0"/>
    <n v="-4.0569428802530432"/>
    <n v="0"/>
    <n v="0"/>
    <n v="0"/>
    <n v="-69.73"/>
    <n v="0"/>
    <m/>
    <m/>
    <m/>
    <m/>
    <m/>
    <m/>
    <m/>
    <m/>
    <m/>
    <n v="-42.362145761382763"/>
    <m/>
    <m/>
    <m/>
    <m/>
    <m/>
    <m/>
    <m/>
    <m/>
    <m/>
    <m/>
    <m/>
    <m/>
    <n v="-120.90899999999999"/>
    <n v="17.115280000000013"/>
    <m/>
    <m/>
    <m/>
    <m/>
    <n v="19.300450000000001"/>
    <n v="-1.7521399999999956"/>
    <m/>
    <n v="-0.43089395165793576"/>
    <n v="-7.5866737567972908E-2"/>
    <n v="-0.40470687721635024"/>
    <n v="0"/>
    <n v="0"/>
    <n v="0"/>
    <n v="0"/>
    <n v="0"/>
    <n v="0"/>
    <n v="0"/>
    <n v="0"/>
    <n v="-1.7519708430059566"/>
    <n v="0"/>
    <n v="0"/>
    <n v="0"/>
    <n v="-0.18555300855602663"/>
    <n v="0"/>
    <n v="1.7313590821086002"/>
    <m/>
    <n v="0"/>
    <n v="0"/>
    <n v="0"/>
    <n v="0"/>
    <n v="0.22570243183670025"/>
    <n v="3.0142000743073022E-2"/>
    <n v="0"/>
    <n v="0"/>
    <m/>
    <m/>
    <m/>
    <n v="-58.154363281031976"/>
    <n v="0"/>
    <n v="0"/>
    <n v="19.300450000000012"/>
    <n v="-1.7521399999999971"/>
    <n v="0"/>
    <n v="0"/>
    <n v="17.981382914226096"/>
    <n v="0"/>
    <n v="0"/>
    <n v="0"/>
    <n v="0"/>
    <n v="0"/>
    <n v="0"/>
    <n v="0"/>
    <n v="0"/>
    <n v="0"/>
    <n v="0"/>
    <n v="0"/>
    <n v="0"/>
    <n v="-9.567555939473482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5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0.43"/>
    <n v="0.43"/>
    <n v="0.43"/>
    <n v="0.43"/>
    <m/>
    <n v="333.61"/>
    <n v="128.11000000000001"/>
    <m/>
    <n v="198.53960000000001"/>
    <n v="198.53960000000001"/>
    <n v="173.30289999999999"/>
    <n v="0"/>
    <n v="26.322901692804173"/>
    <n v="0"/>
    <n v="0"/>
    <n v="0"/>
    <n v="0"/>
    <n v="83.633365253658027"/>
    <n v="55.087749962828688"/>
    <n v="0"/>
    <n v="0"/>
    <n v="0"/>
    <n v="0"/>
    <n v="0"/>
    <n v="4.0651556776551754"/>
    <m/>
    <n v="0.3699667996936718"/>
    <n v="1.4946886724191595"/>
    <n v="7.9733333001621327"/>
    <n v="0"/>
    <n v="0"/>
    <n v="0"/>
    <n v="0"/>
    <n v="0"/>
    <n v="0"/>
    <n v="0"/>
    <n v="0"/>
    <n v="0"/>
    <n v="0"/>
    <m/>
    <n v="0"/>
    <n v="0"/>
    <n v="0"/>
    <n v="0"/>
    <n v="0"/>
    <n v="5.834399459895681"/>
    <n v="0"/>
    <n v="0"/>
    <n v="0"/>
    <n v="1021.06"/>
    <n v="5"/>
    <m/>
    <m/>
    <m/>
    <m/>
    <m/>
    <m/>
    <m/>
    <m/>
    <m/>
    <n v="60.922149422724367"/>
    <m/>
    <m/>
    <m/>
    <m/>
    <m/>
    <m/>
    <m/>
    <m/>
    <m/>
    <m/>
    <m/>
    <m/>
    <n v="173.30289999999999"/>
    <n v="-25.266699999999986"/>
    <m/>
    <m/>
    <m/>
    <m/>
    <n v="-27.756500000000006"/>
    <n v="2.5197999999999938"/>
    <m/>
    <n v="0.6196802649261457"/>
    <n v="0.10910601054925873"/>
    <n v="0.58201992375595513"/>
    <n v="0"/>
    <n v="0"/>
    <n v="0"/>
    <n v="0"/>
    <n v="0"/>
    <n v="0"/>
    <n v="0"/>
    <n v="0"/>
    <n v="2.5195567307443554"/>
    <n v="0"/>
    <n v="0"/>
    <n v="0"/>
    <n v="0.26684880829127611"/>
    <n v="0"/>
    <n v="-2.4899143990190566"/>
    <m/>
    <n v="0"/>
    <n v="0"/>
    <n v="0"/>
    <n v="0"/>
    <n v="-0.32458878157117432"/>
    <n v="-4.3348027824486268E-2"/>
    <n v="0"/>
    <n v="0"/>
    <m/>
    <m/>
    <m/>
    <n v="83.633365253658027"/>
    <n v="0"/>
    <n v="0"/>
    <n v="-27.756500000000003"/>
    <n v="2.5197999999999894"/>
    <n v="0"/>
    <n v="0"/>
    <n v="-25.859513890024154"/>
    <n v="0"/>
    <n v="0"/>
    <n v="0"/>
    <n v="0"/>
    <n v="0"/>
    <n v="0"/>
    <n v="0"/>
    <n v="0"/>
    <n v="0"/>
    <n v="0"/>
    <n v="0"/>
    <n v="0"/>
    <n v="13.75936138452708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6"/>
    <s v="Regular"/>
    <s v="Verde"/>
    <s v="A4"/>
    <s v="Comercial"/>
    <s v="Não se aplica"/>
    <s v="Não se aplica"/>
    <s v="Não se aplica"/>
    <s v="Ponta"/>
    <s v="CATIVO"/>
    <x v="3"/>
    <n v="0"/>
    <n v="0"/>
    <n v="43.884999999999998"/>
    <n v="43.884999999999998"/>
    <n v="43.884999999999998"/>
    <n v="43.884999999999998"/>
    <m/>
    <n v="1351.49"/>
    <n v="128.11000000000001"/>
    <m/>
    <n v="64932.245999999999"/>
    <n v="64932.245999999999"/>
    <n v="50112.720350000003"/>
    <n v="0"/>
    <n v="2337.2257453166962"/>
    <n v="0"/>
    <n v="0"/>
    <n v="0"/>
    <n v="0"/>
    <n v="49324.31012887651"/>
    <n v="5622.1532723691553"/>
    <n v="0"/>
    <n v="0"/>
    <n v="0"/>
    <n v="0"/>
    <n v="0"/>
    <n v="414.88222538115667"/>
    <m/>
    <n v="21.573894643394301"/>
    <n v="911.60244011076929"/>
    <n v="4848.9448213045989"/>
    <n v="0"/>
    <n v="0"/>
    <n v="0"/>
    <n v="0"/>
    <n v="0"/>
    <n v="0"/>
    <n v="0"/>
    <n v="0"/>
    <n v="0"/>
    <n v="0"/>
    <m/>
    <n v="0"/>
    <n v="0"/>
    <n v="0"/>
    <n v="0"/>
    <n v="0"/>
    <n v="229.89663306438234"/>
    <n v="0"/>
    <n v="0"/>
    <n v="0"/>
    <n v="0"/>
    <n v="0"/>
    <m/>
    <m/>
    <m/>
    <m/>
    <m/>
    <m/>
    <m/>
    <m/>
    <m/>
    <n v="5852.0499054335378"/>
    <m/>
    <m/>
    <m/>
    <m/>
    <m/>
    <m/>
    <m/>
    <m/>
    <m/>
    <m/>
    <m/>
    <m/>
    <n v="50118.429900000003"/>
    <n v="-14813.846100000002"/>
    <m/>
    <m/>
    <m/>
    <m/>
    <n v="-15076.691749999998"/>
    <n v="257.16609999999935"/>
    <m/>
    <n v="431.41627333340148"/>
    <n v="66.543158640838783"/>
    <n v="353.95265555185142"/>
    <n v="0"/>
    <n v="0"/>
    <n v="0"/>
    <n v="0"/>
    <n v="0"/>
    <n v="0"/>
    <n v="0"/>
    <n v="0"/>
    <n v="257.14127239236313"/>
    <n v="0"/>
    <n v="0"/>
    <n v="0"/>
    <n v="10.514816989323947"/>
    <n v="0"/>
    <n v="-221.0809471135567"/>
    <m/>
    <n v="0"/>
    <n v="0"/>
    <n v="0"/>
    <n v="0"/>
    <n v="-33.126927161048798"/>
    <n v="-2.5277559663697104"/>
    <n v="0"/>
    <n v="0"/>
    <m/>
    <m/>
    <m/>
    <n v="49324.31012887651"/>
    <n v="0"/>
    <n v="0"/>
    <n v="-15076.691749999998"/>
    <n v="257.16609999999946"/>
    <n v="0"/>
    <n v="0"/>
    <n v="-15251.122312547915"/>
    <n v="0"/>
    <n v="0"/>
    <n v="0"/>
    <n v="0"/>
    <n v="0"/>
    <n v="0"/>
    <n v="0"/>
    <n v="0"/>
    <n v="0"/>
    <n v="0"/>
    <n v="0"/>
    <n v="0"/>
    <n v="1221.701696960869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7"/>
    <s v="Regular"/>
    <s v="Verde"/>
    <s v="A4"/>
    <s v="Comercial"/>
    <s v="Não se aplica"/>
    <s v="Não se aplica"/>
    <s v="Não se aplica"/>
    <s v="Fora ponta"/>
    <s v="CATIVO"/>
    <x v="3"/>
    <n v="0"/>
    <n v="0"/>
    <n v="474.50400000000002"/>
    <n v="474.50400000000002"/>
    <n v="474.50400000000002"/>
    <n v="474.50400000000002"/>
    <m/>
    <n v="96.28"/>
    <n v="128.11000000000001"/>
    <m/>
    <n v="106473.95256000001"/>
    <n v="106473.95256000001"/>
    <n v="106592.57855999999"/>
    <n v="0"/>
    <n v="25271.116897704309"/>
    <n v="0"/>
    <n v="0"/>
    <n v="0"/>
    <n v="0"/>
    <n v="0"/>
    <n v="60789.203972935029"/>
    <n v="0"/>
    <n v="0"/>
    <n v="0"/>
    <n v="0"/>
    <n v="0"/>
    <n v="4485.8898364420729"/>
    <m/>
    <n v="233.266476105028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5.7439210568914"/>
    <n v="0"/>
    <n v="0"/>
    <n v="0"/>
    <n v="0"/>
    <n v="0"/>
    <m/>
    <m/>
    <m/>
    <m/>
    <m/>
    <m/>
    <m/>
    <m/>
    <m/>
    <n v="63274.947893991921"/>
    <m/>
    <m/>
    <m/>
    <m/>
    <m/>
    <m/>
    <m/>
    <m/>
    <m/>
    <m/>
    <m/>
    <m/>
    <n v="106591.67999999999"/>
    <n v="117.697439999989"/>
    <m/>
    <m/>
    <m/>
    <m/>
    <n v="-2661.9674399999999"/>
    <n v="2780.5934399999933"/>
    <m/>
    <n v="118.07682679970458"/>
    <n v="0"/>
    <n v="0"/>
    <n v="0"/>
    <n v="0"/>
    <n v="0"/>
    <n v="0"/>
    <n v="0"/>
    <n v="0"/>
    <n v="0"/>
    <n v="0"/>
    <n v="2780.3249929421436"/>
    <n v="0"/>
    <n v="0"/>
    <n v="0"/>
    <n v="113.69084472375926"/>
    <n v="0"/>
    <n v="-2390.4248314725082"/>
    <m/>
    <n v="0"/>
    <n v="0"/>
    <n v="0"/>
    <n v="0"/>
    <n v="-358.18296560615909"/>
    <n v="-27.331213787542254"/>
    <n v="0"/>
    <n v="0"/>
    <m/>
    <m/>
    <m/>
    <n v="0"/>
    <n v="0"/>
    <n v="0"/>
    <n v="-2661.9674400000004"/>
    <n v="2780.5934399999969"/>
    <n v="0"/>
    <n v="0"/>
    <n v="0"/>
    <n v="0"/>
    <n v="0"/>
    <n v="0"/>
    <n v="0"/>
    <n v="0"/>
    <n v="0"/>
    <n v="0"/>
    <n v="0"/>
    <n v="0"/>
    <n v="0"/>
    <n v="0"/>
    <n v="0"/>
    <n v="13209.57826170036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58"/>
    <s v="Regular"/>
    <s v="Verde"/>
    <s v="A4"/>
    <s v="Comercial"/>
    <s v="Não se aplica"/>
    <s v="Não se aplica"/>
    <s v="Não se aplica"/>
    <s v="Não se aplica"/>
    <s v="CATIVO"/>
    <x v="3"/>
    <n v="1741"/>
    <n v="1741"/>
    <n v="0"/>
    <n v="0"/>
    <n v="0"/>
    <n v="0"/>
    <n v="18.12"/>
    <m/>
    <m/>
    <n v="31546.920000000002"/>
    <m/>
    <n v="31546.920000000002"/>
    <n v="25157.449999999997"/>
    <n v="0"/>
    <n v="0"/>
    <n v="0"/>
    <n v="0"/>
    <n v="0"/>
    <n v="0"/>
    <n v="22735.611611615193"/>
    <m/>
    <m/>
    <m/>
    <n v="0"/>
    <n v="0"/>
    <n v="0"/>
    <n v="0"/>
    <m/>
    <n v="0"/>
    <n v="1383.8693872397282"/>
    <n v="7418.9599303785535"/>
    <n v="0"/>
    <n v="0"/>
    <m/>
    <m/>
    <n v="0"/>
    <n v="0"/>
    <n v="0"/>
    <m/>
    <m/>
    <n v="0"/>
    <m/>
    <n v="0"/>
    <n v="0"/>
    <n v="0"/>
    <n v="0"/>
    <m/>
    <n v="0"/>
    <n v="0"/>
    <n v="0"/>
    <n v="0"/>
    <n v="78046.36"/>
    <n v="17"/>
    <m/>
    <m/>
    <m/>
    <m/>
    <m/>
    <m/>
    <m/>
    <m/>
    <m/>
    <n v="0"/>
    <m/>
    <m/>
    <m/>
    <m/>
    <m/>
    <m/>
    <m/>
    <m/>
    <m/>
    <m/>
    <m/>
    <m/>
    <n v="25157.449999999997"/>
    <n v="-6389.5"/>
    <m/>
    <m/>
    <m/>
    <m/>
    <n v="-6389.470000000003"/>
    <n v="0"/>
    <m/>
    <n v="642.56965755744022"/>
    <n v="101.01666704852573"/>
    <n v="541.55299050891426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735.611611615193"/>
    <m/>
    <n v="0"/>
    <n v="0"/>
    <n v="-6389.4700000000048"/>
    <m/>
    <n v="0"/>
    <m/>
    <n v="-7029.8721387758906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59"/>
    <s v="Regular"/>
    <s v="Convencional"/>
    <s v="B2"/>
    <s v="Rural"/>
    <s v="Não se aplica"/>
    <s v="Não se aplica"/>
    <s v="Não se aplica"/>
    <s v="Não se aplica"/>
    <s v="CATIVO"/>
    <x v="3"/>
    <n v="0"/>
    <n v="0"/>
    <n v="1242.847"/>
    <n v="1242.847"/>
    <n v="1242.847"/>
    <n v="1242.847"/>
    <m/>
    <n v="333.61"/>
    <n v="128.11000000000001"/>
    <m/>
    <n v="573847.31683999998"/>
    <n v="573847.31683999998"/>
    <n v="500904.62641000003"/>
    <n v="0"/>
    <n v="76082.184651619973"/>
    <n v="0"/>
    <n v="0"/>
    <n v="0"/>
    <n v="0"/>
    <n v="241729.01652421657"/>
    <n v="159222.42971639941"/>
    <n v="0"/>
    <n v="0"/>
    <n v="0"/>
    <n v="0"/>
    <n v="0"/>
    <n v="11749.68962443419"/>
    <m/>
    <n v="1069.3305281369323"/>
    <n v="4320.1612382561279"/>
    <n v="23045.659004899084"/>
    <n v="0"/>
    <n v="0"/>
    <n v="0"/>
    <n v="0"/>
    <n v="0"/>
    <n v="0"/>
    <n v="0"/>
    <n v="0"/>
    <n v="0"/>
    <n v="0"/>
    <m/>
    <n v="0"/>
    <n v="0"/>
    <n v="0"/>
    <n v="0"/>
    <n v="0"/>
    <n v="16863.408989611551"/>
    <n v="0"/>
    <n v="0"/>
    <n v="0"/>
    <n v="135548.72"/>
    <n v="2373"/>
    <m/>
    <m/>
    <m/>
    <m/>
    <m/>
    <n v="60116.509389999992"/>
    <m/>
    <m/>
    <m/>
    <n v="176085.83870601095"/>
    <m/>
    <m/>
    <m/>
    <m/>
    <m/>
    <m/>
    <m/>
    <m/>
    <m/>
    <m/>
    <m/>
    <m/>
    <n v="440789.18099999998"/>
    <n v="-64204.442039999994"/>
    <m/>
    <m/>
    <m/>
    <m/>
    <n v="-80225.773850000012"/>
    <n v="7283.0834199999817"/>
    <m/>
    <n v="1791.0878098200774"/>
    <n v="315.35366951887136"/>
    <n v="1682.236549256555"/>
    <n v="0"/>
    <n v="0"/>
    <n v="0"/>
    <n v="0"/>
    <n v="0"/>
    <n v="0"/>
    <n v="0"/>
    <n v="0"/>
    <n v="7282.3802886870399"/>
    <n v="0"/>
    <n v="0"/>
    <n v="0"/>
    <n v="771.28428101950703"/>
    <n v="0"/>
    <n v="-7196.7038164596161"/>
    <m/>
    <n v="0"/>
    <n v="0"/>
    <n v="0"/>
    <n v="0"/>
    <n v="-938.17254281253372"/>
    <n v="-125.29061938971927"/>
    <n v="0"/>
    <n v="0"/>
    <m/>
    <m/>
    <m/>
    <n v="241729.01652421657"/>
    <n v="0"/>
    <n v="0"/>
    <n v="-80225.773849999998"/>
    <n v="7283.0834200000099"/>
    <n v="0"/>
    <n v="0"/>
    <n v="-74742.835487615928"/>
    <n v="0"/>
    <n v="0"/>
    <n v="0"/>
    <n v="0"/>
    <n v="0"/>
    <n v="0"/>
    <n v="0"/>
    <n v="0"/>
    <n v="0"/>
    <n v="0"/>
    <n v="0"/>
    <n v="0"/>
    <n v="39769.25818296588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0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10.256"/>
    <n v="10.256"/>
    <n v="10.256"/>
    <n v="10.256"/>
    <m/>
    <n v="333.61"/>
    <n v="128.11000000000001"/>
    <m/>
    <n v="4735.4003200000006"/>
    <n v="4735.4003200000006"/>
    <n v="4133.4756800000005"/>
    <n v="0"/>
    <n v="627.8318133986038"/>
    <n v="0"/>
    <n v="0"/>
    <n v="0"/>
    <n v="0"/>
    <n v="1994.7530093988762"/>
    <n v="1313.9068921366768"/>
    <n v="0"/>
    <n v="0"/>
    <n v="0"/>
    <n v="0"/>
    <n v="0"/>
    <n v="96.958689837282506"/>
    <m/>
    <n v="8.8241383666472046"/>
    <n v="35.650062847281163"/>
    <n v="190.17327052665775"/>
    <n v="0"/>
    <n v="0"/>
    <n v="0"/>
    <n v="0"/>
    <n v="0"/>
    <n v="0"/>
    <n v="0"/>
    <n v="0"/>
    <n v="0"/>
    <n v="0"/>
    <m/>
    <n v="0"/>
    <n v="0"/>
    <n v="0"/>
    <n v="0"/>
    <n v="0"/>
    <n v="139.15721130393047"/>
    <n v="0"/>
    <n v="0"/>
    <n v="0"/>
    <n v="4595.74"/>
    <n v="17"/>
    <m/>
    <m/>
    <m/>
    <m/>
    <m/>
    <n v="496.08271999999988"/>
    <m/>
    <m/>
    <m/>
    <n v="1453.0641034406071"/>
    <m/>
    <m/>
    <m/>
    <m/>
    <m/>
    <m/>
    <m/>
    <m/>
    <m/>
    <m/>
    <m/>
    <m/>
    <n v="3638.8116"/>
    <n v="-528.43632000000071"/>
    <m/>
    <m/>
    <m/>
    <m/>
    <n v="-662.02480000000014"/>
    <n v="60.100159999999853"/>
    <m/>
    <n v="14.780094876935436"/>
    <n v="2.602305219053946"/>
    <n v="13.881851948932763"/>
    <n v="0"/>
    <n v="0"/>
    <n v="0"/>
    <n v="0"/>
    <n v="0"/>
    <n v="0"/>
    <n v="0"/>
    <n v="0"/>
    <n v="60.094357745381785"/>
    <n v="0"/>
    <n v="0"/>
    <n v="0"/>
    <n v="6.364654367058904"/>
    <n v="0"/>
    <n v="-59.387353665905721"/>
    <m/>
    <n v="0"/>
    <n v="0"/>
    <n v="0"/>
    <n v="0"/>
    <n v="-7.7418198692882783"/>
    <n v="-1.0339008682975148"/>
    <n v="0"/>
    <n v="0"/>
    <m/>
    <m/>
    <m/>
    <n v="1994.7530093988762"/>
    <n v="0"/>
    <n v="0"/>
    <n v="-662.02480000000014"/>
    <n v="60.100159999999732"/>
    <n v="0"/>
    <n v="0"/>
    <n v="-616.77947547927374"/>
    <n v="0"/>
    <n v="0"/>
    <n v="0"/>
    <n v="0"/>
    <n v="0"/>
    <n v="0"/>
    <n v="0"/>
    <n v="0"/>
    <n v="0"/>
    <n v="0"/>
    <n v="0"/>
    <n v="0"/>
    <n v="328.1767682783947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203.458"/>
    <n v="203.458"/>
    <n v="203.458"/>
    <n v="203.458"/>
    <m/>
    <n v="333.61"/>
    <n v="128.11000000000001"/>
    <m/>
    <n v="93940.627760000003"/>
    <n v="93940.627760000003"/>
    <n v="81999.677739999999"/>
    <n v="0"/>
    <n v="12454.895192126864"/>
    <n v="0"/>
    <n v="0"/>
    <n v="0"/>
    <n v="0"/>
    <n v="39571.807506462224"/>
    <n v="26065.217283574882"/>
    <n v="0"/>
    <n v="0"/>
    <n v="0"/>
    <n v="0"/>
    <n v="0"/>
    <n v="1923.4614973589923"/>
    <m/>
    <n v="175.05280263273272"/>
    <n v="707.2241114257148"/>
    <n v="3772.6475501962491"/>
    <n v="0"/>
    <n v="0"/>
    <n v="0"/>
    <n v="0"/>
    <n v="0"/>
    <n v="0"/>
    <n v="0"/>
    <n v="0"/>
    <n v="0"/>
    <n v="0"/>
    <m/>
    <n v="0"/>
    <n v="0"/>
    <n v="0"/>
    <n v="0"/>
    <n v="0"/>
    <n v="2760.593593747571"/>
    <n v="0"/>
    <n v="0"/>
    <n v="0"/>
    <n v="30902.86"/>
    <n v="211"/>
    <m/>
    <m/>
    <m/>
    <m/>
    <m/>
    <m/>
    <m/>
    <m/>
    <m/>
    <n v="28825.810877322452"/>
    <m/>
    <m/>
    <m/>
    <m/>
    <m/>
    <m/>
    <m/>
    <m/>
    <m/>
    <m/>
    <m/>
    <m/>
    <n v="82000.483800000002"/>
    <n v="-11940.173959999986"/>
    <m/>
    <m/>
    <m/>
    <m/>
    <n v="-13133.213900000002"/>
    <n v="1192.263879999997"/>
    <m/>
    <n v="293.20676125893806"/>
    <n v="51.624396963560571"/>
    <n v="275.38746429660296"/>
    <n v="0"/>
    <n v="0"/>
    <n v="0"/>
    <n v="0"/>
    <n v="0"/>
    <n v="0"/>
    <n v="0"/>
    <n v="0"/>
    <n v="1192.148775171594"/>
    <n v="0"/>
    <n v="0"/>
    <n v="0"/>
    <n v="126.2616856682007"/>
    <n v="0"/>
    <n v="-1178.1232646409753"/>
    <m/>
    <n v="0"/>
    <n v="0"/>
    <n v="0"/>
    <n v="0"/>
    <n v="-153.58182400211172"/>
    <n v="-20.510472197940288"/>
    <n v="0"/>
    <n v="0"/>
    <m/>
    <m/>
    <m/>
    <n v="39571.807506462224"/>
    <n v="0"/>
    <n v="0"/>
    <n v="-13133.213900000002"/>
    <n v="1192.2638799999986"/>
    <n v="0"/>
    <n v="0"/>
    <n v="-12235.639481480313"/>
    <n v="0"/>
    <n v="0"/>
    <n v="0"/>
    <n v="0"/>
    <n v="0"/>
    <n v="0"/>
    <n v="0"/>
    <n v="0"/>
    <n v="0"/>
    <n v="0"/>
    <n v="0"/>
    <n v="0"/>
    <n v="6510.353833890955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2"/>
    <s v="Regular"/>
    <s v="Verde"/>
    <s v="A4"/>
    <s v="Poder público"/>
    <s v="Não se aplica"/>
    <s v="Não se aplica"/>
    <s v="Não se aplica"/>
    <s v="Ponta"/>
    <s v="CATIVO"/>
    <x v="3"/>
    <n v="0"/>
    <n v="0"/>
    <n v="2.165"/>
    <n v="2.165"/>
    <n v="2.165"/>
    <n v="2.165"/>
    <m/>
    <n v="1351.49"/>
    <n v="128.11000000000001"/>
    <m/>
    <n v="3203.3340000000003"/>
    <n v="3203.3340000000003"/>
    <n v="2472.2351500000004"/>
    <n v="0"/>
    <n v="115.30349182204961"/>
    <n v="0"/>
    <n v="0"/>
    <n v="0"/>
    <n v="0"/>
    <n v="2433.3401259887805"/>
    <n v="277.36041551052119"/>
    <n v="0"/>
    <n v="0"/>
    <n v="0"/>
    <n v="0"/>
    <n v="0"/>
    <n v="20.467586144473152"/>
    <m/>
    <n v="1.06431541307847"/>
    <n v="44.972525528992037"/>
    <n v="239.21534779821027"/>
    <n v="0"/>
    <n v="0"/>
    <n v="0"/>
    <n v="0"/>
    <n v="0"/>
    <n v="0"/>
    <n v="0"/>
    <n v="0"/>
    <n v="0"/>
    <n v="0"/>
    <m/>
    <n v="0"/>
    <n v="0"/>
    <n v="0"/>
    <n v="0"/>
    <n v="0"/>
    <n v="11.34160215527829"/>
    <n v="0"/>
    <n v="0"/>
    <n v="0"/>
    <n v="0"/>
    <n v="0"/>
    <m/>
    <m/>
    <m/>
    <m/>
    <m/>
    <m/>
    <m/>
    <m/>
    <m/>
    <n v="288.70201766579947"/>
    <m/>
    <m/>
    <m/>
    <m/>
    <m/>
    <m/>
    <m/>
    <m/>
    <m/>
    <m/>
    <m/>
    <m/>
    <n v="2477.9447"/>
    <n v="-725.41930000000093"/>
    <m/>
    <m/>
    <m/>
    <m/>
    <n v="-743.78574999999989"/>
    <n v="12.686899999999968"/>
    <m/>
    <n v="21.283268355174187"/>
    <n v="3.282805934998656"/>
    <n v="17.46171811028276"/>
    <n v="0"/>
    <n v="0"/>
    <n v="0"/>
    <n v="0"/>
    <n v="0"/>
    <n v="0"/>
    <n v="0"/>
    <n v="0"/>
    <n v="12.685675167584975"/>
    <n v="0"/>
    <n v="0"/>
    <n v="0"/>
    <n v="0.51873256880224261"/>
    <n v="0"/>
    <n v="-10.906693642494005"/>
    <m/>
    <n v="0"/>
    <n v="0"/>
    <n v="0"/>
    <n v="0"/>
    <n v="-1.634266772329287"/>
    <n v="-0.12470301167119546"/>
    <n v="0"/>
    <n v="0"/>
    <m/>
    <m/>
    <m/>
    <n v="2433.3401259887805"/>
    <n v="0"/>
    <n v="0"/>
    <n v="-743.78575000000001"/>
    <n v="12.68689999999998"/>
    <n v="0"/>
    <n v="0"/>
    <n v="-752.3910175838264"/>
    <n v="0"/>
    <n v="0"/>
    <n v="0"/>
    <n v="0"/>
    <n v="0"/>
    <n v="0"/>
    <n v="0"/>
    <n v="0"/>
    <n v="0"/>
    <n v="0"/>
    <n v="0"/>
    <n v="0"/>
    <n v="60.27080264145570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3"/>
    <s v="Regular"/>
    <s v="Verde"/>
    <s v="A4"/>
    <s v="Poder público"/>
    <s v="Não se aplica"/>
    <s v="Não se aplica"/>
    <s v="Não se aplica"/>
    <s v="Fora ponta"/>
    <s v="CATIVO"/>
    <x v="3"/>
    <n v="0"/>
    <n v="0"/>
    <n v="20.936"/>
    <n v="20.936"/>
    <n v="20.936"/>
    <n v="20.936"/>
    <m/>
    <n v="96.28"/>
    <n v="128.11000000000001"/>
    <m/>
    <n v="4697.8290400000005"/>
    <n v="4697.8290400000005"/>
    <n v="4703.06304"/>
    <n v="0"/>
    <n v="1115.0087320029702"/>
    <n v="0"/>
    <n v="0"/>
    <n v="0"/>
    <n v="0"/>
    <n v="0"/>
    <n v="2682.1328679576309"/>
    <n v="0"/>
    <n v="0"/>
    <n v="0"/>
    <n v="0"/>
    <n v="0"/>
    <n v="197.92581224974128"/>
    <m/>
    <n v="10.292151264762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.67565021843247"/>
    <n v="0"/>
    <n v="0"/>
    <n v="0"/>
    <n v="0"/>
    <n v="0"/>
    <m/>
    <m/>
    <m/>
    <m/>
    <m/>
    <m/>
    <m/>
    <m/>
    <m/>
    <n v="2791.8085181760634"/>
    <m/>
    <m/>
    <m/>
    <m/>
    <m/>
    <m/>
    <m/>
    <m/>
    <m/>
    <m/>
    <m/>
    <m/>
    <n v="4703.9616000000005"/>
    <n v="6.1025599999993574"/>
    <m/>
    <m/>
    <m/>
    <m/>
    <n v="-117.45095999999998"/>
    <n v="122.68495999999969"/>
    <m/>
    <n v="5.2097694558497096"/>
    <n v="0"/>
    <n v="0"/>
    <n v="0"/>
    <n v="0"/>
    <n v="0"/>
    <n v="0"/>
    <n v="0"/>
    <n v="0"/>
    <n v="0"/>
    <n v="0"/>
    <n v="122.67311561596262"/>
    <n v="0"/>
    <n v="0"/>
    <n v="0"/>
    <n v="5.0162517600201966"/>
    <n v="0"/>
    <n v="-105.46999450311978"/>
    <m/>
    <n v="0"/>
    <n v="0"/>
    <n v="0"/>
    <n v="0"/>
    <n v="-15.803699374358388"/>
    <n v="-1.2059040426550336"/>
    <n v="0"/>
    <n v="0"/>
    <m/>
    <m/>
    <m/>
    <n v="0"/>
    <n v="0"/>
    <n v="0"/>
    <n v="-117.45096000000012"/>
    <n v="122.68495999999959"/>
    <n v="0"/>
    <n v="0"/>
    <n v="0"/>
    <n v="0"/>
    <n v="0"/>
    <n v="0"/>
    <n v="0"/>
    <n v="0"/>
    <n v="0"/>
    <n v="0"/>
    <n v="0"/>
    <n v="0"/>
    <n v="0"/>
    <n v="0"/>
    <n v="0"/>
    <n v="582.8311889614394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4"/>
    <s v="Regular"/>
    <s v="Verde"/>
    <s v="A4"/>
    <s v="Poder público"/>
    <s v="Não se aplica"/>
    <s v="Não se aplica"/>
    <s v="Não se aplica"/>
    <s v="Não se aplica"/>
    <s v="CATIVO"/>
    <x v="3"/>
    <n v="351"/>
    <n v="351"/>
    <n v="0"/>
    <n v="0"/>
    <n v="0"/>
    <n v="0"/>
    <n v="18.12"/>
    <m/>
    <m/>
    <n v="6360.1200000000008"/>
    <m/>
    <n v="6360.1200000000008"/>
    <n v="5071.95"/>
    <n v="0"/>
    <n v="0"/>
    <n v="0"/>
    <n v="0"/>
    <n v="0"/>
    <n v="0"/>
    <n v="4583.6873496134021"/>
    <m/>
    <m/>
    <m/>
    <n v="0"/>
    <n v="0"/>
    <n v="0"/>
    <n v="0"/>
    <m/>
    <n v="0"/>
    <n v="278.99951460146156"/>
    <n v="1495.7236849872902"/>
    <n v="0"/>
    <n v="0"/>
    <m/>
    <m/>
    <n v="0"/>
    <n v="0"/>
    <n v="0"/>
    <m/>
    <m/>
    <n v="0"/>
    <m/>
    <n v="0"/>
    <n v="0"/>
    <n v="0"/>
    <n v="0"/>
    <m/>
    <n v="0"/>
    <n v="0"/>
    <n v="0"/>
    <n v="0"/>
    <n v="5021.68"/>
    <n v="3"/>
    <m/>
    <m/>
    <m/>
    <m/>
    <m/>
    <m/>
    <m/>
    <m/>
    <m/>
    <n v="0"/>
    <m/>
    <m/>
    <m/>
    <m/>
    <m/>
    <m/>
    <m/>
    <m/>
    <m/>
    <m/>
    <m/>
    <m/>
    <n v="5071.95"/>
    <n v="-1288.2000000000016"/>
    <m/>
    <m/>
    <m/>
    <m/>
    <n v="-1288.1700000000005"/>
    <n v="0"/>
    <m/>
    <n v="129.54735772697359"/>
    <n v="20.365795596802172"/>
    <n v="109.18156213017164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83.6873496134021"/>
    <m/>
    <n v="0"/>
    <n v="0"/>
    <n v="-1288.170000000001"/>
    <m/>
    <n v="0"/>
    <m/>
    <n v="-1417.2803680128304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65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747.09400000000005"/>
    <n v="747.09400000000005"/>
    <n v="747.09400000000005"/>
    <n v="747.09400000000005"/>
    <m/>
    <n v="183.49"/>
    <n v="70.459999999999994"/>
    <m/>
    <n v="189724.52130000002"/>
    <n v="189724.52130000002"/>
    <n v="165600.85604000001"/>
    <n v="0"/>
    <n v="25153.779196525851"/>
    <n v="0"/>
    <n v="0"/>
    <n v="0"/>
    <n v="0"/>
    <n v="79918.818510346886"/>
    <n v="52641.046764886807"/>
    <n v="0"/>
    <n v="0"/>
    <n v="0"/>
    <n v="0"/>
    <n v="0"/>
    <n v="3884.60320630968"/>
    <m/>
    <n v="353.53485334346317"/>
    <n v="1428.3025964366898"/>
    <n v="7619.2004830307533"/>
    <n v="0"/>
    <n v="0"/>
    <n v="0"/>
    <n v="0"/>
    <n v="0"/>
    <n v="0"/>
    <n v="0"/>
    <n v="0"/>
    <n v="0"/>
    <n v="0"/>
    <m/>
    <n v="0"/>
    <n v="0"/>
    <n v="0"/>
    <n v="0"/>
    <n v="0"/>
    <n v="5575.2666431400212"/>
    <n v="0"/>
    <n v="0"/>
    <n v="0"/>
    <n v="90562.62"/>
    <n v="13"/>
    <m/>
    <m/>
    <m/>
    <m/>
    <m/>
    <m/>
    <m/>
    <m/>
    <m/>
    <n v="58216.313408026828"/>
    <m/>
    <m/>
    <m/>
    <m/>
    <m/>
    <m/>
    <m/>
    <m/>
    <m/>
    <m/>
    <m/>
    <m/>
    <n v="165599.9694"/>
    <n v="-24124.581900000048"/>
    <m/>
    <m/>
    <m/>
    <m/>
    <n v="-26529.307940000017"/>
    <n v="2405.6426800000099"/>
    <m/>
    <n v="592.15738212688302"/>
    <n v="104.26010515095004"/>
    <n v="556.1697118725715"/>
    <n v="0"/>
    <n v="0"/>
    <n v="0"/>
    <n v="0"/>
    <n v="0"/>
    <n v="0"/>
    <n v="0"/>
    <n v="0"/>
    <n v="2407.6514974633683"/>
    <n v="0"/>
    <n v="0"/>
    <n v="0"/>
    <n v="254.99681155785038"/>
    <n v="0"/>
    <n v="-2379.3257195614569"/>
    <m/>
    <n v="0"/>
    <n v="0"/>
    <n v="0"/>
    <n v="0"/>
    <n v="-310.17228406632876"/>
    <n v="-41.42274029006677"/>
    <n v="0"/>
    <n v="0"/>
    <m/>
    <m/>
    <m/>
    <n v="79918.818510346886"/>
    <n v="0"/>
    <n v="0"/>
    <n v="-26529.307940000013"/>
    <n v="2405.6426800000118"/>
    <n v="0"/>
    <n v="0"/>
    <n v="-24710.972601359565"/>
    <n v="0"/>
    <n v="0"/>
    <n v="0"/>
    <n v="0"/>
    <n v="0"/>
    <n v="0"/>
    <n v="0"/>
    <n v="0"/>
    <n v="0"/>
    <n v="0"/>
    <n v="0"/>
    <n v="0"/>
    <n v="13148.24414841056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6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73.266000000000005"/>
    <n v="68.870040000000003"/>
    <n v="73.266000000000005"/>
    <n v="68.870040000000003"/>
    <m/>
    <n v="333.61"/>
    <n v="128.11000000000001"/>
    <m/>
    <n v="33828.377520000002"/>
    <n v="33828.377520000002"/>
    <n v="29528.395980000001"/>
    <n v="0"/>
    <n v="4485.0551521511416"/>
    <n v="0"/>
    <n v="0"/>
    <n v="0"/>
    <n v="0"/>
    <n v="14249.958462033745"/>
    <n v="9386.1839273874575"/>
    <n v="0"/>
    <n v="0"/>
    <n v="0"/>
    <n v="0"/>
    <n v="0"/>
    <n v="692.645804369963"/>
    <m/>
    <n v="63.037180340364095"/>
    <n v="254.67409365921429"/>
    <n v="1358.544738534137"/>
    <n v="0"/>
    <n v="0"/>
    <n v="0"/>
    <n v="0"/>
    <n v="0"/>
    <n v="0"/>
    <n v="0"/>
    <n v="0"/>
    <n v="0"/>
    <n v="0"/>
    <m/>
    <n v="0"/>
    <n v="0"/>
    <n v="0"/>
    <n v="0"/>
    <n v="0"/>
    <n v="994.10025774120231"/>
    <n v="0"/>
    <n v="0"/>
    <n v="0"/>
    <n v="12719.93"/>
    <n v="28"/>
    <m/>
    <m/>
    <m/>
    <m/>
    <n v="1771.703758800001"/>
    <m/>
    <m/>
    <m/>
    <m/>
    <n v="10380.284185128659"/>
    <m/>
    <m/>
    <m/>
    <m/>
    <m/>
    <m/>
    <m/>
    <m/>
    <m/>
    <m/>
    <m/>
    <m/>
    <n v="27756.676100000004"/>
    <n v="-4042.0287687999953"/>
    <m/>
    <m/>
    <m/>
    <m/>
    <n v="-4729.3203000000012"/>
    <n v="429.33875999999896"/>
    <m/>
    <n v="105.5848704420423"/>
    <n v="18.590141788144138"/>
    <n v="99.168073799776266"/>
    <n v="0"/>
    <n v="0"/>
    <n v="0"/>
    <n v="0"/>
    <n v="0"/>
    <n v="0"/>
    <n v="0"/>
    <n v="0"/>
    <n v="429.29731031329356"/>
    <n v="0"/>
    <n v="0"/>
    <n v="0"/>
    <n v="45.467313461089816"/>
    <n v="0"/>
    <n v="-424.24667060123329"/>
    <m/>
    <n v="0"/>
    <n v="0"/>
    <n v="0"/>
    <n v="0"/>
    <n v="-55.305399233938715"/>
    <n v="-7.3858990850902657"/>
    <n v="0"/>
    <n v="0"/>
    <m/>
    <m/>
    <m/>
    <n v="14249.958462033745"/>
    <n v="0"/>
    <n v="0"/>
    <n v="-4729.3202999999994"/>
    <n v="429.33875999999873"/>
    <n v="0"/>
    <n v="0"/>
    <n v="-4406.1003364337448"/>
    <n v="0"/>
    <n v="0"/>
    <n v="0"/>
    <n v="0"/>
    <n v="0"/>
    <n v="0"/>
    <n v="0"/>
    <n v="0"/>
    <n v="0"/>
    <n v="0"/>
    <n v="0"/>
    <n v="0"/>
    <n v="2344.40318883432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7"/>
    <s v="Regular"/>
    <s v="Azul"/>
    <s v="A4"/>
    <s v="Serviço público"/>
    <s v="Água, esgoto e saneamento"/>
    <s v="Não se aplica"/>
    <s v="Não se aplica"/>
    <s v="Ponta"/>
    <s v="CATIVO"/>
    <x v="3"/>
    <n v="386"/>
    <n v="362.84"/>
    <n v="21.445"/>
    <n v="20.158300000000001"/>
    <n v="21.445"/>
    <n v="20.158300000000001"/>
    <n v="52.19"/>
    <n v="96.28"/>
    <n v="128.11000000000001"/>
    <n v="20145.34"/>
    <n v="4812.0435500000003"/>
    <n v="24957.383550000002"/>
    <n v="19539.444800000001"/>
    <n v="0"/>
    <n v="1142.1170356230273"/>
    <n v="0"/>
    <n v="0"/>
    <n v="0"/>
    <n v="0"/>
    <n v="18039.187560034698"/>
    <n v="2747.3413905880493"/>
    <n v="0"/>
    <n v="0"/>
    <n v="0"/>
    <n v="0"/>
    <n v="0"/>
    <n v="202.73782211003544"/>
    <m/>
    <n v="10.542375996982814"/>
    <n v="333.36103897328263"/>
    <n v="1773.3936491768616"/>
    <n v="0"/>
    <n v="0"/>
    <n v="0"/>
    <n v="0"/>
    <n v="0"/>
    <n v="0"/>
    <n v="0"/>
    <n v="0"/>
    <n v="0"/>
    <n v="0"/>
    <m/>
    <n v="0"/>
    <n v="0"/>
    <n v="0"/>
    <n v="0"/>
    <n v="0"/>
    <n v="112.34210541336856"/>
    <n v="0"/>
    <n v="0"/>
    <n v="0"/>
    <n v="0"/>
    <n v="0"/>
    <m/>
    <m/>
    <m/>
    <m/>
    <n v="1172.366688000001"/>
    <m/>
    <m/>
    <m/>
    <m/>
    <n v="2859.683496001418"/>
    <m/>
    <m/>
    <m/>
    <m/>
    <m/>
    <m/>
    <m/>
    <m/>
    <m/>
    <m/>
    <m/>
    <m/>
    <n v="18367.46"/>
    <n v="-5092.5105369999947"/>
    <m/>
    <m/>
    <m/>
    <m/>
    <n v="-5543.6064499999993"/>
    <n v="125.66769999999968"/>
    <m/>
    <n v="159.12069558453368"/>
    <n v="24.333959108730255"/>
    <n v="129.45030611753623"/>
    <n v="0"/>
    <n v="0"/>
    <n v="0"/>
    <n v="0"/>
    <n v="0"/>
    <n v="0"/>
    <n v="0"/>
    <n v="0"/>
    <n v="125.65556765305291"/>
    <n v="0"/>
    <n v="0"/>
    <n v="0"/>
    <n v="5.1382078235400002"/>
    <n v="0"/>
    <n v="-108.03420099920754"/>
    <m/>
    <n v="0"/>
    <n v="0"/>
    <n v="0"/>
    <n v="0"/>
    <n v="-16.187921908822858"/>
    <n v="-1.2352222102950527"/>
    <n v="0"/>
    <n v="0"/>
    <m/>
    <m/>
    <n v="18039.187560034698"/>
    <n v="0"/>
    <n v="0"/>
    <n v="0"/>
    <n v="-5543.6064499999993"/>
    <n v="125.66769999999951"/>
    <n v="0"/>
    <n v="0"/>
    <n v="-5577.7334782431626"/>
    <n v="0"/>
    <n v="0"/>
    <n v="0"/>
    <n v="0"/>
    <n v="0"/>
    <n v="0"/>
    <n v="0"/>
    <n v="0"/>
    <n v="0"/>
    <n v="0"/>
    <n v="0"/>
    <n v="0"/>
    <n v="597.001091291463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8"/>
    <s v="Regular"/>
    <s v="Azul"/>
    <s v="A4"/>
    <s v="Serviço público"/>
    <s v="Água, esgoto e saneamento"/>
    <s v="Não se aplica"/>
    <s v="Não se aplica"/>
    <s v="Fora ponta"/>
    <s v="CATIVO"/>
    <x v="3"/>
    <n v="447"/>
    <n v="420.18"/>
    <n v="145.358"/>
    <n v="136.63651999999999"/>
    <n v="145.358"/>
    <n v="136.63651999999999"/>
    <n v="18.12"/>
    <n v="96.28"/>
    <n v="128.11000000000001"/>
    <n v="8099.64"/>
    <n v="32616.881620000004"/>
    <n v="40716.52162"/>
    <n v="39112.371119999996"/>
    <n v="0"/>
    <n v="7741.4711151360225"/>
    <n v="0"/>
    <n v="0"/>
    <n v="0"/>
    <n v="0"/>
    <n v="5837.3454281401446"/>
    <n v="18621.965486271751"/>
    <n v="0"/>
    <n v="0"/>
    <n v="0"/>
    <n v="0"/>
    <n v="0"/>
    <n v="1374.192788354886"/>
    <m/>
    <n v="71.458087674023218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761.47464484385296"/>
    <n v="0"/>
    <n v="0"/>
    <n v="0"/>
    <n v="0"/>
    <n v="0"/>
    <m/>
    <m/>
    <m/>
    <m/>
    <n v="2346.742267200003"/>
    <m/>
    <m/>
    <m/>
    <m/>
    <n v="19383.440131115603"/>
    <m/>
    <m/>
    <m/>
    <m/>
    <m/>
    <m/>
    <m/>
    <m/>
    <m/>
    <m/>
    <m/>
    <m/>
    <n v="36766.410599999996"/>
    <n v="-1507.149722800008"/>
    <m/>
    <m/>
    <m/>
    <m/>
    <n v="-2455.9483800000007"/>
    <n v="851.79787999999792"/>
    <m/>
    <n v="201.15038176841335"/>
    <n v="25.935927725842078"/>
    <n v="139.04318596064581"/>
    <n v="0"/>
    <n v="0"/>
    <n v="0"/>
    <n v="0"/>
    <n v="0"/>
    <n v="0"/>
    <n v="0"/>
    <n v="0"/>
    <n v="851.71564480822781"/>
    <n v="0"/>
    <n v="0"/>
    <n v="0"/>
    <n v="34.827680709448714"/>
    <n v="0"/>
    <n v="-732.27490738367032"/>
    <m/>
    <n v="0"/>
    <n v="0"/>
    <n v="0"/>
    <n v="0"/>
    <n v="-109.72459560842503"/>
    <n v="-8.3725544436497259"/>
    <n v="0"/>
    <n v="0"/>
    <m/>
    <m/>
    <n v="5837.3454281401446"/>
    <n v="0"/>
    <n v="0"/>
    <n v="0"/>
    <n v="-2455.9483800000016"/>
    <n v="851.79787999999826"/>
    <n v="0"/>
    <n v="0"/>
    <n v="-1804.9126054180488"/>
    <n v="0"/>
    <n v="0"/>
    <n v="0"/>
    <n v="0"/>
    <n v="0"/>
    <n v="0"/>
    <n v="0"/>
    <n v="0"/>
    <n v="0"/>
    <n v="0"/>
    <n v="0"/>
    <n v="0"/>
    <n v="4046.57890547654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69"/>
    <s v="Regular"/>
    <s v="Azul"/>
    <s v="A4"/>
    <s v="Serviço público"/>
    <s v="Água, esgoto e saneamento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777.8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70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0.76400000000000001"/>
    <n v="0.76400000000000001"/>
    <n v="0.76400000000000001"/>
    <n v="0.76400000000000001"/>
    <m/>
    <n v="333.61"/>
    <n v="128.11000000000001"/>
    <m/>
    <n v="352.75408000000004"/>
    <n v="352.75408000000004"/>
    <n v="307.91492000000005"/>
    <n v="0"/>
    <n v="46.769062542563695"/>
    <n v="0"/>
    <n v="0"/>
    <n v="0"/>
    <n v="0"/>
    <n v="148.59509547394126"/>
    <n v="97.876839468839805"/>
    <n v="0"/>
    <n v="0"/>
    <n v="0"/>
    <n v="0"/>
    <n v="0"/>
    <n v="7.2227417156478007"/>
    <m/>
    <n v="0.65733636038596577"/>
    <n v="2.6556794086703208"/>
    <n v="14.166573584474115"/>
    <n v="0"/>
    <n v="0"/>
    <n v="0"/>
    <n v="0"/>
    <n v="0"/>
    <n v="0"/>
    <n v="0"/>
    <n v="0"/>
    <n v="0"/>
    <n v="0"/>
    <m/>
    <n v="0"/>
    <n v="0"/>
    <n v="0"/>
    <n v="0"/>
    <n v="0"/>
    <n v="10.366235319442559"/>
    <n v="0"/>
    <n v="0"/>
    <n v="0"/>
    <n v="138.78"/>
    <n v="2"/>
    <m/>
    <m/>
    <m/>
    <m/>
    <m/>
    <m/>
    <m/>
    <m/>
    <m/>
    <n v="108.24307478828237"/>
    <m/>
    <m/>
    <m/>
    <m/>
    <m/>
    <m/>
    <m/>
    <m/>
    <m/>
    <m/>
    <m/>
    <m/>
    <n v="306.30279999999999"/>
    <n v="-46.481280000000027"/>
    <m/>
    <m/>
    <m/>
    <m/>
    <n v="-49.316200000000009"/>
    <n v="4.477039999999989"/>
    <m/>
    <n v="1.1010133079152808"/>
    <n v="0.19385346990612451"/>
    <n v="1.034100515696629"/>
    <n v="0"/>
    <n v="0"/>
    <n v="0"/>
    <n v="0"/>
    <n v="0"/>
    <n v="0"/>
    <n v="0"/>
    <n v="0"/>
    <n v="4.476607772764396"/>
    <n v="0"/>
    <n v="0"/>
    <n v="0"/>
    <n v="0.47412206868496476"/>
    <n v="0"/>
    <n v="-4.4239409322106056"/>
    <m/>
    <n v="0"/>
    <n v="0"/>
    <n v="0"/>
    <n v="0"/>
    <n v="-0.5767112305125055"/>
    <n v="-7.7018356413738442E-2"/>
    <n v="0"/>
    <n v="0"/>
    <m/>
    <m/>
    <m/>
    <n v="148.59509547394126"/>
    <n v="0"/>
    <n v="0"/>
    <n v="-49.316200000000009"/>
    <n v="4.4770399999999881"/>
    <n v="0"/>
    <n v="0"/>
    <n v="-45.945740958089445"/>
    <n v="0"/>
    <n v="0"/>
    <n v="0"/>
    <n v="0"/>
    <n v="0"/>
    <n v="0"/>
    <n v="0"/>
    <n v="0"/>
    <n v="0"/>
    <n v="0"/>
    <n v="0"/>
    <n v="0"/>
    <n v="24.44686534367137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1"/>
    <s v="Regular"/>
    <s v="Verde"/>
    <s v="A4"/>
    <s v="Consumo próprio"/>
    <s v="Não se aplica"/>
    <s v="Não se aplica"/>
    <s v="Não se aplica"/>
    <s v="Ponta"/>
    <s v="CATIVO"/>
    <x v="3"/>
    <n v="0"/>
    <n v="0"/>
    <n v="1.1830000000000001"/>
    <n v="1.1830000000000001"/>
    <n v="1.1830000000000001"/>
    <n v="1.1830000000000001"/>
    <m/>
    <n v="1351.49"/>
    <n v="128.11000000000001"/>
    <m/>
    <n v="1750.3668"/>
    <n v="1750.3668"/>
    <n v="1350.8795300000002"/>
    <n v="0"/>
    <n v="63.004171281979076"/>
    <n v="0"/>
    <n v="0"/>
    <n v="0"/>
    <n v="0"/>
    <n v="1329.6264984040313"/>
    <n v="151.55536792099147"/>
    <n v="0"/>
    <n v="0"/>
    <n v="0"/>
    <n v="0"/>
    <n v="0"/>
    <n v="11.183905038758308"/>
    <m/>
    <n v="0.58156357213479448"/>
    <n v="24.573901940322209"/>
    <n v="130.71212768835233"/>
    <n v="0"/>
    <n v="0"/>
    <n v="0"/>
    <n v="0"/>
    <n v="0"/>
    <n v="0"/>
    <n v="0"/>
    <n v="0"/>
    <n v="0"/>
    <n v="0"/>
    <m/>
    <n v="0"/>
    <n v="0"/>
    <n v="0"/>
    <n v="0"/>
    <n v="0"/>
    <n v="6.1972819167178832"/>
    <n v="0"/>
    <n v="0"/>
    <n v="0"/>
    <n v="0"/>
    <n v="0"/>
    <m/>
    <m/>
    <m/>
    <m/>
    <m/>
    <m/>
    <m/>
    <m/>
    <m/>
    <n v="157.75264983770936"/>
    <m/>
    <m/>
    <m/>
    <m/>
    <m/>
    <m/>
    <m/>
    <m/>
    <m/>
    <m/>
    <m/>
    <m/>
    <n v="1347.4538"/>
    <n v="-402.94299999999998"/>
    <m/>
    <m/>
    <m/>
    <m/>
    <n v="-406.41964999999999"/>
    <n v="6.9323799999999824"/>
    <m/>
    <n v="11.629610376060441"/>
    <n v="1.793791880417281"/>
    <n v="9.5414376556417722"/>
    <n v="0"/>
    <n v="0"/>
    <n v="0"/>
    <n v="0"/>
    <n v="0"/>
    <n v="0"/>
    <n v="0"/>
    <n v="0"/>
    <n v="6.9317107266757603"/>
    <n v="0"/>
    <n v="0"/>
    <n v="0"/>
    <n v="0.2834460179644589"/>
    <n v="0"/>
    <n v="-5.959639066545229"/>
    <m/>
    <n v="0"/>
    <n v="0"/>
    <n v="0"/>
    <n v="0"/>
    <n v="-0.89299657813650946"/>
    <n v="-6.8140259957055083E-2"/>
    <n v="0"/>
    <n v="0"/>
    <m/>
    <m/>
    <m/>
    <n v="1329.6264984040313"/>
    <n v="0"/>
    <n v="0"/>
    <n v="-406.41964999999982"/>
    <n v="6.9323799999999949"/>
    <n v="0"/>
    <n v="0"/>
    <n v="-411.1217430954581"/>
    <n v="0"/>
    <n v="0"/>
    <n v="0"/>
    <n v="0"/>
    <n v="0"/>
    <n v="0"/>
    <n v="0"/>
    <n v="0"/>
    <n v="0"/>
    <n v="0"/>
    <n v="0"/>
    <n v="0"/>
    <n v="32.93319146643976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2"/>
    <s v="Regular"/>
    <s v="Verde"/>
    <s v="A4"/>
    <s v="Consumo próprio"/>
    <s v="Não se aplica"/>
    <s v="Não se aplica"/>
    <s v="Não se aplica"/>
    <s v="Fora ponta"/>
    <s v="CATIVO"/>
    <x v="3"/>
    <n v="0"/>
    <n v="0"/>
    <n v="15.787000000000001"/>
    <n v="15.787000000000001"/>
    <n v="15.787000000000001"/>
    <n v="15.787000000000001"/>
    <m/>
    <n v="96.28"/>
    <n v="128.11000000000001"/>
    <m/>
    <n v="3542.4449300000006"/>
    <n v="3542.4449300000006"/>
    <n v="3546.3916800000002"/>
    <n v="0"/>
    <n v="840.78347593288561"/>
    <n v="0"/>
    <n v="0"/>
    <n v="0"/>
    <n v="0"/>
    <n v="0"/>
    <n v="2022.4890899143641"/>
    <n v="0"/>
    <n v="0"/>
    <n v="0"/>
    <n v="0"/>
    <n v="0"/>
    <n v="149.24793647242385"/>
    <m/>
    <n v="7.76089950405071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702019965532742"/>
    <n v="0"/>
    <n v="0"/>
    <n v="0"/>
    <n v="0"/>
    <n v="0"/>
    <m/>
    <m/>
    <m/>
    <m/>
    <m/>
    <m/>
    <m/>
    <m/>
    <m/>
    <n v="2105.1911098798969"/>
    <m/>
    <m/>
    <m/>
    <m/>
    <m/>
    <m/>
    <m/>
    <m/>
    <m/>
    <m/>
    <m/>
    <m/>
    <n v="3547.0655999999999"/>
    <n v="4.5906699999991361"/>
    <m/>
    <m/>
    <m/>
    <m/>
    <n v="-88.565069999999992"/>
    <n v="92.511819999999773"/>
    <m/>
    <n v="3.9284787160627275"/>
    <n v="0"/>
    <n v="0"/>
    <n v="0"/>
    <n v="0"/>
    <n v="0"/>
    <n v="0"/>
    <n v="0"/>
    <n v="0"/>
    <n v="0"/>
    <n v="0"/>
    <n v="92.5028886238631"/>
    <n v="0"/>
    <n v="0"/>
    <n v="0"/>
    <n v="3.7825547638249333"/>
    <n v="0"/>
    <n v="-79.530703248985219"/>
    <m/>
    <n v="0"/>
    <n v="0"/>
    <n v="0"/>
    <n v="0"/>
    <n v="-11.916937429451451"/>
    <n v="-0.90932399318852841"/>
    <n v="0"/>
    <n v="0"/>
    <m/>
    <m/>
    <m/>
    <n v="0"/>
    <n v="0"/>
    <n v="0"/>
    <n v="-88.565070000000105"/>
    <n v="92.511819999999716"/>
    <n v="0"/>
    <n v="0"/>
    <n v="0"/>
    <n v="0"/>
    <n v="0"/>
    <n v="0"/>
    <n v="0"/>
    <n v="0"/>
    <n v="0"/>
    <n v="0"/>
    <n v="0"/>
    <n v="0"/>
    <n v="0"/>
    <n v="0"/>
    <n v="0"/>
    <n v="439.489681894069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3"/>
    <s v="Regular"/>
    <s v="Verde"/>
    <s v="A4"/>
    <s v="Consumo próprio"/>
    <s v="Não se aplica"/>
    <s v="Não se aplica"/>
    <s v="Não se aplica"/>
    <s v="Não se aplica"/>
    <s v="CATIVO"/>
    <x v="3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2830.62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m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74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0761.59"/>
    <n v="15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75"/>
    <s v="Regular"/>
    <s v="Convencional"/>
    <s v="B2"/>
    <s v="Rural"/>
    <s v="Agropecuária rural"/>
    <s v="IRRIG./AQUIC."/>
    <s v="Não se aplica"/>
    <s v="Não se aplica"/>
    <s v="CATIVO"/>
    <x v="3"/>
    <n v="0"/>
    <n v="0"/>
    <n v="163.185"/>
    <n v="163.185"/>
    <n v="163.185"/>
    <n v="163.185"/>
    <m/>
    <n v="333.61"/>
    <n v="128.11000000000001"/>
    <m/>
    <n v="75345.778200000001"/>
    <n v="75345.778200000001"/>
    <n v="65768.450550000009"/>
    <n v="0"/>
    <n v="9989.5411924191849"/>
    <n v="0"/>
    <n v="0"/>
    <n v="0"/>
    <n v="0"/>
    <n v="31738.862113763225"/>
    <n v="20905.801110893488"/>
    <n v="0"/>
    <n v="0"/>
    <n v="0"/>
    <n v="0"/>
    <n v="0"/>
    <n v="1542.726579670139"/>
    <m/>
    <n v="140.40240048374844"/>
    <n v="567.234351183071"/>
    <n v="3025.8799874115293"/>
    <n v="0"/>
    <n v="0"/>
    <n v="0"/>
    <n v="0"/>
    <n v="0"/>
    <n v="0"/>
    <n v="0"/>
    <n v="0"/>
    <n v="0"/>
    <n v="0"/>
    <m/>
    <n v="0"/>
    <n v="0"/>
    <n v="0"/>
    <n v="0"/>
    <n v="0"/>
    <n v="2214.1545950304112"/>
    <n v="0"/>
    <n v="0"/>
    <n v="0"/>
    <n v="0"/>
    <n v="0"/>
    <m/>
    <m/>
    <m/>
    <m/>
    <m/>
    <n v="7893.2584499999984"/>
    <m/>
    <m/>
    <m/>
    <n v="23119.955705923898"/>
    <m/>
    <m/>
    <m/>
    <m/>
    <m/>
    <m/>
    <m/>
    <m/>
    <m/>
    <m/>
    <m/>
    <m/>
    <n v="57876.965400000001"/>
    <n v="-8428.3937999999907"/>
    <m/>
    <m/>
    <m/>
    <m/>
    <n v="-10533.591750000001"/>
    <n v="956.2640999999976"/>
    <m/>
    <n v="235.16866053946433"/>
    <n v="41.405731003443748"/>
    <n v="220.87656106538543"/>
    <n v="0"/>
    <n v="0"/>
    <n v="0"/>
    <n v="0"/>
    <n v="0"/>
    <n v="0"/>
    <n v="0"/>
    <n v="0"/>
    <n v="956.17177931748301"/>
    <n v="0"/>
    <n v="0"/>
    <n v="0"/>
    <n v="101.26912274653887"/>
    <n v="0"/>
    <n v="-944.9225144277334"/>
    <m/>
    <n v="0"/>
    <n v="0"/>
    <n v="0"/>
    <n v="0"/>
    <n v="-123.18144260626059"/>
    <n v="-16.45057655939253"/>
    <n v="0"/>
    <n v="0"/>
    <m/>
    <m/>
    <m/>
    <n v="31738.862113763225"/>
    <n v="0"/>
    <n v="0"/>
    <n v="-10533.59175"/>
    <n v="956.26409999999669"/>
    <n v="0"/>
    <n v="0"/>
    <n v="-9813.6855212641676"/>
    <n v="0"/>
    <n v="0"/>
    <n v="0"/>
    <n v="0"/>
    <n v="0"/>
    <n v="0"/>
    <n v="0"/>
    <n v="0"/>
    <n v="0"/>
    <n v="0"/>
    <n v="0"/>
    <n v="0"/>
    <n v="5221.67764542802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6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128.13900000000001"/>
    <n v="51.255600000000001"/>
    <n v="128.13900000000001"/>
    <n v="51.255600000000001"/>
    <m/>
    <n v="333.61"/>
    <n v="128.11000000000001"/>
    <m/>
    <n v="59164.339080000005"/>
    <n v="59164.339080000005"/>
    <n v="51643.861170000004"/>
    <n v="0"/>
    <n v="7844.1634884051964"/>
    <n v="0"/>
    <n v="0"/>
    <n v="0"/>
    <n v="0"/>
    <n v="24922.548349391833"/>
    <n v="16416.021377876525"/>
    <n v="0"/>
    <n v="0"/>
    <n v="0"/>
    <n v="0"/>
    <n v="0"/>
    <n v="1211.4069380908293"/>
    <m/>
    <n v="110.24924592080794"/>
    <n v="445.41374836074118"/>
    <n v="2376.034780812734"/>
    <n v="0"/>
    <n v="0"/>
    <n v="0"/>
    <n v="0"/>
    <n v="0"/>
    <n v="0"/>
    <n v="0"/>
    <n v="0"/>
    <n v="0"/>
    <n v="0"/>
    <m/>
    <n v="0"/>
    <n v="0"/>
    <n v="0"/>
    <n v="0"/>
    <n v="0"/>
    <n v="1738.6374706780762"/>
    <n v="0"/>
    <n v="0"/>
    <n v="0"/>
    <n v="0"/>
    <n v="0"/>
    <m/>
    <m/>
    <m/>
    <m/>
    <m/>
    <m/>
    <n v="33465.550074000006"/>
    <m/>
    <m/>
    <n v="18154.658848554602"/>
    <m/>
    <m/>
    <m/>
    <m/>
    <m/>
    <m/>
    <m/>
    <m/>
    <m/>
    <m/>
    <m/>
    <m/>
    <n v="18179.871599999999"/>
    <n v="-2646.3337919999976"/>
    <m/>
    <m/>
    <m/>
    <m/>
    <n v="-8271.3724500000026"/>
    <n v="750.89453999999819"/>
    <m/>
    <n v="184.66327783108864"/>
    <n v="32.513337408770781"/>
    <n v="173.44058374456836"/>
    <n v="0"/>
    <n v="0"/>
    <n v="0"/>
    <n v="0"/>
    <n v="0"/>
    <n v="0"/>
    <n v="0"/>
    <n v="0"/>
    <n v="750.82204632756111"/>
    <n v="0"/>
    <n v="0"/>
    <n v="0"/>
    <n v="79.520324292176383"/>
    <n v="0"/>
    <n v="-741.98870040907696"/>
    <m/>
    <n v="0"/>
    <n v="0"/>
    <n v="0"/>
    <n v="0"/>
    <n v="-96.726702050578524"/>
    <n v="-12.917611482329875"/>
    <n v="0"/>
    <n v="0"/>
    <m/>
    <m/>
    <m/>
    <n v="24922.548349391833"/>
    <n v="0"/>
    <n v="0"/>
    <n v="-8271.3724500000026"/>
    <n v="750.89453999999751"/>
    <n v="0"/>
    <n v="0"/>
    <n v="-7706.075000822806"/>
    <n v="0"/>
    <n v="0"/>
    <n v="0"/>
    <n v="0"/>
    <n v="0"/>
    <n v="0"/>
    <n v="0"/>
    <n v="0"/>
    <n v="0"/>
    <n v="0"/>
    <n v="0"/>
    <n v="0"/>
    <n v="4100.257694074222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7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.6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78"/>
    <s v="Regular"/>
    <s v="Convencional"/>
    <s v="B2"/>
    <s v="Rural"/>
    <s v="Aquicultura"/>
    <s v="IRRIG./AQUIC."/>
    <s v="Não se aplica"/>
    <s v="Não se aplica"/>
    <s v="CATIVO"/>
    <x v="3"/>
    <n v="0"/>
    <n v="0"/>
    <n v="0.27600000000000002"/>
    <n v="0.27600000000000002"/>
    <n v="0.27600000000000002"/>
    <n v="0.27600000000000002"/>
    <m/>
    <n v="333.61"/>
    <n v="128.11000000000001"/>
    <m/>
    <n v="127.43472000000001"/>
    <n v="127.43472000000001"/>
    <n v="111.23628000000002"/>
    <n v="0"/>
    <n v="16.895629923753379"/>
    <n v="0"/>
    <n v="0"/>
    <n v="0"/>
    <n v="0"/>
    <n v="53.680950720952602"/>
    <n v="35.358648813350506"/>
    <n v="0"/>
    <n v="0"/>
    <n v="0"/>
    <n v="0"/>
    <n v="0"/>
    <n v="2.6092627140298337"/>
    <m/>
    <n v="0.23746706212896146"/>
    <n v="0.95938156648299555"/>
    <n v="5.1177674205691837"/>
    <n v="0"/>
    <n v="0"/>
    <n v="0"/>
    <n v="0"/>
    <n v="0"/>
    <n v="0"/>
    <n v="0"/>
    <n v="0"/>
    <n v="0"/>
    <n v="0"/>
    <m/>
    <n v="0"/>
    <n v="0"/>
    <n v="0"/>
    <n v="0"/>
    <n v="0"/>
    <n v="3.7448703510028096"/>
    <n v="0"/>
    <n v="0"/>
    <n v="0"/>
    <n v="0"/>
    <n v="0"/>
    <m/>
    <m/>
    <m/>
    <m/>
    <m/>
    <n v="13.35012"/>
    <m/>
    <m/>
    <m/>
    <n v="39.103519164353315"/>
    <m/>
    <m/>
    <m/>
    <m/>
    <m/>
    <m/>
    <m/>
    <m/>
    <m/>
    <m/>
    <m/>
    <m/>
    <n v="99.3048"/>
    <n v="-12.869520000000023"/>
    <m/>
    <m/>
    <m/>
    <m/>
    <n v="-17.815800000000003"/>
    <n v="1.6173599999999961"/>
    <m/>
    <n v="0.39774826306886268"/>
    <n v="7.0030834678128762E-2"/>
    <n v="0.37357557896893834"/>
    <n v="0"/>
    <n v="0"/>
    <n v="0"/>
    <n v="0"/>
    <n v="0"/>
    <n v="0"/>
    <n v="0"/>
    <n v="0"/>
    <n v="1.6172038550824297"/>
    <n v="0"/>
    <n v="0"/>
    <n v="0"/>
    <n v="0.17127970020556305"/>
    <n v="0"/>
    <n v="-1.5981776142540944"/>
    <m/>
    <n v="0"/>
    <n v="0"/>
    <n v="0"/>
    <n v="0"/>
    <n v="-0.20834070631080026"/>
    <n v="-2.7823385301298187E-2"/>
    <n v="0"/>
    <n v="0"/>
    <m/>
    <m/>
    <m/>
    <n v="53.680950720952602"/>
    <n v="0"/>
    <n v="0"/>
    <n v="-17.815799999999996"/>
    <n v="1.6173599999999979"/>
    <n v="0"/>
    <n v="0"/>
    <n v="-16.598199613131783"/>
    <n v="0"/>
    <n v="0"/>
    <n v="0"/>
    <n v="0"/>
    <n v="0"/>
    <n v="0"/>
    <n v="0"/>
    <n v="0"/>
    <n v="0"/>
    <n v="0"/>
    <n v="0"/>
    <n v="0"/>
    <n v="8.831590097975523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79"/>
    <s v="Regular"/>
    <s v="Convencional"/>
    <s v="B2"/>
    <s v="Rural"/>
    <s v="Aquicultura"/>
    <s v="IRRIG./AQUIC. PR"/>
    <s v="Não se aplica"/>
    <s v="Não se aplica"/>
    <s v="CATIVO"/>
    <x v="3"/>
    <n v="0"/>
    <n v="0"/>
    <n v="0.71699999999999997"/>
    <n v="0.2868"/>
    <n v="0.71699999999999997"/>
    <n v="0.2868"/>
    <m/>
    <n v="333.61"/>
    <n v="128.11000000000001"/>
    <m/>
    <n v="331.05324000000002"/>
    <n v="331.05324000000002"/>
    <n v="288.97251"/>
    <n v="0"/>
    <n v="43.891908171489746"/>
    <n v="0"/>
    <n v="0"/>
    <n v="0"/>
    <n v="0"/>
    <n v="139.45377415551815"/>
    <n v="91.855620286856194"/>
    <n v="0"/>
    <n v="0"/>
    <n v="0"/>
    <n v="0"/>
    <n v="0"/>
    <n v="6.7784107462296763"/>
    <m/>
    <n v="0.61689812879154104"/>
    <n v="2.4923064607547381"/>
    <n v="13.295069712130811"/>
    <n v="0"/>
    <n v="0"/>
    <n v="0"/>
    <n v="0"/>
    <n v="0"/>
    <n v="0"/>
    <n v="0"/>
    <n v="0"/>
    <n v="0"/>
    <n v="0"/>
    <m/>
    <n v="0"/>
    <n v="0"/>
    <n v="0"/>
    <n v="0"/>
    <n v="0"/>
    <n v="9.7285218901051245"/>
    <n v="0"/>
    <n v="0"/>
    <n v="0"/>
    <n v="0"/>
    <n v="0"/>
    <m/>
    <m/>
    <m/>
    <m/>
    <m/>
    <m/>
    <n v="187.25602199999997"/>
    <m/>
    <m/>
    <n v="101.58414217696132"/>
    <m/>
    <m/>
    <m/>
    <m/>
    <m/>
    <m/>
    <m/>
    <m/>
    <m/>
    <m/>
    <m/>
    <m/>
    <n v="102.85139999999998"/>
    <n v="-13.711176000000023"/>
    <m/>
    <m/>
    <m/>
    <m/>
    <n v="-46.282350000000008"/>
    <n v="4.2016199999999895"/>
    <m/>
    <n v="1.0332808138419693"/>
    <n v="0.18192792921818235"/>
    <n v="0.97048438449539631"/>
    <n v="0"/>
    <n v="0"/>
    <n v="0"/>
    <n v="0"/>
    <n v="0"/>
    <n v="0"/>
    <n v="0"/>
    <n v="0"/>
    <n v="4.2012143626597833"/>
    <n v="0"/>
    <n v="0"/>
    <n v="0"/>
    <n v="0.44495487336010342"/>
    <n v="0"/>
    <n v="-4.151787497899214"/>
    <m/>
    <n v="0"/>
    <n v="0"/>
    <n v="0"/>
    <n v="0"/>
    <n v="-0.54123292182914451"/>
    <n v="-7.2280316163155001E-2"/>
    <n v="0"/>
    <n v="0"/>
    <m/>
    <m/>
    <m/>
    <n v="139.45377415551815"/>
    <n v="0"/>
    <n v="0"/>
    <n v="-46.282350000000008"/>
    <n v="4.2016199999999913"/>
    <n v="0"/>
    <n v="0"/>
    <n v="-43.119235951505388"/>
    <n v="0"/>
    <n v="0"/>
    <n v="0"/>
    <n v="0"/>
    <n v="0"/>
    <n v="0"/>
    <n v="0"/>
    <n v="0"/>
    <n v="0"/>
    <n v="0"/>
    <n v="0"/>
    <n v="0"/>
    <n v="22.94293514582771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"/>
    <s v="Não se aplica"/>
    <s v="Não se aplica"/>
    <s v="Não se aplica"/>
    <s v="CATIVO"/>
    <x v="4"/>
    <n v="0"/>
    <n v="0"/>
    <n v="5813.1220000000003"/>
    <n v="5813.1220000000003"/>
    <n v="5813.1220000000003"/>
    <n v="5813.1220000000003"/>
    <m/>
    <n v="333.61"/>
    <n v="128.11000000000001"/>
    <m/>
    <n v="2684034.6898400001"/>
    <n v="2684034.6898400001"/>
    <n v="2342862.5596600003"/>
    <n v="0"/>
    <n v="355856.36961459811"/>
    <n v="0"/>
    <n v="0"/>
    <n v="0"/>
    <n v="0"/>
    <n v="1130630.1290466862"/>
    <n v="744725.14241725265"/>
    <n v="0"/>
    <n v="0"/>
    <n v="0"/>
    <n v="0"/>
    <n v="0"/>
    <n v="54956.385821400487"/>
    <m/>
    <n v="5001.5398664392487"/>
    <n v="20206.529313466533"/>
    <n v="107790.60283838396"/>
    <n v="0"/>
    <n v="0"/>
    <n v="0"/>
    <n v="0"/>
    <n v="0"/>
    <n v="0"/>
    <n v="0"/>
    <n v="0"/>
    <n v="0"/>
    <n v="0"/>
    <m/>
    <n v="0"/>
    <n v="0"/>
    <n v="0"/>
    <n v="0"/>
    <n v="0"/>
    <n v="78874.595016529536"/>
    <n v="0"/>
    <n v="0"/>
    <n v="0"/>
    <n v="754566.64"/>
    <n v="20729"/>
    <m/>
    <m/>
    <m/>
    <m/>
    <m/>
    <m/>
    <m/>
    <m/>
    <m/>
    <n v="823599.7374337822"/>
    <m/>
    <m/>
    <m/>
    <m/>
    <m/>
    <m/>
    <m/>
    <m/>
    <m/>
    <m/>
    <m/>
    <m/>
    <n v="2342861.7535999999"/>
    <n v="-341172.96624000045"/>
    <m/>
    <m/>
    <m/>
    <m/>
    <n v="-375237.02510000009"/>
    <n v="34064.894919999919"/>
    <n v="31"/>
    <n v="8377.3883279252332"/>
    <n v="1474.9919773398324"/>
    <n v="7868.2623795908585"/>
    <n v="0"/>
    <n v="0"/>
    <n v="0"/>
    <n v="0"/>
    <n v="0"/>
    <n v="0"/>
    <n v="0"/>
    <n v="0"/>
    <n v="34061.606190088554"/>
    <n v="0"/>
    <n v="0"/>
    <n v="0"/>
    <n v="3607.4992515158228"/>
    <n v="0"/>
    <n v="-33660.874816405703"/>
    <m/>
    <n v="0"/>
    <n v="0"/>
    <n v="0"/>
    <n v="0"/>
    <n v="-4388.079504894391"/>
    <n v="-586.01714930961225"/>
    <n v="0"/>
    <n v="0"/>
    <m/>
    <m/>
    <m/>
    <n v="1130630.1290466862"/>
    <n v="0"/>
    <n v="0"/>
    <n v="-375237.0251000002"/>
    <n v="34064.894919999992"/>
    <n v="0"/>
    <n v="0"/>
    <n v="-349591.8816358255"/>
    <n v="0"/>
    <n v="0"/>
    <n v="0"/>
    <n v="0"/>
    <n v="0"/>
    <n v="0"/>
    <n v="0"/>
    <n v="0"/>
    <n v="0"/>
    <n v="0"/>
    <n v="0"/>
    <n v="0"/>
    <n v="186011.2706287089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1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-20.109000000000002"/>
    <n v="-20.109000000000002"/>
    <n v="-20.109000000000002"/>
    <n v="-20.109000000000002"/>
    <m/>
    <n v="333.61"/>
    <n v="128.11000000000001"/>
    <m/>
    <n v="-9284.7274800000014"/>
    <n v="-9284.7274800000014"/>
    <n v="-8104.5302700000011"/>
    <n v="0"/>
    <n v="-1230.9935584665097"/>
    <n v="0"/>
    <n v="0"/>
    <n v="0"/>
    <n v="0"/>
    <n v="-3911.1240508972314"/>
    <n v="-2576.1850325640048"/>
    <n v="0"/>
    <n v="0"/>
    <n v="0"/>
    <n v="0"/>
    <n v="0"/>
    <n v="-190.10747795806495"/>
    <m/>
    <n v="-17.301540407069876"/>
    <n v="-69.899289566690427"/>
    <n v="-372.87385891386128"/>
    <n v="0"/>
    <n v="0"/>
    <n v="0"/>
    <n v="0"/>
    <n v="0"/>
    <n v="0"/>
    <n v="0"/>
    <n v="0"/>
    <n v="0"/>
    <n v="0"/>
    <m/>
    <n v="0"/>
    <n v="0"/>
    <n v="0"/>
    <n v="0"/>
    <n v="0"/>
    <n v="-272.84636916056343"/>
    <n v="0"/>
    <n v="0"/>
    <n v="0"/>
    <n v="-3616.61"/>
    <n v="0"/>
    <m/>
    <m/>
    <m/>
    <m/>
    <m/>
    <m/>
    <m/>
    <m/>
    <m/>
    <n v="-2849.0314017245682"/>
    <m/>
    <m/>
    <m/>
    <m/>
    <m/>
    <m/>
    <m/>
    <m/>
    <m/>
    <m/>
    <m/>
    <m/>
    <n v="-8104.9332999999997"/>
    <n v="1179.764180000001"/>
    <m/>
    <m/>
    <m/>
    <m/>
    <n v="1298.0359500000004"/>
    <n v="-117.83873999999972"/>
    <n v="31"/>
    <n v="-28.979419645114831"/>
    <n v="-5.1023552700814889"/>
    <n v="-27.218229411182563"/>
    <n v="0"/>
    <n v="0"/>
    <n v="0"/>
    <n v="0"/>
    <n v="0"/>
    <n v="0"/>
    <n v="0"/>
    <n v="0"/>
    <n v="-117.82736348497292"/>
    <n v="0"/>
    <n v="0"/>
    <n v="0"/>
    <n v="-12.479215548672698"/>
    <n v="0"/>
    <n v="116.44113639505645"/>
    <m/>
    <n v="0"/>
    <n v="0"/>
    <n v="0"/>
    <n v="0"/>
    <n v="15.179432113057544"/>
    <n v="2.027175561680453"/>
    <n v="0"/>
    <n v="0"/>
    <m/>
    <m/>
    <m/>
    <n v="-3911.1240508972314"/>
    <n v="0"/>
    <n v="0"/>
    <n v="1298.0359499999995"/>
    <n v="-117.83873999999969"/>
    <n v="0"/>
    <n v="0"/>
    <n v="1209.3231739871994"/>
    <n v="0"/>
    <n v="0"/>
    <n v="0"/>
    <n v="0"/>
    <n v="0"/>
    <n v="0"/>
    <n v="0"/>
    <n v="0"/>
    <n v="0"/>
    <n v="0"/>
    <n v="0"/>
    <n v="0"/>
    <n v="-643.458135073151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2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12.129"/>
    <n v="12.129"/>
    <n v="12.129"/>
    <n v="12.129"/>
    <m/>
    <n v="333.61"/>
    <n v="128.11000000000001"/>
    <m/>
    <n v="5600.2018800000005"/>
    <n v="5600.2018800000005"/>
    <n v="4888.3508700000002"/>
    <n v="0"/>
    <n v="742.48947588842282"/>
    <n v="0"/>
    <n v="0"/>
    <n v="0"/>
    <n v="0"/>
    <n v="2359.0443887479496"/>
    <n v="1553.8588820910445"/>
    <n v="0"/>
    <n v="0"/>
    <n v="0"/>
    <n v="0"/>
    <n v="0"/>
    <n v="114.66575166111539"/>
    <m/>
    <n v="10.435644915080337"/>
    <n v="42.160648622725546"/>
    <n v="224.90362697131744"/>
    <n v="0"/>
    <n v="0"/>
    <n v="0"/>
    <n v="0"/>
    <n v="0"/>
    <n v="0"/>
    <n v="0"/>
    <n v="0"/>
    <n v="0"/>
    <n v="0"/>
    <m/>
    <n v="0"/>
    <n v="0"/>
    <n v="0"/>
    <n v="0"/>
    <n v="0"/>
    <n v="164.57076988156911"/>
    <n v="0"/>
    <n v="0"/>
    <n v="0"/>
    <n v="3922.03"/>
    <n v="51"/>
    <m/>
    <m/>
    <m/>
    <m/>
    <m/>
    <m/>
    <m/>
    <m/>
    <m/>
    <n v="1718.4296519726136"/>
    <m/>
    <m/>
    <m/>
    <m/>
    <m/>
    <m/>
    <m/>
    <m/>
    <m/>
    <m/>
    <m/>
    <m/>
    <n v="4888.7539000000006"/>
    <n v="-711.47798000000057"/>
    <m/>
    <m/>
    <m/>
    <m/>
    <n v="-782.92695000000015"/>
    <n v="71.075939999999818"/>
    <n v="31"/>
    <n v="17.479306821602222"/>
    <n v="3.0775507022138555"/>
    <n v="16.417022454037181"/>
    <n v="0"/>
    <n v="0"/>
    <n v="0"/>
    <n v="0"/>
    <n v="0"/>
    <n v="0"/>
    <n v="0"/>
    <n v="0"/>
    <n v="71.069078109763495"/>
    <n v="0"/>
    <n v="0"/>
    <n v="0"/>
    <n v="7.5269981296857793"/>
    <n v="0"/>
    <n v="-70.232957548144554"/>
    <m/>
    <n v="0"/>
    <n v="0"/>
    <n v="0"/>
    <n v="0"/>
    <n v="-9.1556682132017926"/>
    <n v="-1.2227168127516137"/>
    <n v="0"/>
    <n v="0"/>
    <m/>
    <m/>
    <m/>
    <n v="2359.0443887479496"/>
    <n v="0"/>
    <n v="0"/>
    <n v="-782.92695000000003"/>
    <n v="71.075939999999719"/>
    <n v="0"/>
    <n v="0"/>
    <n v="-729.4187069118675"/>
    <n v="0"/>
    <n v="0"/>
    <n v="0"/>
    <n v="0"/>
    <n v="0"/>
    <n v="0"/>
    <n v="0"/>
    <n v="0"/>
    <n v="0"/>
    <n v="0"/>
    <n v="0"/>
    <n v="0"/>
    <n v="388.1099865882069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13.53"/>
    <n v="13.53"/>
    <n v="13.53"/>
    <n v="13.53"/>
    <m/>
    <n v="230.94"/>
    <n v="128.11000000000001"/>
    <m/>
    <n v="4857.9465"/>
    <n v="4857.9465"/>
    <n v="4152.357"/>
    <n v="0"/>
    <n v="0"/>
    <n v="0"/>
    <n v="0"/>
    <n v="0"/>
    <n v="0"/>
    <n v="2631.5335625162629"/>
    <n v="1733.3424581327258"/>
    <n v="0"/>
    <n v="0"/>
    <n v="0"/>
    <n v="0"/>
    <n v="0"/>
    <n v="0"/>
    <m/>
    <n v="11.641048371756696"/>
    <n v="47.03055287867727"/>
    <n v="250.88185942138057"/>
    <n v="0"/>
    <n v="0"/>
    <n v="0"/>
    <n v="0"/>
    <n v="0"/>
    <n v="0"/>
    <n v="0"/>
    <n v="0"/>
    <n v="0"/>
    <n v="0"/>
    <m/>
    <n v="0"/>
    <n v="0"/>
    <n v="0"/>
    <n v="0"/>
    <n v="0"/>
    <n v="183.58005742415943"/>
    <n v="0"/>
    <n v="0"/>
    <n v="0"/>
    <n v="193.93"/>
    <n v="7"/>
    <m/>
    <m/>
    <m/>
    <m/>
    <m/>
    <m/>
    <m/>
    <n v="2698.9643999999998"/>
    <m/>
    <n v="1916.9225155568852"/>
    <m/>
    <m/>
    <m/>
    <m/>
    <m/>
    <m/>
    <m/>
    <m/>
    <m/>
    <m/>
    <m/>
    <m/>
    <n v="1453.3926000000001"/>
    <n v="-246.95249999999965"/>
    <m/>
    <m/>
    <m/>
    <m/>
    <n v="-784.87529999999981"/>
    <n v="79.285799999999796"/>
    <n v="31"/>
    <n v="108.05698143682912"/>
    <n v="3.4330333086778424"/>
    <n v="18.313324577716457"/>
    <n v="0"/>
    <n v="0"/>
    <n v="0"/>
    <n v="0"/>
    <n v="0"/>
    <n v="0"/>
    <n v="0"/>
    <n v="0"/>
    <n v="79.278145504584018"/>
    <n v="0"/>
    <n v="0"/>
    <n v="0"/>
    <n v="8.396428781816212"/>
    <n v="0"/>
    <n v="0"/>
    <m/>
    <n v="0"/>
    <n v="0"/>
    <n v="0"/>
    <n v="0"/>
    <n v="0"/>
    <n v="-1.3639507359658136"/>
    <n v="0"/>
    <n v="0"/>
    <m/>
    <m/>
    <m/>
    <n v="2631.5335625162629"/>
    <n v="0"/>
    <n v="0"/>
    <n v="-784.8752999999997"/>
    <n v="79.285799999999881"/>
    <n v="0"/>
    <n v="0"/>
    <n v="-813.67261146982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4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29.748000000000001"/>
    <n v="29.748000000000001"/>
    <n v="29.748000000000001"/>
    <n v="29.748000000000001"/>
    <m/>
    <n v="230.94"/>
    <n v="128.11000000000001"/>
    <m/>
    <n v="10681.019400000001"/>
    <n v="10681.019400000001"/>
    <n v="9129.6612000000005"/>
    <n v="0"/>
    <n v="0"/>
    <n v="0"/>
    <n v="0"/>
    <n v="0"/>
    <n v="0"/>
    <n v="5785.8729059670213"/>
    <n v="3811.0474090563439"/>
    <n v="0"/>
    <n v="0"/>
    <n v="0"/>
    <n v="0"/>
    <n v="0"/>
    <n v="0"/>
    <m/>
    <n v="25.594819435551976"/>
    <n v="103.40464797005851"/>
    <n v="551.60632328656538"/>
    <n v="0"/>
    <n v="0"/>
    <n v="0"/>
    <n v="0"/>
    <n v="0"/>
    <n v="0"/>
    <n v="0"/>
    <n v="0"/>
    <n v="0"/>
    <n v="0"/>
    <m/>
    <n v="0"/>
    <n v="0"/>
    <n v="0"/>
    <n v="0"/>
    <n v="0"/>
    <n v="403.6318956580854"/>
    <n v="0"/>
    <n v="0"/>
    <n v="0"/>
    <n v="747.98"/>
    <n v="45"/>
    <m/>
    <m/>
    <m/>
    <m/>
    <m/>
    <m/>
    <m/>
    <n v="3651.8644800000002"/>
    <m/>
    <n v="4214.6793047144292"/>
    <m/>
    <m/>
    <m/>
    <m/>
    <m/>
    <m/>
    <m/>
    <m/>
    <m/>
    <m/>
    <m/>
    <m/>
    <n v="5478.165"/>
    <n v="-930.77412000000095"/>
    <m/>
    <m/>
    <m/>
    <m/>
    <n v="-1725.6814799999997"/>
    <n v="174.32327999999956"/>
    <n v="31"/>
    <n v="237.58160264469825"/>
    <n v="7.5481060507426747"/>
    <n v="40.264950446260855"/>
    <n v="0"/>
    <n v="0"/>
    <n v="0"/>
    <n v="0"/>
    <n v="0"/>
    <n v="0"/>
    <n v="0"/>
    <n v="0"/>
    <n v="174.30645029344896"/>
    <n v="0"/>
    <n v="0"/>
    <n v="0"/>
    <n v="18.460972904764844"/>
    <n v="0"/>
    <n v="0"/>
    <m/>
    <n v="0"/>
    <n v="0"/>
    <n v="0"/>
    <n v="0"/>
    <n v="0"/>
    <n v="-2.9988770505181819"/>
    <n v="0"/>
    <n v="0"/>
    <m/>
    <m/>
    <m/>
    <n v="5785.8729059670213"/>
    <n v="0"/>
    <n v="0"/>
    <n v="-1725.6814800000002"/>
    <n v="174.32327999999916"/>
    <n v="0"/>
    <n v="0"/>
    <n v="-1788.9972539545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39.515000000000001"/>
    <n v="39.515000000000001"/>
    <n v="39.515000000000001"/>
    <n v="39.515000000000001"/>
    <m/>
    <n v="230.94"/>
    <n v="128.11000000000001"/>
    <m/>
    <n v="14187.86075"/>
    <n v="14187.86075"/>
    <n v="12127.1535"/>
    <n v="0"/>
    <n v="0"/>
    <n v="0"/>
    <n v="0"/>
    <n v="0"/>
    <n v="0"/>
    <n v="7685.5172744146448"/>
    <n v="5062.3079994911059"/>
    <n v="0"/>
    <n v="0"/>
    <n v="0"/>
    <n v="0"/>
    <n v="0"/>
    <n v="0"/>
    <m/>
    <n v="33.998228116035911"/>
    <n v="137.35493695498394"/>
    <n v="732.71224501373649"/>
    <n v="0"/>
    <n v="0"/>
    <n v="0"/>
    <n v="0"/>
    <n v="0"/>
    <n v="0"/>
    <n v="0"/>
    <n v="0"/>
    <n v="0"/>
    <n v="0"/>
    <m/>
    <n v="0"/>
    <n v="0"/>
    <n v="0"/>
    <n v="0"/>
    <n v="0"/>
    <n v="536.15417362273922"/>
    <n v="0"/>
    <n v="0"/>
    <n v="0"/>
    <n v="2615.8200000000002"/>
    <n v="156"/>
    <m/>
    <m/>
    <m/>
    <m/>
    <m/>
    <m/>
    <m/>
    <n v="1212.7153500000009"/>
    <m/>
    <n v="5598.462173113845"/>
    <m/>
    <m/>
    <m/>
    <m/>
    <m/>
    <m/>
    <m/>
    <m/>
    <m/>
    <m/>
    <m/>
    <m/>
    <n v="10915.8192"/>
    <n v="-1853.4830500000007"/>
    <m/>
    <m/>
    <m/>
    <m/>
    <n v="-2292.2651499999997"/>
    <n v="231.55789999999942"/>
    <n v="31"/>
    <n v="315.5854856966962"/>
    <n v="10.026334899660355"/>
    <n v="53.484923923759425"/>
    <n v="0"/>
    <n v="0"/>
    <n v="0"/>
    <n v="0"/>
    <n v="0"/>
    <n v="0"/>
    <n v="0"/>
    <n v="0"/>
    <n v="231.53554468689163"/>
    <n v="0"/>
    <n v="0"/>
    <n v="0"/>
    <n v="24.522164324720393"/>
    <n v="0"/>
    <n v="0"/>
    <m/>
    <n v="0"/>
    <n v="0"/>
    <n v="0"/>
    <n v="0"/>
    <n v="0"/>
    <n v="-3.9834821383362247"/>
    <n v="0"/>
    <n v="0"/>
    <m/>
    <m/>
    <m/>
    <n v="7685.5172744146448"/>
    <n v="0"/>
    <n v="0"/>
    <n v="-2292.2651500000002"/>
    <n v="231.55789999999979"/>
    <n v="0"/>
    <n v="0"/>
    <n v="-2376.369049684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6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31.126999999999999"/>
    <n v="31.126999999999999"/>
    <n v="31.126999999999999"/>
    <n v="31.126999999999999"/>
    <m/>
    <n v="230.94"/>
    <n v="128.11000000000001"/>
    <m/>
    <n v="11176.14935"/>
    <n v="11176.14935"/>
    <n v="9552.8762999999999"/>
    <n v="0"/>
    <n v="0"/>
    <n v="0"/>
    <n v="0"/>
    <n v="0"/>
    <n v="0"/>
    <n v="6054.0831633735197"/>
    <n v="3987.7125420766706"/>
    <n v="0"/>
    <n v="0"/>
    <n v="0"/>
    <n v="0"/>
    <n v="0"/>
    <n v="0"/>
    <m/>
    <n v="26.781294358290516"/>
    <n v="108.19807978230506"/>
    <n v="577.17661775382953"/>
    <n v="0"/>
    <n v="0"/>
    <n v="0"/>
    <n v="0"/>
    <n v="0"/>
    <n v="0"/>
    <n v="0"/>
    <n v="0"/>
    <n v="0"/>
    <n v="0"/>
    <m/>
    <n v="0"/>
    <n v="0"/>
    <n v="0"/>
    <n v="0"/>
    <n v="0"/>
    <n v="422.34267904226249"/>
    <n v="0"/>
    <n v="0"/>
    <n v="0"/>
    <n v="3183.03"/>
    <n v="243"/>
    <m/>
    <m/>
    <m/>
    <m/>
    <m/>
    <m/>
    <m/>
    <m/>
    <m/>
    <n v="4410.0552211189333"/>
    <m/>
    <m/>
    <m/>
    <m/>
    <m/>
    <m/>
    <m/>
    <m/>
    <m/>
    <m/>
    <m/>
    <m/>
    <n v="9553.7970000000005"/>
    <n v="-1622.3823499999999"/>
    <m/>
    <m/>
    <m/>
    <m/>
    <n v="-1805.6772699999997"/>
    <n v="182.40421999999953"/>
    <n v="31"/>
    <n v="248.5949490897392"/>
    <n v="7.8980064892250539"/>
    <n v="42.131474806399183"/>
    <n v="0"/>
    <n v="0"/>
    <n v="0"/>
    <n v="0"/>
    <n v="0"/>
    <n v="0"/>
    <n v="0"/>
    <n v="0"/>
    <n v="182.38661013460387"/>
    <n v="0"/>
    <n v="0"/>
    <n v="0"/>
    <n v="19.316750827168676"/>
    <n v="0"/>
    <n v="0"/>
    <m/>
    <n v="0"/>
    <n v="0"/>
    <n v="0"/>
    <n v="0"/>
    <n v="0"/>
    <n v="-3.1378931676576407"/>
    <n v="0"/>
    <n v="0"/>
    <m/>
    <m/>
    <m/>
    <n v="6054.0831633735197"/>
    <n v="0"/>
    <n v="0"/>
    <n v="-1805.6772699999992"/>
    <n v="182.40421999999944"/>
    <n v="0"/>
    <n v="0"/>
    <n v="-1871.9281136157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7"/>
    <s v="Regular"/>
    <s v="Convencional"/>
    <s v="B3"/>
    <s v="Industrial"/>
    <s v="Não se aplica"/>
    <s v="Não se aplica"/>
    <s v="Não se aplica"/>
    <s v="Não se aplica"/>
    <s v="CATIVO"/>
    <x v="4"/>
    <n v="0"/>
    <n v="0"/>
    <n v="360.74799999999999"/>
    <n v="360.74799999999999"/>
    <n v="360.74799999999999"/>
    <n v="360.74799999999999"/>
    <m/>
    <n v="333.61"/>
    <n v="128.11000000000001"/>
    <m/>
    <n v="166564.56656000001"/>
    <n v="166564.56656000001"/>
    <n v="145392.26643999998"/>
    <n v="0"/>
    <n v="22083.567767152836"/>
    <n v="0"/>
    <n v="0"/>
    <n v="0"/>
    <n v="0"/>
    <n v="70164.114531457279"/>
    <n v="46215.803775791916"/>
    <n v="0"/>
    <n v="0"/>
    <n v="0"/>
    <n v="0"/>
    <n v="0"/>
    <n v="3410.4576288436028"/>
    <m/>
    <n v="310.38321640905281"/>
    <n v="1253.9673237159695"/>
    <n v="6689.2187008532301"/>
    <n v="0"/>
    <n v="0"/>
    <n v="0"/>
    <n v="0"/>
    <n v="0"/>
    <n v="0"/>
    <n v="0"/>
    <n v="0"/>
    <n v="0"/>
    <n v="0"/>
    <m/>
    <n v="0"/>
    <n v="0"/>
    <n v="0"/>
    <n v="0"/>
    <n v="0"/>
    <n v="4894.7626426940633"/>
    <n v="0"/>
    <n v="0"/>
    <n v="0"/>
    <n v="65544.52"/>
    <n v="218"/>
    <m/>
    <m/>
    <m/>
    <m/>
    <m/>
    <m/>
    <m/>
    <m/>
    <m/>
    <n v="51110.566418485978"/>
    <m/>
    <m/>
    <m/>
    <m/>
    <m/>
    <m/>
    <m/>
    <m/>
    <m/>
    <m/>
    <m/>
    <m/>
    <n v="145393.07250000001"/>
    <n v="-21171.524059999996"/>
    <m/>
    <m/>
    <m/>
    <m/>
    <n v="-23286.283400000004"/>
    <n v="2113.9832799999945"/>
    <n v="31"/>
    <n v="519.88003770131036"/>
    <n v="91.534360682846454"/>
    <n v="488.28493826770591"/>
    <n v="0"/>
    <n v="0"/>
    <n v="0"/>
    <n v="0"/>
    <n v="0"/>
    <n v="0"/>
    <n v="0"/>
    <n v="0"/>
    <n v="2113.7791895408445"/>
    <n v="0"/>
    <n v="0"/>
    <n v="0"/>
    <n v="223.87249742665426"/>
    <n v="0"/>
    <n v="-2088.9107898077345"/>
    <m/>
    <n v="0"/>
    <n v="0"/>
    <n v="0"/>
    <n v="0"/>
    <n v="-272.313380870321"/>
    <n v="-36.366777538669226"/>
    <n v="0"/>
    <n v="0"/>
    <m/>
    <m/>
    <m/>
    <n v="70164.114531457279"/>
    <n v="0"/>
    <n v="0"/>
    <n v="-23286.283400000015"/>
    <n v="2113.9832799999931"/>
    <n v="0"/>
    <n v="0"/>
    <n v="-21694.809108833571"/>
    <n v="0"/>
    <n v="0"/>
    <n v="0"/>
    <n v="0"/>
    <n v="0"/>
    <n v="0"/>
    <n v="0"/>
    <n v="0"/>
    <n v="0"/>
    <n v="0"/>
    <n v="0"/>
    <n v="0"/>
    <n v="11543.40023429157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8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792.75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31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89"/>
    <s v="Regular"/>
    <s v="Azul"/>
    <s v="A3"/>
    <s v="Industrial"/>
    <s v="Não se aplica"/>
    <s v="Não se aplica"/>
    <s v="Não se aplica"/>
    <s v="Ponta"/>
    <s v="CATIVO"/>
    <x v="4"/>
    <n v="2441"/>
    <n v="2441"/>
    <n v="123.512"/>
    <n v="123.512"/>
    <n v="123.512"/>
    <n v="123.512"/>
    <n v="28.46"/>
    <n v="75.12"/>
    <n v="128.11000000000001"/>
    <n v="69470.86"/>
    <n v="25101.343760000003"/>
    <n v="94572.203760000004"/>
    <n v="78357.364719999998"/>
    <n v="0"/>
    <n v="5065.8142713969555"/>
    <n v="0"/>
    <n v="0"/>
    <n v="0"/>
    <n v="0"/>
    <n v="56123.392541567591"/>
    <n v="15823.251566067202"/>
    <n v="0"/>
    <n v="0"/>
    <n v="0"/>
    <n v="0"/>
    <n v="0"/>
    <n v="1167.6639722291768"/>
    <m/>
    <n v="30.230303054647059"/>
    <n v="2009.6044144987657"/>
    <n v="11328.530088714866"/>
    <n v="0"/>
    <n v="0"/>
    <n v="0"/>
    <n v="0"/>
    <n v="0"/>
    <n v="0"/>
    <n v="0"/>
    <n v="0"/>
    <n v="0"/>
    <n v="0"/>
    <m/>
    <n v="0"/>
    <n v="0"/>
    <n v="0"/>
    <n v="0"/>
    <n v="0"/>
    <n v="366.50714364190992"/>
    <n v="0"/>
    <n v="0"/>
    <n v="0"/>
    <n v="0"/>
    <n v="0"/>
    <m/>
    <m/>
    <m/>
    <m/>
    <m/>
    <m/>
    <m/>
    <m/>
    <m/>
    <n v="16189.758709709111"/>
    <m/>
    <m/>
    <m/>
    <m/>
    <m/>
    <m/>
    <m/>
    <m/>
    <m/>
    <m/>
    <m/>
    <m/>
    <n v="78356.955600000001"/>
    <n v="-16215.278159999987"/>
    <m/>
    <m/>
    <m/>
    <m/>
    <n v="-16938.619360000004"/>
    <n v="723.78031999999814"/>
    <n v="31"/>
    <n v="1138.1440277356014"/>
    <n v="146.6927022958314"/>
    <n v="826.93523151306545"/>
    <n v="0"/>
    <n v="0"/>
    <n v="0"/>
    <n v="0"/>
    <n v="0"/>
    <n v="0"/>
    <n v="0"/>
    <n v="0"/>
    <n v="723.71044401790095"/>
    <n v="0"/>
    <n v="0"/>
    <n v="0"/>
    <n v="16.762992521059289"/>
    <n v="0"/>
    <n v="-479.18136246186714"/>
    <m/>
    <n v="0"/>
    <n v="0"/>
    <n v="0"/>
    <n v="0"/>
    <n v="-93.233975789346232"/>
    <n v="-3.5420043610413146"/>
    <n v="0"/>
    <n v="0"/>
    <m/>
    <m/>
    <n v="56123.392541567591"/>
    <n v="0"/>
    <n v="0"/>
    <n v="0"/>
    <n v="-16938.619360000012"/>
    <n v="723.78031999999803"/>
    <n v="0"/>
    <n v="0"/>
    <n v="-17353.404883112205"/>
    <n v="0"/>
    <n v="0"/>
    <n v="0"/>
    <n v="0"/>
    <n v="0"/>
    <n v="0"/>
    <n v="0"/>
    <n v="0"/>
    <n v="0"/>
    <n v="0"/>
    <n v="0"/>
    <n v="0"/>
    <n v="2647.974379135412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0"/>
    <s v="Regular"/>
    <s v="Azul"/>
    <s v="A3"/>
    <s v="Industrial"/>
    <s v="Não se aplica"/>
    <s v="Não se aplica"/>
    <s v="Não se aplica"/>
    <s v="Fora ponta"/>
    <s v="CATIVO"/>
    <x v="4"/>
    <n v="2459"/>
    <n v="2459"/>
    <n v="1381.9390000000001"/>
    <n v="1381.9390000000001"/>
    <n v="1381.9390000000001"/>
    <n v="1381.9390000000001"/>
    <n v="9.92"/>
    <n v="75.12"/>
    <n v="128.11000000000001"/>
    <n v="24393.279999999999"/>
    <n v="280851.46297000005"/>
    <n v="305244.74297000002"/>
    <n v="304230.28184000001"/>
    <n v="0"/>
    <n v="56679.887852192805"/>
    <n v="0"/>
    <n v="0"/>
    <n v="0"/>
    <n v="0"/>
    <n v="12098.817210676185"/>
    <n v="177041.65138577097"/>
    <n v="0"/>
    <n v="0"/>
    <n v="0"/>
    <n v="0"/>
    <n v="0"/>
    <n v="13064.644586100268"/>
    <m/>
    <n v="338.2378616898431"/>
    <n v="1827.6357762726561"/>
    <n v="10459.468027073628"/>
    <n v="0"/>
    <n v="0"/>
    <n v="0"/>
    <n v="0"/>
    <n v="0"/>
    <n v="0"/>
    <n v="0"/>
    <n v="0"/>
    <n v="0"/>
    <n v="0"/>
    <m/>
    <n v="0"/>
    <n v="0"/>
    <n v="0"/>
    <n v="0"/>
    <n v="0"/>
    <n v="4100.7393255502084"/>
    <n v="0"/>
    <n v="0"/>
    <n v="0"/>
    <n v="0"/>
    <n v="0"/>
    <m/>
    <m/>
    <m/>
    <m/>
    <m/>
    <m/>
    <m/>
    <m/>
    <m/>
    <n v="181142.39071132118"/>
    <m/>
    <m/>
    <m/>
    <m/>
    <m/>
    <m/>
    <m/>
    <m/>
    <m/>
    <m/>
    <m/>
    <m/>
    <n v="304230.48639999999"/>
    <n v="-1014.2865700000548"/>
    <m/>
    <m/>
    <m/>
    <m/>
    <n v="-9112.6236700000027"/>
    <n v="8098.1625399999803"/>
    <n v="31"/>
    <n v="2737.6286969233188"/>
    <n v="133.4097541285721"/>
    <n v="763.49734226223518"/>
    <n v="0"/>
    <n v="0"/>
    <n v="0"/>
    <n v="0"/>
    <n v="0"/>
    <n v="0"/>
    <n v="0"/>
    <n v="0"/>
    <n v="8097.3807184375182"/>
    <n v="0"/>
    <n v="0"/>
    <n v="0"/>
    <n v="187.55613318187807"/>
    <n v="0"/>
    <n v="-5361.4176182005904"/>
    <m/>
    <n v="0"/>
    <n v="0"/>
    <n v="0"/>
    <n v="0"/>
    <n v="-1043.1672005015971"/>
    <n v="-39.630432384651442"/>
    <n v="0"/>
    <n v="0"/>
    <m/>
    <m/>
    <n v="12098.817210676185"/>
    <n v="0"/>
    <n v="0"/>
    <n v="0"/>
    <n v="-9112.6236700000009"/>
    <n v="8098.1625399999612"/>
    <n v="0"/>
    <n v="0"/>
    <n v="-3740.9654718953043"/>
    <n v="0"/>
    <n v="0"/>
    <n v="0"/>
    <n v="0"/>
    <n v="0"/>
    <n v="0"/>
    <n v="0"/>
    <n v="0"/>
    <n v="0"/>
    <n v="0"/>
    <n v="0"/>
    <n v="0"/>
    <n v="29627.39705881219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1"/>
    <s v="Regular"/>
    <s v="Azul"/>
    <s v="A3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9540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92"/>
    <s v="Regular"/>
    <s v="Azul"/>
    <s v="A4"/>
    <s v="Industrial"/>
    <s v="Não se aplica"/>
    <s v="Não se aplica"/>
    <s v="Não se aplica"/>
    <s v="Ponta"/>
    <s v="CATIVO"/>
    <x v="4"/>
    <n v="6189"/>
    <n v="6189"/>
    <n v="360.85199999999998"/>
    <n v="360.85199999999998"/>
    <n v="360.85199999999998"/>
    <n v="360.85199999999998"/>
    <n v="52.19"/>
    <n v="96.28"/>
    <n v="128.11000000000001"/>
    <n v="323003.90999999997"/>
    <n v="80971.580279999995"/>
    <n v="403975.49027999997"/>
    <n v="317110.25327999995"/>
    <n v="0"/>
    <n v="19218.242785667549"/>
    <n v="0"/>
    <n v="0"/>
    <n v="0"/>
    <n v="0"/>
    <n v="289234.53836542682"/>
    <n v="46229.127324620131"/>
    <n v="0"/>
    <n v="0"/>
    <n v="0"/>
    <n v="0"/>
    <n v="0"/>
    <n v="3411.4408292865705"/>
    <m/>
    <n v="177.39507872526193"/>
    <n v="5345.0038088229185"/>
    <n v="28434.024079677711"/>
    <n v="0"/>
    <n v="0"/>
    <n v="0"/>
    <n v="0"/>
    <n v="0"/>
    <n v="0"/>
    <n v="0"/>
    <n v="0"/>
    <n v="0"/>
    <n v="0"/>
    <m/>
    <n v="0"/>
    <n v="0"/>
    <n v="0"/>
    <n v="0"/>
    <n v="0"/>
    <n v="1890.3648133655802"/>
    <n v="0"/>
    <n v="0"/>
    <n v="0"/>
    <n v="0"/>
    <n v="0"/>
    <m/>
    <m/>
    <m/>
    <m/>
    <m/>
    <m/>
    <m/>
    <m/>
    <m/>
    <n v="48119.492137985711"/>
    <m/>
    <m/>
    <m/>
    <m/>
    <m/>
    <m/>
    <m/>
    <m/>
    <m/>
    <m/>
    <m/>
    <m/>
    <n v="317109.804"/>
    <n v="-86865.716279999993"/>
    <m/>
    <m/>
    <m/>
    <m/>
    <n v="-88979.82971999998"/>
    <n v="2114.5927199999946"/>
    <n v="31"/>
    <n v="2555.5228698167921"/>
    <n v="390.16288322261971"/>
    <n v="2075.5646232161453"/>
    <n v="0"/>
    <n v="0"/>
    <n v="0"/>
    <n v="0"/>
    <n v="0"/>
    <n v="0"/>
    <n v="0"/>
    <n v="0"/>
    <n v="2114.3885707036316"/>
    <n v="0"/>
    <n v="0"/>
    <n v="0"/>
    <n v="86.459900654700732"/>
    <n v="0"/>
    <n v="-1817.8763114463036"/>
    <m/>
    <n v="0"/>
    <n v="0"/>
    <n v="0"/>
    <n v="0"/>
    <n v="-272.3918860640033"/>
    <n v="-20.784910470011198"/>
    <n v="0"/>
    <n v="0"/>
    <m/>
    <m/>
    <n v="289234.53836542682"/>
    <n v="0"/>
    <n v="0"/>
    <n v="0"/>
    <n v="-88979.82971999998"/>
    <n v="2114.5927199999933"/>
    <n v="0"/>
    <n v="0"/>
    <n v="-89431.586779396224"/>
    <n v="0"/>
    <n v="0"/>
    <n v="0"/>
    <n v="0"/>
    <n v="0"/>
    <n v="0"/>
    <n v="0"/>
    <n v="0"/>
    <n v="0"/>
    <n v="0"/>
    <n v="0"/>
    <n v="0"/>
    <n v="10045.65342945707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3"/>
    <s v="Regular"/>
    <s v="Azul"/>
    <s v="A4"/>
    <s v="Industrial"/>
    <s v="Não se aplica"/>
    <s v="Não se aplica"/>
    <s v="Não se aplica"/>
    <s v="Fora ponta"/>
    <s v="CATIVO"/>
    <x v="4"/>
    <n v="6317"/>
    <n v="6317"/>
    <n v="3177.6329999999998"/>
    <n v="3177.6329999999998"/>
    <n v="3177.6329999999998"/>
    <n v="3177.6329999999998"/>
    <n v="18.12"/>
    <n v="96.28"/>
    <n v="128.11000000000001"/>
    <n v="114464.04000000001"/>
    <n v="713029.06887000008"/>
    <n v="827493.10887000011"/>
    <n v="805104.12711999996"/>
    <n v="0"/>
    <n v="169234.26356996535"/>
    <n v="0"/>
    <n v="0"/>
    <n v="0"/>
    <n v="0"/>
    <n v="82493.313354723243"/>
    <n v="407089.8887851935"/>
    <n v="0"/>
    <n v="0"/>
    <n v="0"/>
    <n v="0"/>
    <n v="0"/>
    <n v="30040.867049894063"/>
    <m/>
    <n v="1562.1264568160636"/>
    <n v="5021.1963924143383"/>
    <n v="26918.765008731374"/>
    <n v="0"/>
    <n v="0"/>
    <n v="0"/>
    <n v="0"/>
    <n v="0"/>
    <n v="0"/>
    <n v="0"/>
    <n v="0"/>
    <n v="0"/>
    <n v="0"/>
    <m/>
    <n v="0"/>
    <n v="0"/>
    <n v="0"/>
    <n v="0"/>
    <n v="0"/>
    <n v="16646.396896759084"/>
    <n v="0"/>
    <n v="0"/>
    <n v="0"/>
    <n v="0"/>
    <n v="0"/>
    <m/>
    <m/>
    <m/>
    <m/>
    <m/>
    <m/>
    <m/>
    <m/>
    <m/>
    <n v="423736.28568195261"/>
    <m/>
    <m/>
    <m/>
    <m/>
    <m/>
    <m/>
    <m/>
    <m/>
    <m/>
    <m/>
    <m/>
    <m/>
    <n v="805103.45320000011"/>
    <n v="-22389.685669999919"/>
    <m/>
    <m/>
    <m/>
    <m/>
    <n v="-41009.911130000008"/>
    <n v="18620.92937999995"/>
    <n v="31"/>
    <n v="3122.2139345887117"/>
    <n v="366.52629853276176"/>
    <n v="1964.9570597615239"/>
    <n v="0"/>
    <n v="0"/>
    <n v="0"/>
    <n v="0"/>
    <n v="0"/>
    <n v="0"/>
    <n v="0"/>
    <n v="0"/>
    <n v="18619.131658105529"/>
    <n v="0"/>
    <n v="0"/>
    <n v="0"/>
    <n v="761.35876618973271"/>
    <n v="0"/>
    <n v="-16008.069117449981"/>
    <m/>
    <n v="0"/>
    <n v="0"/>
    <n v="0"/>
    <n v="0"/>
    <n v="-2398.660520349662"/>
    <n v="-183.03021020128222"/>
    <n v="0"/>
    <n v="0"/>
    <m/>
    <m/>
    <n v="82493.313354723243"/>
    <n v="0"/>
    <n v="0"/>
    <n v="0"/>
    <n v="-41009.911130000022"/>
    <n v="18620.929379999929"/>
    <n v="0"/>
    <n v="0"/>
    <n v="-25507.008788424631"/>
    <n v="0"/>
    <n v="0"/>
    <n v="0"/>
    <n v="0"/>
    <n v="0"/>
    <n v="0"/>
    <n v="0"/>
    <n v="0"/>
    <n v="0"/>
    <n v="0"/>
    <n v="0"/>
    <n v="0"/>
    <n v="88461.19695610937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4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195"/>
    <s v="Regular"/>
    <s v="Verde"/>
    <s v="A4"/>
    <s v="Industrial"/>
    <s v="Não se aplica"/>
    <s v="Não se aplica"/>
    <s v="Não se aplica"/>
    <s v="Ponta"/>
    <s v="CATIVO"/>
    <x v="4"/>
    <n v="0"/>
    <n v="0"/>
    <n v="778.56700000000001"/>
    <n v="778.56700000000001"/>
    <n v="778.56700000000001"/>
    <n v="778.56700000000001"/>
    <m/>
    <n v="1351.49"/>
    <n v="128.11000000000001"/>
    <m/>
    <n v="1151967.7332000001"/>
    <n v="1151967.7332000001"/>
    <n v="889053.44296999997"/>
    <n v="0"/>
    <n v="41464.893172017415"/>
    <n v="0"/>
    <n v="0"/>
    <n v="0"/>
    <n v="0"/>
    <n v="875066.19947838667"/>
    <n v="99743.033082115449"/>
    <n v="0"/>
    <n v="0"/>
    <n v="0"/>
    <n v="0"/>
    <n v="0"/>
    <n v="7360.455954616179"/>
    <m/>
    <n v="382.74404536455671"/>
    <n v="16172.805673686256"/>
    <n v="86025.485306794071"/>
    <n v="0"/>
    <n v="0"/>
    <n v="0"/>
    <n v="0"/>
    <n v="0"/>
    <n v="0"/>
    <n v="0"/>
    <n v="0"/>
    <n v="0"/>
    <n v="0"/>
    <m/>
    <n v="0"/>
    <n v="0"/>
    <n v="0"/>
    <n v="0"/>
    <n v="0"/>
    <n v="4078.6130093434422"/>
    <n v="0"/>
    <n v="0"/>
    <n v="0"/>
    <n v="0"/>
    <n v="0"/>
    <m/>
    <m/>
    <m/>
    <m/>
    <m/>
    <m/>
    <m/>
    <m/>
    <m/>
    <n v="103821.6460914589"/>
    <m/>
    <m/>
    <m/>
    <m/>
    <m/>
    <m/>
    <m/>
    <m/>
    <m/>
    <m/>
    <m/>
    <m/>
    <n v="889056.86870000011"/>
    <n v="-262910.89450000005"/>
    <m/>
    <m/>
    <m/>
    <m/>
    <n v="-267476.69284999999"/>
    <n v="4562.4026199999889"/>
    <n v="31"/>
    <n v="7653.7877106156666"/>
    <n v="1180.5470523760268"/>
    <n v="6279.4999925951561"/>
    <n v="0"/>
    <n v="0"/>
    <n v="0"/>
    <n v="0"/>
    <n v="0"/>
    <n v="0"/>
    <n v="0"/>
    <n v="0"/>
    <n v="4561.9621515940526"/>
    <n v="0"/>
    <n v="0"/>
    <n v="0"/>
    <n v="186.54413851947174"/>
    <n v="0"/>
    <n v="-3922.2132790557225"/>
    <m/>
    <n v="0"/>
    <n v="0"/>
    <n v="0"/>
    <n v="0"/>
    <n v="-587.70724163145223"/>
    <n v="-44.845103781897365"/>
    <n v="0"/>
    <n v="0"/>
    <m/>
    <m/>
    <m/>
    <n v="875066.19947838667"/>
    <n v="0"/>
    <n v="0"/>
    <n v="-267476.69284999999"/>
    <n v="4562.4026199999789"/>
    <n v="0"/>
    <n v="0"/>
    <n v="-270571.27823888557"/>
    <n v="0"/>
    <n v="0"/>
    <n v="0"/>
    <n v="0"/>
    <n v="0"/>
    <n v="0"/>
    <n v="0"/>
    <n v="0"/>
    <n v="0"/>
    <n v="0"/>
    <n v="0"/>
    <n v="0"/>
    <n v="21674.2993072287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6"/>
    <s v="Regular"/>
    <s v="Verde"/>
    <s v="A4"/>
    <s v="Industrial"/>
    <s v="Não se aplica"/>
    <s v="Não se aplica"/>
    <s v="Não se aplica"/>
    <s v="Fora ponta"/>
    <s v="CATIVO"/>
    <x v="4"/>
    <n v="0"/>
    <n v="0"/>
    <n v="12307.626"/>
    <n v="12307.626"/>
    <n v="12307.626"/>
    <n v="12307.626"/>
    <m/>
    <n v="96.28"/>
    <n v="128.11000000000001"/>
    <m/>
    <n v="2761708.19814"/>
    <n v="2761708.19814"/>
    <n v="2764785.10464"/>
    <n v="0"/>
    <n v="655479.10108075989"/>
    <n v="0"/>
    <n v="0"/>
    <n v="0"/>
    <n v="0"/>
    <n v="0"/>
    <n v="1576742.8458697894"/>
    <n v="0"/>
    <n v="0"/>
    <n v="0"/>
    <n v="0"/>
    <n v="0"/>
    <n v="116354.45514501502"/>
    <m/>
    <n v="6050.4369746906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474.918045246712"/>
    <n v="0"/>
    <n v="0"/>
    <n v="0"/>
    <n v="0"/>
    <n v="0"/>
    <m/>
    <m/>
    <m/>
    <m/>
    <m/>
    <m/>
    <m/>
    <m/>
    <m/>
    <n v="1641217.7639150361"/>
    <m/>
    <m/>
    <m/>
    <m/>
    <m/>
    <m/>
    <m/>
    <m/>
    <m/>
    <m/>
    <m/>
    <m/>
    <n v="2764786.0032000002"/>
    <n v="3077.7750599998981"/>
    <m/>
    <m/>
    <m/>
    <m/>
    <n v="-69045.781859999988"/>
    <n v="72122.688359999825"/>
    <n v="31"/>
    <n v="3062.6621135277674"/>
    <n v="0"/>
    <n v="0"/>
    <n v="0"/>
    <n v="0"/>
    <n v="0"/>
    <n v="0"/>
    <n v="0"/>
    <n v="0"/>
    <n v="0"/>
    <n v="0"/>
    <n v="72115.72541345167"/>
    <n v="0"/>
    <n v="0"/>
    <n v="0"/>
    <n v="2948.8990535045014"/>
    <n v="0"/>
    <n v="-62002.543301798636"/>
    <m/>
    <n v="0"/>
    <n v="0"/>
    <n v="0"/>
    <n v="0"/>
    <n v="-9290.5054124969902"/>
    <n v="-708.91363913289206"/>
    <n v="0"/>
    <n v="0"/>
    <m/>
    <m/>
    <m/>
    <n v="0"/>
    <n v="0"/>
    <n v="0"/>
    <n v="-69045.781859999988"/>
    <n v="72122.688359999796"/>
    <n v="0"/>
    <n v="0"/>
    <n v="0"/>
    <n v="0"/>
    <n v="0"/>
    <n v="0"/>
    <n v="0"/>
    <n v="0"/>
    <n v="0"/>
    <n v="0"/>
    <n v="0"/>
    <n v="0"/>
    <n v="0"/>
    <n v="0"/>
    <n v="0"/>
    <n v="342628.4053722165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7"/>
    <s v="Regular"/>
    <s v="Verde"/>
    <s v="A4"/>
    <s v="Industrial"/>
    <s v="Não se aplica"/>
    <s v="Não se aplica"/>
    <s v="Não se aplica"/>
    <s v="Não se aplica"/>
    <s v="CATIVO"/>
    <x v="4"/>
    <n v="49908"/>
    <n v="49908"/>
    <n v="0"/>
    <n v="0"/>
    <n v="0"/>
    <n v="0"/>
    <n v="18.12"/>
    <m/>
    <m/>
    <n v="904332.96000000008"/>
    <m/>
    <n v="904332.96000000008"/>
    <n v="721170.6"/>
    <n v="0"/>
    <n v="0"/>
    <n v="0"/>
    <n v="0"/>
    <n v="0"/>
    <n v="0"/>
    <n v="651745.49357409019"/>
    <m/>
    <m/>
    <m/>
    <n v="0"/>
    <n v="0"/>
    <n v="0"/>
    <n v="0"/>
    <m/>
    <n v="0"/>
    <n v="39670.392520597561"/>
    <n v="212674.01045682532"/>
    <n v="0"/>
    <n v="0"/>
    <m/>
    <m/>
    <n v="0"/>
    <n v="0"/>
    <n v="0"/>
    <m/>
    <m/>
    <n v="0"/>
    <m/>
    <n v="0"/>
    <n v="0"/>
    <n v="0"/>
    <n v="0"/>
    <m/>
    <n v="0"/>
    <n v="0"/>
    <n v="0"/>
    <n v="0"/>
    <n v="1884253.41"/>
    <n v="98"/>
    <m/>
    <m/>
    <m/>
    <m/>
    <m/>
    <m/>
    <m/>
    <m/>
    <m/>
    <n v="0"/>
    <m/>
    <m/>
    <m/>
    <m/>
    <m/>
    <m/>
    <m/>
    <m/>
    <m/>
    <m/>
    <m/>
    <m/>
    <n v="721170.6"/>
    <n v="-183162.39000000013"/>
    <m/>
    <m/>
    <m/>
    <m/>
    <n v="-183162.36000000007"/>
    <n v="0"/>
    <n v="31"/>
    <n v="18420.084129452414"/>
    <n v="2895.7724405846238"/>
    <n v="15524.31168886780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1745.49357409019"/>
    <m/>
    <n v="0"/>
    <n v="0"/>
    <n v="-183162.3600000001"/>
    <m/>
    <n v="0"/>
    <m/>
    <n v="-201520.30942103796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198"/>
    <s v="Regular"/>
    <s v="Convencional"/>
    <s v="B3"/>
    <s v="Comercial"/>
    <s v="Não se aplica"/>
    <s v="Não se aplica"/>
    <s v="Não se aplica"/>
    <s v="Não se aplica"/>
    <s v="CATIVO"/>
    <x v="4"/>
    <n v="0"/>
    <n v="0"/>
    <n v="1327.3530000000001"/>
    <n v="1327.3530000000001"/>
    <n v="1327.3530000000001"/>
    <n v="1327.3530000000001"/>
    <m/>
    <n v="333.61"/>
    <n v="128.11000000000001"/>
    <m/>
    <n v="612865.42716000008"/>
    <n v="612865.42716000008"/>
    <n v="534963.07958999998"/>
    <n v="0"/>
    <n v="81255.308210810937"/>
    <n v="0"/>
    <n v="0"/>
    <n v="0"/>
    <n v="0"/>
    <n v="258165.11225474131"/>
    <n v="170048.58180560594"/>
    <n v="0"/>
    <n v="0"/>
    <n v="0"/>
    <n v="0"/>
    <n v="0"/>
    <n v="12548.596707447978"/>
    <m/>
    <n v="1142.0384685437077"/>
    <n v="4613.9057986083462"/>
    <n v="24612.622967372343"/>
    <n v="0"/>
    <n v="0"/>
    <n v="0"/>
    <n v="0"/>
    <n v="0"/>
    <n v="0"/>
    <n v="0"/>
    <n v="0"/>
    <n v="0"/>
    <n v="0"/>
    <m/>
    <n v="0"/>
    <n v="0"/>
    <n v="0"/>
    <n v="0"/>
    <n v="0"/>
    <n v="18010.017735560261"/>
    <n v="0"/>
    <n v="0"/>
    <n v="0"/>
    <n v="239749.79"/>
    <n v="1661"/>
    <m/>
    <m/>
    <m/>
    <m/>
    <m/>
    <m/>
    <m/>
    <m/>
    <m/>
    <n v="188058.59954116619"/>
    <m/>
    <m/>
    <m/>
    <m/>
    <m/>
    <m/>
    <m/>
    <m/>
    <m/>
    <m/>
    <m/>
    <m/>
    <n v="534961.87049999996"/>
    <n v="-77903.586660000146"/>
    <m/>
    <m/>
    <m/>
    <m/>
    <n v="-85680.63615000002"/>
    <n v="7778.2885799999804"/>
    <n v="31"/>
    <n v="1912.870834163914"/>
    <n v="336.7957916757905"/>
    <n v="1796.6183531563693"/>
    <n v="0"/>
    <n v="0"/>
    <n v="0"/>
    <n v="0"/>
    <n v="0"/>
    <n v="0"/>
    <n v="0"/>
    <n v="0"/>
    <n v="7777.5376400551468"/>
    <n v="0"/>
    <n v="0"/>
    <n v="0"/>
    <n v="823.72689821360473"/>
    <n v="0"/>
    <n v="-7686.0356913514988"/>
    <m/>
    <n v="0"/>
    <n v="0"/>
    <n v="0"/>
    <n v="0"/>
    <n v="-1001.9625418252162"/>
    <n v="-133.80961576026812"/>
    <n v="0"/>
    <n v="0"/>
    <m/>
    <m/>
    <m/>
    <n v="258165.11225474131"/>
    <n v="0"/>
    <n v="0"/>
    <n v="-85680.636150000035"/>
    <n v="7778.2885799999931"/>
    <n v="0"/>
    <n v="0"/>
    <n v="-79824.89148945405"/>
    <n v="0"/>
    <n v="0"/>
    <n v="0"/>
    <n v="0"/>
    <n v="0"/>
    <n v="0"/>
    <n v="0"/>
    <n v="0"/>
    <n v="0"/>
    <n v="0"/>
    <n v="0"/>
    <n v="0"/>
    <n v="42473.32467868878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199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9.4E-2"/>
    <n v="-9.4E-2"/>
    <n v="-9.4E-2"/>
    <n v="-9.4E-2"/>
    <m/>
    <n v="333.61"/>
    <n v="128.11000000000001"/>
    <m/>
    <n v="-43.401680000000006"/>
    <n v="-43.401680000000006"/>
    <n v="-37.884820000000005"/>
    <n v="0"/>
    <n v="-5.7543087421478889"/>
    <n v="0"/>
    <n v="0"/>
    <n v="0"/>
    <n v="0"/>
    <n v="-18.282642636846173"/>
    <n v="-12.042438363967202"/>
    <n v="0"/>
    <n v="0"/>
    <n v="0"/>
    <n v="0"/>
    <n v="0"/>
    <n v="-0.88866193883624767"/>
    <m/>
    <n v="-8.0876463188849182E-2"/>
    <n v="-0.32674589583116509"/>
    <n v="-1.7430077446866057"/>
    <n v="0"/>
    <n v="0"/>
    <n v="0"/>
    <n v="0"/>
    <n v="0"/>
    <n v="0"/>
    <n v="0"/>
    <n v="0"/>
    <n v="0"/>
    <n v="0"/>
    <m/>
    <n v="0"/>
    <n v="0"/>
    <n v="0"/>
    <n v="0"/>
    <n v="0"/>
    <n v="-1.2754268586748698"/>
    <n v="0"/>
    <n v="0"/>
    <n v="0"/>
    <n v="-17.079999999999998"/>
    <n v="0"/>
    <m/>
    <m/>
    <m/>
    <m/>
    <m/>
    <m/>
    <m/>
    <m/>
    <m/>
    <n v="-13.317865222642071"/>
    <m/>
    <m/>
    <m/>
    <m/>
    <m/>
    <m/>
    <m/>
    <m/>
    <m/>
    <m/>
    <m/>
    <m/>
    <n v="-36.2727"/>
    <n v="7.0989800000000045"/>
    <m/>
    <m/>
    <m/>
    <m/>
    <n v="6.0677000000000012"/>
    <n v="-0.55083999999999866"/>
    <n v="31"/>
    <n v="-0.13546498814664076"/>
    <n v="-2.3851081375884486E-2"/>
    <n v="-0.12723226240246488"/>
    <n v="0"/>
    <n v="0"/>
    <n v="0"/>
    <n v="0"/>
    <n v="0"/>
    <n v="0"/>
    <n v="0"/>
    <n v="0"/>
    <n v="-0.55078682020923075"/>
    <n v="0"/>
    <n v="0"/>
    <n v="0"/>
    <n v="-5.8334390649720902E-2"/>
    <n v="0"/>
    <n v="0.54430686862277078"/>
    <m/>
    <n v="0"/>
    <n v="0"/>
    <n v="0"/>
    <n v="0"/>
    <n v="7.0956617366721875E-2"/>
    <n v="9.4760805011667726E-3"/>
    <n v="0"/>
    <n v="0"/>
    <m/>
    <m/>
    <m/>
    <n v="-18.282642636846173"/>
    <n v="0"/>
    <n v="0"/>
    <n v="6.0677000000000021"/>
    <n v="-0.55083999999999911"/>
    <n v="0"/>
    <n v="0"/>
    <n v="5.6530100131680694"/>
    <n v="0"/>
    <n v="0"/>
    <n v="0"/>
    <n v="0"/>
    <n v="0"/>
    <n v="0"/>
    <n v="0"/>
    <n v="0"/>
    <n v="0"/>
    <n v="0"/>
    <n v="0"/>
    <n v="0"/>
    <n v="-3.007860395687315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0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0.53"/>
    <n v="0.53"/>
    <n v="0.53"/>
    <n v="0.53"/>
    <m/>
    <n v="333.61"/>
    <n v="128.11000000000001"/>
    <m/>
    <n v="244.71160000000003"/>
    <n v="244.71160000000003"/>
    <n v="213.60590000000002"/>
    <n v="0"/>
    <n v="32.444506737642357"/>
    <n v="0"/>
    <n v="0"/>
    <n v="0"/>
    <n v="0"/>
    <n v="103.08298508009014"/>
    <n v="67.898854605346983"/>
    <n v="0"/>
    <n v="0"/>
    <n v="0"/>
    <n v="0"/>
    <n v="0"/>
    <n v="5.0105407189703328"/>
    <m/>
    <n v="0.45600559032010712"/>
    <n v="1.8422906892608246"/>
    <n v="9.8275968583393727"/>
    <n v="0"/>
    <n v="0"/>
    <n v="0"/>
    <n v="0"/>
    <n v="0"/>
    <n v="0"/>
    <n v="0"/>
    <n v="0"/>
    <n v="0"/>
    <n v="0"/>
    <m/>
    <n v="0"/>
    <n v="0"/>
    <n v="0"/>
    <n v="0"/>
    <n v="0"/>
    <n v="7.1912365435923515"/>
    <n v="0"/>
    <n v="0"/>
    <n v="0"/>
    <n v="1462.41"/>
    <n v="6"/>
    <m/>
    <m/>
    <m/>
    <m/>
    <m/>
    <m/>
    <m/>
    <m/>
    <m/>
    <n v="75.090091148939337"/>
    <m/>
    <m/>
    <m/>
    <m/>
    <m/>
    <m/>
    <m/>
    <m/>
    <m/>
    <m/>
    <m/>
    <m/>
    <n v="213.60590000000002"/>
    <n v="-31.135699999999986"/>
    <m/>
    <m/>
    <m/>
    <m/>
    <n v="-34.211500000000008"/>
    <n v="3.1057999999999923"/>
    <n v="31"/>
    <n v="0.76379195444383186"/>
    <n v="0.13447950137466758"/>
    <n v="0.71737339439687631"/>
    <n v="0"/>
    <n v="0"/>
    <n v="0"/>
    <n v="0"/>
    <n v="0"/>
    <n v="0"/>
    <n v="0"/>
    <n v="0"/>
    <n v="3.1055001564988629"/>
    <n v="0"/>
    <n v="0"/>
    <n v="0"/>
    <n v="0.32890667068459578"/>
    <n v="0"/>
    <n v="-3.0689642592560489"/>
    <m/>
    <n v="0"/>
    <n v="0"/>
    <n v="0"/>
    <n v="0"/>
    <n v="-0.40007454472726156"/>
    <n v="-5.3428964527855172E-2"/>
    <n v="0"/>
    <n v="0"/>
    <m/>
    <m/>
    <m/>
    <n v="103.08298508009014"/>
    <n v="0"/>
    <n v="0"/>
    <n v="-34.211500000000029"/>
    <n v="3.1058000000000021"/>
    <n v="0"/>
    <n v="0"/>
    <n v="-31.873354329564663"/>
    <n v="0"/>
    <n v="0"/>
    <n v="0"/>
    <n v="0"/>
    <n v="0"/>
    <n v="0"/>
    <n v="0"/>
    <n v="0"/>
    <n v="0"/>
    <n v="0"/>
    <n v="0"/>
    <n v="0"/>
    <n v="16.95921286930082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1"/>
    <s v="Regular"/>
    <s v="Verde"/>
    <s v="A4"/>
    <s v="Comercial"/>
    <s v="Não se aplica"/>
    <s v="Não se aplica"/>
    <s v="Não se aplica"/>
    <s v="Ponta"/>
    <s v="CATIVO"/>
    <x v="4"/>
    <n v="0"/>
    <n v="0"/>
    <n v="43.957999999999998"/>
    <n v="43.957999999999998"/>
    <n v="43.957999999999998"/>
    <n v="43.957999999999998"/>
    <m/>
    <n v="1351.49"/>
    <n v="128.11000000000001"/>
    <m/>
    <n v="65040.256799999996"/>
    <n v="65040.256799999996"/>
    <n v="50196.07978"/>
    <n v="0"/>
    <n v="2341.1135766806728"/>
    <n v="0"/>
    <n v="0"/>
    <n v="0"/>
    <n v="0"/>
    <n v="49406.358086935252"/>
    <n v="5631.5053787581937"/>
    <n v="0"/>
    <n v="0"/>
    <n v="0"/>
    <n v="0"/>
    <n v="0"/>
    <n v="415.57235646131676"/>
    <m/>
    <n v="21.609781491040824"/>
    <n v="913.1188347359963"/>
    <n v="4857.0107429624604"/>
    <n v="0"/>
    <n v="0"/>
    <n v="0"/>
    <n v="0"/>
    <n v="0"/>
    <n v="0"/>
    <n v="0"/>
    <n v="0"/>
    <n v="0"/>
    <n v="0"/>
    <m/>
    <n v="0"/>
    <n v="0"/>
    <n v="0"/>
    <n v="0"/>
    <n v="0"/>
    <n v="230.27905198232011"/>
    <n v="0"/>
    <n v="0"/>
    <n v="0"/>
    <n v="0"/>
    <n v="0"/>
    <m/>
    <m/>
    <m/>
    <m/>
    <m/>
    <m/>
    <m/>
    <m/>
    <m/>
    <n v="5861.7844307405139"/>
    <m/>
    <m/>
    <m/>
    <m/>
    <m/>
    <m/>
    <m/>
    <m/>
    <m/>
    <m/>
    <m/>
    <m/>
    <n v="50198.363600000004"/>
    <n v="-14841.923199999997"/>
    <m/>
    <m/>
    <m/>
    <m/>
    <n v="-15101.770899999998"/>
    <n v="257.59387999999933"/>
    <n v="31"/>
    <n v="432.13390778602297"/>
    <n v="66.653849094998122"/>
    <n v="354.54143403778653"/>
    <n v="0"/>
    <n v="0"/>
    <n v="0"/>
    <n v="0"/>
    <n v="0"/>
    <n v="0"/>
    <n v="0"/>
    <n v="0"/>
    <n v="257.56901109316368"/>
    <n v="0"/>
    <n v="0"/>
    <n v="0"/>
    <n v="10.532307741066489"/>
    <n v="0"/>
    <n v="-221.44870167979298"/>
    <m/>
    <n v="0"/>
    <n v="0"/>
    <n v="0"/>
    <n v="0"/>
    <n v="-33.182031768152797"/>
    <n v="-2.5319607330449934"/>
    <n v="0"/>
    <n v="0"/>
    <m/>
    <m/>
    <m/>
    <n v="49406.358086935252"/>
    <n v="0"/>
    <n v="0"/>
    <n v="-15101.770899999996"/>
    <n v="257.59387999999944"/>
    <n v="0"/>
    <n v="0"/>
    <n v="-15276.491617066902"/>
    <n v="0"/>
    <n v="0"/>
    <n v="0"/>
    <n v="0"/>
    <n v="0"/>
    <n v="0"/>
    <n v="0"/>
    <n v="0"/>
    <n v="0"/>
    <n v="0"/>
    <n v="0"/>
    <n v="0"/>
    <n v="1223.73392263884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2"/>
    <s v="Regular"/>
    <s v="Verde"/>
    <s v="A4"/>
    <s v="Comercial"/>
    <s v="Não se aplica"/>
    <s v="Não se aplica"/>
    <s v="Não se aplica"/>
    <s v="Fora ponta"/>
    <s v="CATIVO"/>
    <x v="4"/>
    <n v="0"/>
    <n v="0"/>
    <n v="495.185"/>
    <n v="495.185"/>
    <n v="495.185"/>
    <n v="495.185"/>
    <m/>
    <n v="96.28"/>
    <n v="128.11000000000001"/>
    <m/>
    <n v="111114.56215000001"/>
    <n v="111114.56215000001"/>
    <n v="111238.3584"/>
    <n v="0"/>
    <n v="26372.544848915306"/>
    <n v="0"/>
    <n v="0"/>
    <n v="0"/>
    <n v="0"/>
    <n v="0"/>
    <n v="63438.668524054243"/>
    <n v="0"/>
    <n v="0"/>
    <n v="0"/>
    <n v="0"/>
    <n v="0"/>
    <n v="4681.4049168364609"/>
    <m/>
    <n v="243.43326920335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94.0837243701985"/>
    <n v="0"/>
    <n v="0"/>
    <n v="0"/>
    <n v="0"/>
    <n v="0"/>
    <m/>
    <m/>
    <m/>
    <m/>
    <m/>
    <m/>
    <m/>
    <m/>
    <m/>
    <n v="66032.75224842444"/>
    <m/>
    <m/>
    <m/>
    <m/>
    <m/>
    <m/>
    <m/>
    <m/>
    <m/>
    <m/>
    <m/>
    <m/>
    <n v="111239.4816"/>
    <n v="124.8894500000024"/>
    <m/>
    <m/>
    <m/>
    <m/>
    <n v="-2777.9878499999995"/>
    <n v="2901.7840999999926"/>
    <n v="31"/>
    <n v="123.2231413830159"/>
    <n v="0"/>
    <n v="0"/>
    <n v="0"/>
    <n v="0"/>
    <n v="0"/>
    <n v="0"/>
    <n v="0"/>
    <n v="0"/>
    <n v="0"/>
    <n v="0"/>
    <n v="2901.5039528224297"/>
    <n v="0"/>
    <n v="0"/>
    <n v="0"/>
    <n v="118.6459986523505"/>
    <n v="0"/>
    <n v="-2494.6102038606914"/>
    <m/>
    <n v="0"/>
    <n v="0"/>
    <n v="0"/>
    <n v="0"/>
    <n v="-373.79417628447027"/>
    <n v="-28.522429946605541"/>
    <n v="0"/>
    <n v="0"/>
    <m/>
    <m/>
    <m/>
    <n v="0"/>
    <n v="0"/>
    <n v="0"/>
    <n v="-2777.9878499999977"/>
    <n v="2901.7840999999971"/>
    <n v="0"/>
    <n v="0"/>
    <n v="0"/>
    <n v="0"/>
    <n v="0"/>
    <n v="0"/>
    <n v="0"/>
    <n v="0"/>
    <n v="0"/>
    <n v="0"/>
    <n v="0"/>
    <n v="0"/>
    <n v="0"/>
    <n v="0"/>
    <n v="0"/>
    <n v="13785.31058014283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3"/>
    <s v="Regular"/>
    <s v="Verde"/>
    <s v="A4"/>
    <s v="Comercial"/>
    <s v="Não se aplica"/>
    <s v="Não se aplica"/>
    <s v="Não se aplica"/>
    <s v="Não se aplica"/>
    <s v="CATIVO"/>
    <x v="4"/>
    <n v="1778"/>
    <n v="1778"/>
    <n v="0"/>
    <n v="0"/>
    <n v="0"/>
    <n v="0"/>
    <n v="18.12"/>
    <m/>
    <m/>
    <n v="32217.360000000001"/>
    <m/>
    <n v="32217.360000000001"/>
    <n v="25692.1"/>
    <n v="0"/>
    <n v="0"/>
    <n v="0"/>
    <n v="0"/>
    <n v="0"/>
    <n v="0"/>
    <n v="23218.792329380707"/>
    <m/>
    <m/>
    <m/>
    <n v="0"/>
    <n v="0"/>
    <n v="0"/>
    <n v="0"/>
    <m/>
    <n v="0"/>
    <n v="1413.2795924826173"/>
    <n v="7576.6288088529973"/>
    <n v="0"/>
    <n v="0"/>
    <m/>
    <m/>
    <n v="0"/>
    <n v="0"/>
    <n v="0"/>
    <m/>
    <m/>
    <n v="0"/>
    <m/>
    <n v="0"/>
    <n v="0"/>
    <n v="0"/>
    <n v="0"/>
    <m/>
    <n v="0"/>
    <n v="0"/>
    <n v="0"/>
    <n v="0"/>
    <n v="80581.06"/>
    <n v="17"/>
    <m/>
    <m/>
    <m/>
    <m/>
    <m/>
    <m/>
    <m/>
    <m/>
    <m/>
    <n v="0"/>
    <m/>
    <m/>
    <m/>
    <m/>
    <m/>
    <m/>
    <m/>
    <m/>
    <m/>
    <m/>
    <m/>
    <m/>
    <n v="25692.1"/>
    <n v="-6525.2899999999972"/>
    <m/>
    <m/>
    <m/>
    <m/>
    <n v="-6525.2600000000029"/>
    <n v="0"/>
    <n v="31"/>
    <n v="656.22564683350174"/>
    <n v="103.16348880659325"/>
    <n v="553.0621580269089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218.792329380707"/>
    <m/>
    <n v="0"/>
    <n v="0"/>
    <n v="-6525.260000000002"/>
    <m/>
    <n v="0"/>
    <m/>
    <n v="-7179.2720636091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04"/>
    <s v="Regular"/>
    <s v="Convencional"/>
    <s v="B2"/>
    <s v="Rural"/>
    <s v="Não se aplica"/>
    <s v="Não se aplica"/>
    <s v="Não se aplica"/>
    <s v="Não se aplica"/>
    <s v="CATIVO"/>
    <x v="4"/>
    <n v="0"/>
    <n v="0"/>
    <n v="1551.222"/>
    <n v="1551.222"/>
    <n v="1551.222"/>
    <n v="1551.222"/>
    <m/>
    <n v="333.61"/>
    <n v="128.11000000000001"/>
    <m/>
    <n v="716230.22184000001"/>
    <n v="716230.22184000001"/>
    <n v="625189.00266"/>
    <n v="0"/>
    <n v="94959.684208639708"/>
    <n v="0"/>
    <n v="0"/>
    <n v="0"/>
    <n v="0"/>
    <n v="301706.78166397655"/>
    <n v="198728.6736577652"/>
    <n v="0"/>
    <n v="0"/>
    <n v="0"/>
    <n v="0"/>
    <n v="0"/>
    <n v="14665.020745589805"/>
    <m/>
    <n v="1334.6526487312021"/>
    <n v="5392.0789576916122"/>
    <n v="28763.744252428147"/>
    <n v="0"/>
    <n v="0"/>
    <n v="0"/>
    <n v="0"/>
    <n v="0"/>
    <n v="0"/>
    <n v="0"/>
    <n v="0"/>
    <n v="0"/>
    <n v="0"/>
    <m/>
    <n v="0"/>
    <n v="0"/>
    <n v="0"/>
    <n v="0"/>
    <n v="0"/>
    <n v="21047.555346461158"/>
    <n v="0"/>
    <n v="0"/>
    <n v="0"/>
    <n v="176827.92"/>
    <n v="2371"/>
    <m/>
    <m/>
    <m/>
    <m/>
    <m/>
    <n v="75032.608139999982"/>
    <m/>
    <m/>
    <m/>
    <n v="219776.22900422636"/>
    <m/>
    <m/>
    <m/>
    <m/>
    <m/>
    <m/>
    <m/>
    <m/>
    <m/>
    <m/>
    <m/>
    <m/>
    <n v="550155.68519999995"/>
    <n v="-80136.867840000079"/>
    <m/>
    <m/>
    <m/>
    <m/>
    <n v="-100131.38010000001"/>
    <n v="9090.1609199999766"/>
    <n v="31"/>
    <n v="2235.4922323703649"/>
    <n v="393.59917185172617"/>
    <n v="2099.6328143454921"/>
    <n v="0"/>
    <n v="0"/>
    <n v="0"/>
    <n v="0"/>
    <n v="0"/>
    <n v="0"/>
    <n v="0"/>
    <n v="0"/>
    <n v="9089.2833278574981"/>
    <n v="0"/>
    <n v="0"/>
    <n v="0"/>
    <n v="962.65521417490527"/>
    <n v="0"/>
    <n v="-8982.3488229654322"/>
    <m/>
    <n v="0"/>
    <n v="0"/>
    <n v="0"/>
    <n v="0"/>
    <n v="-1170.9517649451154"/>
    <n v="-156.37770794873313"/>
    <n v="0"/>
    <n v="0"/>
    <m/>
    <m/>
    <m/>
    <n v="301706.78166397655"/>
    <n v="0"/>
    <n v="0"/>
    <n v="-100131.38010000001"/>
    <n v="9090.1609199999948"/>
    <n v="0"/>
    <n v="0"/>
    <n v="-93288.015943048958"/>
    <n v="0"/>
    <n v="0"/>
    <n v="0"/>
    <n v="0"/>
    <n v="0"/>
    <n v="0"/>
    <n v="0"/>
    <n v="0"/>
    <n v="0"/>
    <n v="0"/>
    <n v="0"/>
    <n v="0"/>
    <n v="49636.80019913690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5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71.263000000000005"/>
    <n v="-71.263000000000005"/>
    <n v="-71.263000000000005"/>
    <n v="-71.263000000000005"/>
    <m/>
    <n v="333.61"/>
    <n v="128.11000000000001"/>
    <m/>
    <n v="-32903.552360000001"/>
    <n v="-32903.552360000001"/>
    <n v="-28721.126890000003"/>
    <n v="0"/>
    <n v="-4362.4394031030324"/>
    <n v="0"/>
    <n v="0"/>
    <n v="0"/>
    <n v="0"/>
    <n v="-13860.38257691031"/>
    <n v="-9129.5775013978164"/>
    <n v="0"/>
    <n v="0"/>
    <n v="0"/>
    <n v="0"/>
    <n v="0"/>
    <n v="-673.70974199242039"/>
    <m/>
    <n v="-61.313823364116594"/>
    <n v="-247.71162526187575"/>
    <n v="-1321.4038394638467"/>
    <n v="0"/>
    <n v="0"/>
    <n v="0"/>
    <n v="0"/>
    <n v="0"/>
    <n v="0"/>
    <n v="0"/>
    <n v="0"/>
    <n v="0"/>
    <n v="0"/>
    <m/>
    <n v="0"/>
    <n v="0"/>
    <n v="0"/>
    <n v="0"/>
    <n v="0"/>
    <n v="-966.92281095475801"/>
    <n v="0"/>
    <n v="0"/>
    <n v="0"/>
    <n v="-11779.93"/>
    <n v="0"/>
    <m/>
    <m/>
    <m/>
    <m/>
    <m/>
    <n v="-3446.9913099999994"/>
    <m/>
    <m/>
    <m/>
    <n v="-10096.500312352575"/>
    <m/>
    <m/>
    <m/>
    <m/>
    <m/>
    <m/>
    <m/>
    <m/>
    <m/>
    <m/>
    <m/>
    <m/>
    <n v="-25273.071600000003"/>
    <n v="3682.4805600000036"/>
    <m/>
    <m/>
    <m/>
    <m/>
    <n v="4600.0266500000007"/>
    <n v="-417.60117999999898"/>
    <n v="31"/>
    <n v="-102.69831330099987"/>
    <n v="-18.081910766911193"/>
    <n v="-96.456943782838835"/>
    <n v="0"/>
    <n v="0"/>
    <n v="0"/>
    <n v="0"/>
    <n v="0"/>
    <n v="0"/>
    <n v="0"/>
    <n v="0"/>
    <n v="-417.56086349542966"/>
    <n v="0"/>
    <n v="0"/>
    <n v="0"/>
    <n v="-44.224294477351691"/>
    <n v="0"/>
    <n v="412.64830190068596"/>
    <m/>
    <n v="0"/>
    <n v="0"/>
    <n v="0"/>
    <n v="0"/>
    <n v="53.793419397922321"/>
    <n v="7.1839779229217839"/>
    <n v="0"/>
    <n v="0"/>
    <m/>
    <m/>
    <m/>
    <n v="-13860.38257691031"/>
    <n v="0"/>
    <n v="0"/>
    <n v="4600.0266499999998"/>
    <n v="-417.60117999999784"/>
    <n v="0"/>
    <n v="0"/>
    <n v="4285.6431124297487"/>
    <n v="0"/>
    <n v="0"/>
    <n v="0"/>
    <n v="0"/>
    <n v="0"/>
    <n v="0"/>
    <n v="0"/>
    <n v="0"/>
    <n v="0"/>
    <n v="0"/>
    <n v="0"/>
    <n v="0"/>
    <n v="-2280.310163594310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6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15.025"/>
    <n v="15.025"/>
    <n v="15.025"/>
    <n v="15.025"/>
    <m/>
    <n v="333.61"/>
    <n v="128.11000000000001"/>
    <m/>
    <n v="6937.3430000000008"/>
    <n v="6937.3430000000008"/>
    <n v="6055.5257500000007"/>
    <n v="0"/>
    <n v="919.7711579869366"/>
    <n v="0"/>
    <n v="0"/>
    <n v="0"/>
    <n v="0"/>
    <n v="2922.3053789214232"/>
    <n v="1924.8684725383746"/>
    <n v="0"/>
    <n v="0"/>
    <n v="0"/>
    <n v="0"/>
    <n v="0"/>
    <n v="142.04410245760235"/>
    <m/>
    <n v="12.927328291621905"/>
    <n v="52.227203030460167"/>
    <n v="278.60309961613035"/>
    <n v="0"/>
    <n v="0"/>
    <n v="0"/>
    <n v="0"/>
    <n v="0"/>
    <n v="0"/>
    <n v="0"/>
    <n v="0"/>
    <n v="0"/>
    <n v="0"/>
    <m/>
    <n v="0"/>
    <n v="0"/>
    <n v="0"/>
    <n v="0"/>
    <n v="0"/>
    <n v="203.86477182542467"/>
    <n v="0"/>
    <n v="0"/>
    <n v="0"/>
    <n v="6649.07"/>
    <n v="18"/>
    <m/>
    <m/>
    <m/>
    <m/>
    <m/>
    <n v="726.75924999999984"/>
    <m/>
    <m/>
    <m/>
    <n v="2128.7332443637993"/>
    <m/>
    <m/>
    <m/>
    <m/>
    <m/>
    <m/>
    <m/>
    <m/>
    <m/>
    <m/>
    <m/>
    <m/>
    <n v="5330.5398000000005"/>
    <n v="-774.44819999999982"/>
    <m/>
    <m/>
    <m/>
    <m/>
    <n v="-969.86375000000021"/>
    <n v="88.046499999999781"/>
    <n v="31"/>
    <n v="21.652781350034729"/>
    <n v="3.8123669965177029"/>
    <n v="20.336858963798193"/>
    <n v="0"/>
    <n v="0"/>
    <n v="0"/>
    <n v="0"/>
    <n v="0"/>
    <n v="0"/>
    <n v="0"/>
    <n v="0"/>
    <n v="88.037999719613708"/>
    <n v="0"/>
    <n v="0"/>
    <n v="0"/>
    <n v="9.3241938245963354"/>
    <n v="0"/>
    <n v="-87.002241500607852"/>
    <m/>
    <n v="0"/>
    <n v="0"/>
    <n v="0"/>
    <n v="0"/>
    <n v="-11.341735914202076"/>
    <n v="-1.5146607396811778"/>
    <n v="0"/>
    <n v="0"/>
    <m/>
    <m/>
    <m/>
    <n v="2922.3053789214232"/>
    <n v="0"/>
    <n v="0"/>
    <n v="-969.86375000000044"/>
    <n v="88.046499999999696"/>
    <n v="0"/>
    <n v="0"/>
    <n v="-903.57952604096045"/>
    <n v="0"/>
    <n v="0"/>
    <n v="0"/>
    <n v="0"/>
    <n v="0"/>
    <n v="0"/>
    <n v="0"/>
    <n v="0"/>
    <n v="0"/>
    <n v="0"/>
    <n v="0"/>
    <n v="0"/>
    <n v="480.7776855872544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7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68.26599999999999"/>
    <n v="168.26599999999999"/>
    <n v="168.26599999999999"/>
    <n v="168.26599999999999"/>
    <m/>
    <n v="333.61"/>
    <n v="128.11000000000001"/>
    <m/>
    <n v="77691.777520000003"/>
    <n v="77691.777520000003"/>
    <n v="67816.245979999992"/>
    <n v="0"/>
    <n v="10300.579944747411"/>
    <n v="0"/>
    <n v="0"/>
    <n v="0"/>
    <n v="0"/>
    <n v="32727.097297144239"/>
    <n v="21556.733337779839"/>
    <n v="0"/>
    <n v="0"/>
    <n v="0"/>
    <n v="0"/>
    <n v="0"/>
    <n v="1590.7615936193622"/>
    <m/>
    <n v="144.77403143547761"/>
    <n v="584.89600965879606"/>
    <n v="3120.0951188025147"/>
    <n v="0"/>
    <n v="0"/>
    <n v="0"/>
    <n v="0"/>
    <n v="0"/>
    <n v="0"/>
    <n v="0"/>
    <n v="0"/>
    <n v="0"/>
    <n v="0"/>
    <m/>
    <n v="0"/>
    <n v="0"/>
    <n v="0"/>
    <n v="0"/>
    <n v="0"/>
    <n v="2283.0954872530388"/>
    <n v="0"/>
    <n v="0"/>
    <n v="0"/>
    <n v="26006.67"/>
    <n v="211"/>
    <m/>
    <m/>
    <m/>
    <m/>
    <m/>
    <m/>
    <m/>
    <m/>
    <m/>
    <n v="23839.828825032877"/>
    <m/>
    <m/>
    <m/>
    <m/>
    <m/>
    <m/>
    <m/>
    <m/>
    <m/>
    <m/>
    <m/>
    <m/>
    <n v="67817.858100000012"/>
    <n v="-9873.9494199999899"/>
    <m/>
    <m/>
    <m/>
    <m/>
    <n v="-10861.570300000001"/>
    <n v="986.03875999999741"/>
    <n v="31"/>
    <n v="242.49097548386635"/>
    <n v="42.694958072282589"/>
    <n v="227.75387090865024"/>
    <n v="0"/>
    <n v="0"/>
    <n v="0"/>
    <n v="0"/>
    <n v="0"/>
    <n v="0"/>
    <n v="0"/>
    <n v="0"/>
    <n v="985.94356478007103"/>
    <n v="0"/>
    <n v="0"/>
    <n v="0"/>
    <n v="104.42228273474393"/>
    <n v="0"/>
    <n v="-974.3440378263731"/>
    <m/>
    <n v="0"/>
    <n v="0"/>
    <n v="0"/>
    <n v="0"/>
    <n v="-127.01687423222143"/>
    <n v="-16.962788953290712"/>
    <n v="0"/>
    <n v="0"/>
    <m/>
    <m/>
    <m/>
    <n v="32727.097297144239"/>
    <n v="0"/>
    <n v="0"/>
    <n v="-10861.570300000007"/>
    <n v="986.03875999999582"/>
    <n v="0"/>
    <n v="0"/>
    <n v="-10119.248753997221"/>
    <n v="0"/>
    <n v="0"/>
    <n v="0"/>
    <n v="0"/>
    <n v="0"/>
    <n v="0"/>
    <n v="0"/>
    <n v="0"/>
    <n v="0"/>
    <n v="0"/>
    <n v="0"/>
    <n v="0"/>
    <n v="5384.262099369380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8"/>
    <s v="Regular"/>
    <s v="Verde"/>
    <s v="A4"/>
    <s v="Poder público"/>
    <s v="Não se aplica"/>
    <s v="Não se aplica"/>
    <s v="Não se aplica"/>
    <s v="Ponta"/>
    <s v="CATIVO"/>
    <x v="4"/>
    <n v="0"/>
    <n v="0"/>
    <n v="2.2440000000000002"/>
    <n v="2.2440000000000002"/>
    <n v="2.2440000000000002"/>
    <n v="2.2440000000000002"/>
    <m/>
    <n v="1351.49"/>
    <n v="128.11000000000001"/>
    <m/>
    <n v="3320.2224000000006"/>
    <n v="3320.2224000000006"/>
    <n v="2562.4460400000007"/>
    <n v="0"/>
    <n v="119.51087096936691"/>
    <n v="0"/>
    <n v="0"/>
    <n v="0"/>
    <n v="0"/>
    <n v="2522.1317518331753"/>
    <n v="287.48118817811064"/>
    <n v="0"/>
    <n v="0"/>
    <n v="0"/>
    <n v="0"/>
    <n v="0"/>
    <n v="21.214440327112126"/>
    <m/>
    <n v="1.1031518646411487"/>
    <n v="46.613555328895217"/>
    <n v="247.9442219211011"/>
    <n v="0"/>
    <n v="0"/>
    <n v="0"/>
    <n v="0"/>
    <n v="0"/>
    <n v="0"/>
    <n v="0"/>
    <n v="0"/>
    <n v="0"/>
    <n v="0"/>
    <m/>
    <n v="0"/>
    <n v="0"/>
    <n v="0"/>
    <n v="0"/>
    <n v="0"/>
    <n v="11.75545276510138"/>
    <n v="0"/>
    <n v="0"/>
    <n v="0"/>
    <n v="0"/>
    <n v="0"/>
    <m/>
    <m/>
    <m/>
    <m/>
    <m/>
    <m/>
    <m/>
    <m/>
    <m/>
    <n v="299.23664094321202"/>
    <m/>
    <m/>
    <m/>
    <m/>
    <m/>
    <m/>
    <m/>
    <m/>
    <m/>
    <m/>
    <m/>
    <m/>
    <n v="2557.8784000000001"/>
    <n v="-762.37400000000116"/>
    <m/>
    <m/>
    <m/>
    <m/>
    <n v="-770.92619999999999"/>
    <n v="13.149839999999967"/>
    <n v="31"/>
    <n v="22.059886461436804"/>
    <n v="3.4025942347053046"/>
    <n v="18.098889348487063"/>
    <n v="0"/>
    <n v="0"/>
    <n v="0"/>
    <n v="0"/>
    <n v="0"/>
    <n v="0"/>
    <n v="0"/>
    <n v="0"/>
    <n v="13.148570473931045"/>
    <n v="0"/>
    <n v="0"/>
    <n v="0"/>
    <n v="0.53766091657839787"/>
    <n v="0"/>
    <n v="-11.304674611434905"/>
    <m/>
    <n v="0"/>
    <n v="0"/>
    <n v="0"/>
    <n v="0"/>
    <n v="-1.6939005252225918"/>
    <n v="-0.12925337560746541"/>
    <n v="0"/>
    <n v="0"/>
    <m/>
    <m/>
    <m/>
    <n v="2522.1317518331753"/>
    <n v="0"/>
    <n v="0"/>
    <n v="-770.92619999999988"/>
    <n v="13.149839999999983"/>
    <n v="0"/>
    <n v="0"/>
    <n v="-779.84547041944893"/>
    <n v="0"/>
    <n v="0"/>
    <n v="0"/>
    <n v="0"/>
    <n v="0"/>
    <n v="0"/>
    <n v="0"/>
    <n v="0"/>
    <n v="0"/>
    <n v="0"/>
    <n v="0"/>
    <n v="0"/>
    <n v="62.47006056694069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09"/>
    <s v="Regular"/>
    <s v="Verde"/>
    <s v="A4"/>
    <s v="Poder público"/>
    <s v="Não se aplica"/>
    <s v="Não se aplica"/>
    <s v="Não se aplica"/>
    <s v="Fora ponta"/>
    <s v="CATIVO"/>
    <x v="4"/>
    <n v="0"/>
    <n v="0"/>
    <n v="25.707000000000001"/>
    <n v="25.707000000000001"/>
    <n v="25.707000000000001"/>
    <n v="25.707000000000001"/>
    <m/>
    <n v="96.28"/>
    <n v="128.11000000000001"/>
    <m/>
    <n v="5768.3937300000007"/>
    <n v="5768.3937300000007"/>
    <n v="5774.8204800000003"/>
    <n v="0"/>
    <n v="1369.1024777226003"/>
    <n v="0"/>
    <n v="0"/>
    <n v="0"/>
    <n v="0"/>
    <n v="0"/>
    <n v="3293.3506704521792"/>
    <n v="0"/>
    <n v="0"/>
    <n v="0"/>
    <n v="0"/>
    <n v="0"/>
    <n v="243.03013257088745"/>
    <m/>
    <n v="12.6375779787566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4.66908388255843"/>
    <n v="0"/>
    <n v="0"/>
    <n v="0"/>
    <n v="0"/>
    <n v="0"/>
    <m/>
    <m/>
    <m/>
    <m/>
    <m/>
    <m/>
    <m/>
    <m/>
    <m/>
    <n v="3428.0197543347376"/>
    <m/>
    <m/>
    <m/>
    <m/>
    <m/>
    <m/>
    <m/>
    <m/>
    <m/>
    <m/>
    <m/>
    <m/>
    <n v="5775.4943999999996"/>
    <n v="7.0706699999982447"/>
    <m/>
    <m/>
    <m/>
    <m/>
    <n v="-144.21626999999998"/>
    <n v="150.64301999999964"/>
    <n v="31"/>
    <n v="6.3969976787120686"/>
    <n v="0"/>
    <n v="0"/>
    <n v="0"/>
    <n v="0"/>
    <n v="0"/>
    <n v="0"/>
    <n v="0"/>
    <n v="0"/>
    <n v="0"/>
    <n v="0"/>
    <n v="150.62847645870988"/>
    <n v="0"/>
    <n v="0"/>
    <n v="0"/>
    <n v="6.1593802060966425"/>
    <n v="0"/>
    <n v="-129.50502238687932"/>
    <m/>
    <n v="0"/>
    <n v="0"/>
    <n v="0"/>
    <n v="0"/>
    <n v="-19.405125134535297"/>
    <n v="-1.4807114646796418"/>
    <n v="0"/>
    <n v="0"/>
    <m/>
    <m/>
    <m/>
    <n v="0"/>
    <n v="0"/>
    <n v="0"/>
    <n v="-144.21627000000035"/>
    <n v="150.64301999999952"/>
    <n v="0"/>
    <n v="0"/>
    <n v="0"/>
    <n v="0"/>
    <n v="0"/>
    <n v="0"/>
    <n v="0"/>
    <n v="0"/>
    <n v="0"/>
    <n v="0"/>
    <n v="0"/>
    <n v="0"/>
    <n v="0"/>
    <n v="0"/>
    <n v="0"/>
    <n v="715.6496644359823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0"/>
    <s v="Regular"/>
    <s v="Verde"/>
    <s v="A4"/>
    <s v="Poder público"/>
    <s v="Não se aplica"/>
    <s v="Não se aplica"/>
    <s v="Não se aplica"/>
    <s v="Não se aplica"/>
    <s v="CATIVO"/>
    <x v="4"/>
    <n v="347"/>
    <n v="347"/>
    <n v="0"/>
    <n v="0"/>
    <n v="0"/>
    <n v="0"/>
    <n v="18.12"/>
    <m/>
    <m/>
    <n v="6287.64"/>
    <m/>
    <n v="6287.64"/>
    <n v="5014.1499999999996"/>
    <n v="0"/>
    <n v="0"/>
    <n v="0"/>
    <n v="0"/>
    <n v="0"/>
    <n v="0"/>
    <n v="4531.4515963414542"/>
    <m/>
    <m/>
    <m/>
    <n v="0"/>
    <n v="0"/>
    <n v="0"/>
    <n v="0"/>
    <m/>
    <n v="0"/>
    <n v="275.82003295358169"/>
    <n v="1478.678400827891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74.81"/>
    <n v="3"/>
    <m/>
    <m/>
    <m/>
    <m/>
    <m/>
    <m/>
    <m/>
    <m/>
    <m/>
    <n v="0"/>
    <m/>
    <m/>
    <m/>
    <m/>
    <m/>
    <m/>
    <m/>
    <m/>
    <m/>
    <m/>
    <m/>
    <m/>
    <n v="5014.1499999999996"/>
    <n v="-1273.5200000000013"/>
    <m/>
    <m/>
    <m/>
    <m/>
    <n v="-1273.4900000000007"/>
    <n v="0"/>
    <n v="31"/>
    <n v="128.07103456199411"/>
    <n v="20.13370675809216"/>
    <n v="107.93732780390178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531.4515963414542"/>
    <m/>
    <n v="0"/>
    <n v="0"/>
    <n v="-1273.4900000000007"/>
    <m/>
    <n v="0"/>
    <m/>
    <n v="-1401.1290247876127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11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766.45399999999995"/>
    <n v="766.45399999999995"/>
    <n v="766.45399999999995"/>
    <n v="766.45399999999995"/>
    <m/>
    <n v="183.49"/>
    <n v="70.459999999999994"/>
    <m/>
    <n v="194640.9933"/>
    <n v="194640.9933"/>
    <n v="169892.19363999998"/>
    <n v="0"/>
    <n v="25805.607701700217"/>
    <n v="0"/>
    <n v="0"/>
    <n v="0"/>
    <n v="0"/>
    <n v="81989.814029465371"/>
    <n v="54005.173187222157"/>
    <n v="0"/>
    <n v="0"/>
    <n v="0"/>
    <n v="0"/>
    <n v="0"/>
    <n v="3985.2678055089173"/>
    <m/>
    <n v="362.696263769366"/>
    <n v="1465.3152591899902"/>
    <n v="7816.6424667054644"/>
    <n v="0"/>
    <n v="0"/>
    <n v="0"/>
    <n v="0"/>
    <n v="0"/>
    <n v="0"/>
    <n v="0"/>
    <n v="0"/>
    <n v="0"/>
    <n v="0"/>
    <m/>
    <n v="0"/>
    <n v="0"/>
    <n v="0"/>
    <n v="0"/>
    <n v="0"/>
    <n v="5719.7426558120414"/>
    <n v="0"/>
    <n v="0"/>
    <n v="0"/>
    <n v="92909.43"/>
    <n v="13"/>
    <m/>
    <m/>
    <m/>
    <m/>
    <m/>
    <m/>
    <m/>
    <m/>
    <m/>
    <n v="59724.915843034199"/>
    <m/>
    <m/>
    <m/>
    <m/>
    <m/>
    <m/>
    <m/>
    <m/>
    <m/>
    <m/>
    <m/>
    <m/>
    <n v="169891.307"/>
    <n v="-24749.716300000029"/>
    <m/>
    <m/>
    <m/>
    <m/>
    <n v="-27216.781540000015"/>
    <n v="2467.9818800000098"/>
    <n v="31"/>
    <n v="607.50239482674806"/>
    <n v="106.96187445403939"/>
    <n v="570.58214942641735"/>
    <n v="0"/>
    <n v="0"/>
    <n v="0"/>
    <n v="0"/>
    <n v="0"/>
    <n v="0"/>
    <n v="0"/>
    <n v="0"/>
    <n v="2470.0427534377013"/>
    <n v="0"/>
    <n v="0"/>
    <n v="0"/>
    <n v="261.60473274549167"/>
    <n v="0"/>
    <n v="-2440.9829486794915"/>
    <m/>
    <n v="0"/>
    <n v="0"/>
    <n v="0"/>
    <n v="0"/>
    <n v="-318.2100081271883"/>
    <n v="-42.496158430241564"/>
    <n v="0"/>
    <n v="0"/>
    <m/>
    <m/>
    <m/>
    <n v="81989.814029465371"/>
    <n v="0"/>
    <n v="0"/>
    <n v="-27216.781540000025"/>
    <n v="2467.9818800000066"/>
    <n v="0"/>
    <n v="0"/>
    <n v="-25351.326331361837"/>
    <n v="0"/>
    <n v="0"/>
    <n v="0"/>
    <n v="0"/>
    <n v="0"/>
    <n v="0"/>
    <n v="0"/>
    <n v="0"/>
    <n v="0"/>
    <n v="0"/>
    <n v="0"/>
    <n v="0"/>
    <n v="13488.96433450926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2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77.051000000000002"/>
    <n v="72.427940000000007"/>
    <n v="77.051000000000002"/>
    <n v="72.427940000000007"/>
    <m/>
    <n v="333.61"/>
    <n v="128.11000000000001"/>
    <m/>
    <n v="35575.987720000005"/>
    <n v="35575.987720000005"/>
    <n v="31053.864529999999"/>
    <n v="0"/>
    <n v="4716.7579030982661"/>
    <n v="0"/>
    <n v="0"/>
    <n v="0"/>
    <n v="0"/>
    <n v="14986.126572464198"/>
    <n v="9871.0842381067741"/>
    <n v="0"/>
    <n v="0"/>
    <n v="0"/>
    <n v="0"/>
    <n v="0"/>
    <n v="728.42862818374169"/>
    <m/>
    <n v="66.29374856557466"/>
    <n v="267.8308299966713"/>
    <n v="1428.7286142111454"/>
    <n v="0"/>
    <n v="0"/>
    <n v="0"/>
    <n v="0"/>
    <n v="0"/>
    <n v="0"/>
    <n v="0"/>
    <n v="0"/>
    <n v="0"/>
    <n v="0"/>
    <m/>
    <n v="0"/>
    <n v="0"/>
    <n v="0"/>
    <n v="0"/>
    <n v="0"/>
    <n v="1045.4565413591213"/>
    <n v="0"/>
    <n v="0"/>
    <n v="0"/>
    <n v="13377.09"/>
    <n v="28"/>
    <m/>
    <m/>
    <m/>
    <m/>
    <n v="1863.2318717999981"/>
    <m/>
    <m/>
    <m/>
    <m/>
    <n v="10916.540779465895"/>
    <m/>
    <m/>
    <m/>
    <m/>
    <m/>
    <m/>
    <m/>
    <m/>
    <m/>
    <m/>
    <m/>
    <m/>
    <n v="29191.462900000002"/>
    <n v="-4249.9955568000041"/>
    <m/>
    <m/>
    <m/>
    <m/>
    <n v="-4973.6420500000013"/>
    <n v="451.51885999999888"/>
    <n v="31"/>
    <n v="111.03949789029139"/>
    <n v="19.550528415885879"/>
    <n v="104.29120266353516"/>
    <n v="0"/>
    <n v="0"/>
    <n v="0"/>
    <n v="0"/>
    <n v="0"/>
    <n v="0"/>
    <n v="0"/>
    <n v="0"/>
    <n v="451.47526897810167"/>
    <n v="0"/>
    <n v="0"/>
    <n v="0"/>
    <n v="47.816203552677052"/>
    <n v="0"/>
    <n v="-446.16370781120349"/>
    <m/>
    <n v="0"/>
    <n v="0"/>
    <n v="0"/>
    <n v="0"/>
    <n v="-58.162535369396664"/>
    <n v="-7.767462539312767"/>
    <n v="0"/>
    <n v="0"/>
    <m/>
    <m/>
    <m/>
    <n v="14986.126572464198"/>
    <n v="0"/>
    <n v="0"/>
    <n v="-4973.6420500000022"/>
    <n v="451.51885999999831"/>
    <n v="0"/>
    <n v="0"/>
    <n v="-4633.7241970703526"/>
    <n v="0"/>
    <n v="0"/>
    <n v="0"/>
    <n v="0"/>
    <n v="0"/>
    <n v="0"/>
    <n v="0"/>
    <n v="0"/>
    <n v="0"/>
    <n v="0"/>
    <n v="0"/>
    <n v="0"/>
    <n v="2465.517567533014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3"/>
    <s v="Regular"/>
    <s v="Azul"/>
    <s v="A4"/>
    <s v="Serviço público"/>
    <s v="Água, esgoto e saneamento"/>
    <s v="Não se aplica"/>
    <s v="Não se aplica"/>
    <s v="Ponta"/>
    <s v="CATIVO"/>
    <x v="4"/>
    <n v="387"/>
    <n v="363.78"/>
    <n v="18.664000000000001"/>
    <n v="17.544160000000002"/>
    <n v="18.664000000000001"/>
    <n v="17.544160000000002"/>
    <n v="52.19"/>
    <n v="96.28"/>
    <n v="128.11000000000001"/>
    <n v="20197.53"/>
    <n v="4188.0149600000004"/>
    <n v="24385.544959999999"/>
    <n v="18952.860959999998"/>
    <n v="0"/>
    <n v="994.00663804468093"/>
    <n v="0"/>
    <n v="0"/>
    <n v="0"/>
    <n v="0"/>
    <n v="18085.921206563286"/>
    <n v="2391.0645704796157"/>
    <n v="0"/>
    <n v="0"/>
    <n v="0"/>
    <n v="0"/>
    <n v="0"/>
    <n v="176.44666411106093"/>
    <m/>
    <n v="9.1752345818459897"/>
    <n v="334.22466860792849"/>
    <n v="1777.9879332420865"/>
    <n v="0"/>
    <n v="0"/>
    <n v="0"/>
    <n v="0"/>
    <n v="0"/>
    <n v="0"/>
    <n v="0"/>
    <n v="0"/>
    <n v="0"/>
    <n v="0"/>
    <m/>
    <n v="0"/>
    <n v="0"/>
    <n v="0"/>
    <n v="0"/>
    <n v="0"/>
    <n v="97.77351622453304"/>
    <n v="0"/>
    <n v="0"/>
    <n v="0"/>
    <n v="0"/>
    <n v="0"/>
    <m/>
    <m/>
    <m/>
    <m/>
    <n v="1137.171657600001"/>
    <m/>
    <m/>
    <m/>
    <m/>
    <n v="2488.8380867041487"/>
    <m/>
    <m/>
    <m/>
    <m/>
    <m/>
    <m/>
    <m/>
    <m/>
    <m/>
    <m/>
    <m/>
    <m/>
    <n v="17814.754799999999"/>
    <n v="-5107.6874623999975"/>
    <m/>
    <m/>
    <m/>
    <m/>
    <n v="-5542.0550399999984"/>
    <n v="109.37103999999974"/>
    <n v="31"/>
    <n v="158.82706904221777"/>
    <n v="24.397000453571479"/>
    <n v="129.78566960488752"/>
    <n v="0"/>
    <n v="0"/>
    <n v="0"/>
    <n v="0"/>
    <n v="0"/>
    <n v="0"/>
    <n v="0"/>
    <n v="0"/>
    <n v="109.36048098282026"/>
    <n v="0"/>
    <n v="0"/>
    <n v="0"/>
    <n v="4.4718820619515185"/>
    <n v="0"/>
    <n v="-94.024263345731356"/>
    <m/>
    <n v="0"/>
    <n v="0"/>
    <n v="0"/>
    <n v="0"/>
    <n v="-14.088662835452084"/>
    <n v="-1.0750378798296509"/>
    <n v="0"/>
    <n v="0"/>
    <m/>
    <m/>
    <n v="18085.921206563286"/>
    <n v="0"/>
    <n v="0"/>
    <n v="0"/>
    <n v="-5542.0550399999993"/>
    <n v="109.37103999999954"/>
    <n v="0"/>
    <n v="0"/>
    <n v="-5592.1835649743625"/>
    <n v="0"/>
    <n v="0"/>
    <n v="0"/>
    <n v="0"/>
    <n v="0"/>
    <n v="0"/>
    <n v="0"/>
    <n v="0"/>
    <n v="0"/>
    <n v="0"/>
    <n v="0"/>
    <n v="0"/>
    <n v="519.5816445728079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4"/>
    <s v="Regular"/>
    <s v="Azul"/>
    <s v="A4"/>
    <s v="Serviço público"/>
    <s v="Água, esgoto e saneamento"/>
    <s v="Não se aplica"/>
    <s v="Não se aplica"/>
    <s v="Fora ponta"/>
    <s v="CATIVO"/>
    <x v="4"/>
    <n v="447"/>
    <n v="420.18"/>
    <n v="150.84800000000001"/>
    <n v="141.79712000000001"/>
    <n v="150.84800000000001"/>
    <n v="141.79712000000001"/>
    <n v="18.12"/>
    <n v="96.28"/>
    <n v="128.11000000000001"/>
    <n v="8099.64"/>
    <n v="33848.782720000003"/>
    <n v="41948.422720000002"/>
    <n v="40345.644720000004"/>
    <n v="0"/>
    <n v="8033.8573368926291"/>
    <n v="0"/>
    <n v="0"/>
    <n v="0"/>
    <n v="0"/>
    <n v="5837.3454281401446"/>
    <n v="19325.295131146006"/>
    <n v="0"/>
    <n v="0"/>
    <n v="0"/>
    <n v="0"/>
    <n v="0"/>
    <n v="1426.0944271230883"/>
    <m/>
    <n v="74.156975257303031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790.23464291890059"/>
    <n v="0"/>
    <n v="0"/>
    <n v="0"/>
    <n v="0"/>
    <n v="0"/>
    <m/>
    <m/>
    <m/>
    <m/>
    <n v="2420.7386832000011"/>
    <m/>
    <m/>
    <m/>
    <m/>
    <n v="20115.529774064908"/>
    <m/>
    <m/>
    <m/>
    <m/>
    <m/>
    <m/>
    <m/>
    <m/>
    <m/>
    <m/>
    <m/>
    <m/>
    <n v="37925.553"/>
    <n v="-1505.994356800009"/>
    <m/>
    <m/>
    <m/>
    <m/>
    <n v="-2486.7472800000005"/>
    <n v="883.96927999999787"/>
    <n v="31"/>
    <n v="202.51652784754697"/>
    <n v="25.935927725842078"/>
    <n v="139.04318596064581"/>
    <n v="0"/>
    <n v="0"/>
    <n v="0"/>
    <n v="0"/>
    <n v="0"/>
    <n v="0"/>
    <n v="0"/>
    <n v="0"/>
    <n v="883.88393888215069"/>
    <n v="0"/>
    <n v="0"/>
    <n v="0"/>
    <n v="36.143081080221918"/>
    <n v="0"/>
    <n v="-759.93206585817006"/>
    <m/>
    <n v="0"/>
    <n v="0"/>
    <n v="0"/>
    <n v="0"/>
    <n v="-113.86876400569417"/>
    <n v="-8.6887759374487246"/>
    <n v="0"/>
    <n v="0"/>
    <m/>
    <m/>
    <n v="5837.3454281401446"/>
    <n v="0"/>
    <n v="0"/>
    <n v="0"/>
    <n v="-2486.7472799999996"/>
    <n v="883.96927999999753"/>
    <n v="0"/>
    <n v="0"/>
    <n v="-1804.9126054180488"/>
    <n v="0"/>
    <n v="0"/>
    <n v="0"/>
    <n v="0"/>
    <n v="0"/>
    <n v="0"/>
    <n v="0"/>
    <n v="0"/>
    <n v="0"/>
    <n v="0"/>
    <n v="0"/>
    <n v="0"/>
    <n v="4199.413411943792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5"/>
    <s v="Regular"/>
    <s v="Azul"/>
    <s v="A4"/>
    <s v="Serviço público"/>
    <s v="Água, esgoto e saneamento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081.919999999998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16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0.78600000000000003"/>
    <n v="0.78600000000000003"/>
    <n v="0.78600000000000003"/>
    <n v="0.78600000000000003"/>
    <m/>
    <n v="333.61"/>
    <n v="128.11000000000001"/>
    <m/>
    <n v="362.91192000000001"/>
    <n v="362.91192000000001"/>
    <n v="316.78158000000002"/>
    <n v="0"/>
    <n v="48.115815652428097"/>
    <n v="0"/>
    <n v="0"/>
    <n v="0"/>
    <n v="0"/>
    <n v="152.87401183575631"/>
    <n v="100.69528249019383"/>
    <n v="0"/>
    <n v="0"/>
    <n v="0"/>
    <n v="0"/>
    <n v="0"/>
    <n v="7.4307264247371352"/>
    <m/>
    <n v="0.67626489432378145"/>
    <n v="2.7321518523754871"/>
    <n v="14.574511567273108"/>
    <n v="0"/>
    <n v="0"/>
    <n v="0"/>
    <n v="0"/>
    <n v="0"/>
    <n v="0"/>
    <n v="0"/>
    <n v="0"/>
    <n v="0"/>
    <n v="0"/>
    <m/>
    <n v="0"/>
    <n v="0"/>
    <n v="0"/>
    <n v="0"/>
    <n v="0"/>
    <n v="10.664739477855827"/>
    <n v="0"/>
    <n v="0"/>
    <n v="0"/>
    <n v="142.78"/>
    <n v="2"/>
    <m/>
    <m/>
    <m/>
    <m/>
    <m/>
    <m/>
    <m/>
    <m/>
    <m/>
    <n v="111.36002196804967"/>
    <m/>
    <m/>
    <m/>
    <m/>
    <m/>
    <m/>
    <m/>
    <m/>
    <m/>
    <m/>
    <m/>
    <m/>
    <n v="318.39370000000002"/>
    <n v="-44.548219999999958"/>
    <m/>
    <m/>
    <m/>
    <m/>
    <n v="-50.736300000000014"/>
    <n v="4.605959999999989"/>
    <n v="31"/>
    <n v="1.1327178796091744"/>
    <n v="0.19943563788771446"/>
    <n v="1.0638782792376311"/>
    <n v="0"/>
    <n v="0"/>
    <n v="0"/>
    <n v="0"/>
    <n v="0"/>
    <n v="0"/>
    <n v="0"/>
    <n v="0"/>
    <n v="4.6055153264303925"/>
    <n v="0"/>
    <n v="0"/>
    <n v="0"/>
    <n v="0.48777479841149507"/>
    <n v="0"/>
    <n v="-4.5513319014627456"/>
    <m/>
    <n v="0"/>
    <n v="0"/>
    <n v="0"/>
    <n v="0"/>
    <n v="-0.59331809840684446"/>
    <n v="-7.9236162488479533E-2"/>
    <n v="0"/>
    <n v="0"/>
    <m/>
    <m/>
    <m/>
    <n v="152.87401183575631"/>
    <n v="0"/>
    <n v="0"/>
    <n v="-50.7363"/>
    <n v="4.6059599999999818"/>
    <n v="0"/>
    <n v="0"/>
    <n v="-47.268785854788334"/>
    <n v="0"/>
    <n v="0"/>
    <n v="0"/>
    <n v="0"/>
    <n v="0"/>
    <n v="0"/>
    <n v="0"/>
    <n v="0"/>
    <n v="0"/>
    <n v="0"/>
    <n v="0"/>
    <n v="0"/>
    <n v="25.15083267032159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7"/>
    <s v="Regular"/>
    <s v="Verde"/>
    <s v="A4"/>
    <s v="Consumo próprio"/>
    <s v="Não se aplica"/>
    <s v="Não se aplica"/>
    <s v="Não se aplica"/>
    <s v="Ponta"/>
    <s v="CATIVO"/>
    <x v="4"/>
    <n v="0"/>
    <n v="0"/>
    <n v="1.1850000000000001"/>
    <n v="1.1850000000000001"/>
    <n v="1.1850000000000001"/>
    <n v="1.1850000000000001"/>
    <m/>
    <n v="1351.49"/>
    <n v="128.11000000000001"/>
    <m/>
    <n v="1753.326"/>
    <n v="1753.326"/>
    <n v="1353.1633500000003"/>
    <n v="0"/>
    <n v="63.110687209759256"/>
    <n v="0"/>
    <n v="0"/>
    <n v="0"/>
    <n v="0"/>
    <n v="1331.8743876659146"/>
    <n v="151.81159001384185"/>
    <n v="0"/>
    <n v="0"/>
    <n v="0"/>
    <n v="0"/>
    <n v="0"/>
    <n v="11.202812739584612"/>
    <m/>
    <n v="0.5825467734401788"/>
    <n v="24.615446998547604"/>
    <n v="130.93311184336221"/>
    <n v="0"/>
    <n v="0"/>
    <n v="0"/>
    <n v="0"/>
    <n v="0"/>
    <n v="0"/>
    <n v="0"/>
    <n v="0"/>
    <n v="0"/>
    <n v="0"/>
    <m/>
    <n v="0"/>
    <n v="0"/>
    <n v="0"/>
    <n v="0"/>
    <n v="0"/>
    <n v="6.2077591473463158"/>
    <n v="0"/>
    <n v="0"/>
    <n v="0"/>
    <n v="0"/>
    <n v="0"/>
    <m/>
    <m/>
    <m/>
    <m/>
    <m/>
    <m/>
    <m/>
    <m/>
    <m/>
    <n v="158.01934916118816"/>
    <m/>
    <m/>
    <m/>
    <m/>
    <m/>
    <m/>
    <m/>
    <m/>
    <m/>
    <m/>
    <m/>
    <m/>
    <n v="1358.8728999999998"/>
    <n v="-394.48310000000015"/>
    <m/>
    <m/>
    <m/>
    <m/>
    <n v="-407.10674999999998"/>
    <n v="6.9440999999999828"/>
    <n v="31"/>
    <n v="11.649271593940625"/>
    <n v="1.7968244955997292"/>
    <n v="9.5575685730646853"/>
    <n v="0"/>
    <n v="0"/>
    <n v="0"/>
    <n v="0"/>
    <n v="0"/>
    <n v="0"/>
    <n v="0"/>
    <n v="0"/>
    <n v="6.9434295951908496"/>
    <n v="0"/>
    <n v="0"/>
    <n v="0"/>
    <n v="0.28392521664233605"/>
    <n v="0"/>
    <n v="-5.9697145341133506"/>
    <m/>
    <n v="0"/>
    <n v="0"/>
    <n v="0"/>
    <n v="0"/>
    <n v="-0.8945062933996315"/>
    <n v="-6.8255459044049283E-2"/>
    <n v="0"/>
    <n v="0"/>
    <m/>
    <m/>
    <m/>
    <n v="1331.8743876659146"/>
    <n v="0"/>
    <n v="0"/>
    <n v="-407.10674999999992"/>
    <n v="6.9440999999999917"/>
    <n v="0"/>
    <n v="0"/>
    <n v="-411.81679253433458"/>
    <n v="0"/>
    <n v="0"/>
    <n v="0"/>
    <n v="0"/>
    <n v="0"/>
    <n v="0"/>
    <n v="0"/>
    <n v="0"/>
    <n v="0"/>
    <n v="0"/>
    <n v="0"/>
    <n v="0"/>
    <n v="32.98886888227482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8"/>
    <s v="Regular"/>
    <s v="Verde"/>
    <s v="A4"/>
    <s v="Consumo próprio"/>
    <s v="Não se aplica"/>
    <s v="Não se aplica"/>
    <s v="Não se aplica"/>
    <s v="Fora ponta"/>
    <s v="CATIVO"/>
    <x v="4"/>
    <n v="0"/>
    <n v="0"/>
    <n v="19.510000000000002"/>
    <n v="19.510000000000002"/>
    <n v="19.510000000000002"/>
    <n v="19.510000000000002"/>
    <m/>
    <n v="96.28"/>
    <n v="128.11000000000001"/>
    <m/>
    <n v="4377.8489000000009"/>
    <n v="4377.8489000000009"/>
    <n v="4382.7264000000005"/>
    <n v="0"/>
    <n v="1039.0628754956988"/>
    <n v="0"/>
    <n v="0"/>
    <n v="0"/>
    <n v="0"/>
    <n v="0"/>
    <n v="2499.4465157553204"/>
    <n v="0"/>
    <n v="0"/>
    <n v="0"/>
    <n v="0"/>
    <n v="0"/>
    <n v="184.44462156058717"/>
    <m/>
    <n v="9.5911287340235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2.20538478036002"/>
    <n v="0"/>
    <n v="0"/>
    <n v="0"/>
    <n v="0"/>
    <n v="0"/>
    <m/>
    <m/>
    <m/>
    <m/>
    <m/>
    <m/>
    <m/>
    <m/>
    <m/>
    <n v="2601.6519005356804"/>
    <m/>
    <m/>
    <m/>
    <m/>
    <m/>
    <m/>
    <m/>
    <m/>
    <m/>
    <m/>
    <m/>
    <m/>
    <n v="4382.7264000000005"/>
    <n v="4.847499999998945"/>
    <m/>
    <m/>
    <m/>
    <m/>
    <n v="-109.4511"/>
    <n v="114.32859999999972"/>
    <n v="31"/>
    <n v="4.8549198549681023"/>
    <n v="0"/>
    <n v="0"/>
    <n v="0"/>
    <n v="0"/>
    <n v="0"/>
    <n v="0"/>
    <n v="0"/>
    <n v="0"/>
    <n v="0"/>
    <n v="0"/>
    <n v="114.31756236470346"/>
    <n v="0"/>
    <n v="0"/>
    <n v="0"/>
    <n v="4.6745831026936457"/>
    <n v="0"/>
    <n v="-98.286186127047586"/>
    <m/>
    <n v="0"/>
    <n v="0"/>
    <n v="0"/>
    <n v="0"/>
    <n v="-14.727272391752592"/>
    <n v="-1.1237670936281869"/>
    <n v="0"/>
    <n v="0"/>
    <m/>
    <m/>
    <m/>
    <n v="0"/>
    <n v="0"/>
    <n v="0"/>
    <n v="-109.4511"/>
    <n v="114.32859999999982"/>
    <n v="0"/>
    <n v="0"/>
    <n v="0"/>
    <n v="0"/>
    <n v="0"/>
    <n v="0"/>
    <n v="0"/>
    <n v="0"/>
    <n v="0"/>
    <n v="0"/>
    <n v="0"/>
    <n v="0"/>
    <n v="0"/>
    <n v="0"/>
    <n v="0"/>
    <n v="543.1331914710395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19"/>
    <s v="Regular"/>
    <s v="Verde"/>
    <s v="A4"/>
    <s v="Consumo próprio"/>
    <s v="Não se aplica"/>
    <s v="Não se aplica"/>
    <s v="Não se aplica"/>
    <s v="Não se aplica"/>
    <s v="CATIVO"/>
    <x v="4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49.1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1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20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803.589999999997"/>
    <n v="16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21"/>
    <s v="Regular"/>
    <s v="Convencional"/>
    <s v="B2"/>
    <s v="Rural"/>
    <s v="Agropecuária rural"/>
    <s v="IRRIG./AQUIC."/>
    <s v="Não se aplica"/>
    <s v="Não se aplica"/>
    <s v="CATIVO"/>
    <x v="4"/>
    <n v="0"/>
    <n v="0"/>
    <n v="200.428"/>
    <n v="200.428"/>
    <n v="200.428"/>
    <n v="200.428"/>
    <m/>
    <n v="333.61"/>
    <n v="128.11000000000001"/>
    <m/>
    <n v="92541.616160000005"/>
    <n v="92541.616160000005"/>
    <n v="80778.496839999993"/>
    <n v="0"/>
    <n v="12269.410559268268"/>
    <n v="0"/>
    <n v="0"/>
    <n v="0"/>
    <n v="0"/>
    <n v="38982.484025721329"/>
    <n v="25677.040812906576"/>
    <n v="0"/>
    <n v="0"/>
    <n v="0"/>
    <n v="0"/>
    <n v="0"/>
    <n v="1894.8163306071431"/>
    <m/>
    <n v="172.44582727675174"/>
    <n v="696.69177031541233"/>
    <n v="3716.4633643834791"/>
    <n v="0"/>
    <n v="0"/>
    <n v="0"/>
    <n v="0"/>
    <n v="0"/>
    <n v="0"/>
    <n v="0"/>
    <n v="0"/>
    <n v="0"/>
    <n v="0"/>
    <m/>
    <n v="0"/>
    <n v="0"/>
    <n v="0"/>
    <n v="0"/>
    <n v="0"/>
    <n v="2719.4814301115616"/>
    <n v="0"/>
    <n v="0"/>
    <n v="0"/>
    <n v="0"/>
    <n v="0"/>
    <m/>
    <m/>
    <m/>
    <m/>
    <m/>
    <n v="9694.7023599999975"/>
    <m/>
    <m/>
    <m/>
    <n v="28396.522243018138"/>
    <m/>
    <m/>
    <m/>
    <m/>
    <m/>
    <m/>
    <m/>
    <m/>
    <m/>
    <m/>
    <m/>
    <m/>
    <n v="71084.503800000006"/>
    <n v="-10353.431159999993"/>
    <m/>
    <m/>
    <m/>
    <m/>
    <n v="-12937.627400000001"/>
    <n v="1174.5080799999971"/>
    <n v="31"/>
    <n v="288.84017706654413"/>
    <n v="50.855580191550757"/>
    <n v="271.28625413618283"/>
    <n v="0"/>
    <n v="0"/>
    <n v="0"/>
    <n v="0"/>
    <n v="0"/>
    <n v="0"/>
    <n v="0"/>
    <n v="0"/>
    <n v="1174.3946893712346"/>
    <n v="0"/>
    <n v="0"/>
    <n v="0"/>
    <n v="124.3813324376838"/>
    <n v="0"/>
    <n v="-1160.5780538757954"/>
    <m/>
    <n v="0"/>
    <n v="0"/>
    <n v="0"/>
    <n v="0"/>
    <n v="-151.29460537848217"/>
    <n v="-20.205019815828223"/>
    <n v="0"/>
    <n v="0"/>
    <m/>
    <m/>
    <m/>
    <n v="38982.484025721329"/>
    <n v="0"/>
    <n v="0"/>
    <n v="-12937.627400000005"/>
    <n v="1174.508079999996"/>
    <n v="0"/>
    <n v="0"/>
    <n v="-12053.420116162237"/>
    <n v="0"/>
    <n v="0"/>
    <n v="0"/>
    <n v="0"/>
    <n v="0"/>
    <n v="0"/>
    <n v="0"/>
    <n v="0"/>
    <n v="0"/>
    <n v="0"/>
    <n v="0"/>
    <n v="0"/>
    <n v="6413.398333902311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2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145.27600000000001"/>
    <n v="58.110399999999998"/>
    <n v="145.27600000000001"/>
    <n v="58.110399999999998"/>
    <m/>
    <n v="333.61"/>
    <n v="128.11000000000001"/>
    <m/>
    <n v="67076.834720000013"/>
    <n v="67076.834720000013"/>
    <n v="58550.586280000003"/>
    <n v="0"/>
    <n v="8893.2229449391143"/>
    <n v="0"/>
    <n v="0"/>
    <n v="0"/>
    <n v="0"/>
    <n v="28255.629699047502"/>
    <n v="18611.460380464887"/>
    <n v="0"/>
    <n v="0"/>
    <n v="0"/>
    <n v="0"/>
    <n v="0"/>
    <n v="1373.4175726210076"/>
    <m/>
    <n v="124.99371347046016"/>
    <n v="504.9823059868973"/>
    <n v="2693.7999267775676"/>
    <n v="0"/>
    <n v="0"/>
    <n v="0"/>
    <n v="0"/>
    <n v="0"/>
    <n v="0"/>
    <n v="0"/>
    <n v="0"/>
    <n v="0"/>
    <n v="0"/>
    <m/>
    <n v="0"/>
    <n v="0"/>
    <n v="0"/>
    <n v="0"/>
    <n v="0"/>
    <n v="1971.1586417111744"/>
    <n v="0"/>
    <n v="0"/>
    <n v="0"/>
    <n v="0"/>
    <n v="0"/>
    <m/>
    <m/>
    <m/>
    <m/>
    <m/>
    <m/>
    <n v="37941.151815999998"/>
    <m/>
    <m/>
    <n v="20582.619022176063"/>
    <m/>
    <m/>
    <m/>
    <m/>
    <m/>
    <m/>
    <m/>
    <m/>
    <m/>
    <m/>
    <m/>
    <m/>
    <n v="20609.292600000001"/>
    <n v="-3002.1551279999912"/>
    <m/>
    <m/>
    <m/>
    <m/>
    <n v="-9377.5658000000021"/>
    <n v="851.31735999999796"/>
    <n v="31"/>
    <n v="209.35969806373032"/>
    <n v="36.861592531521126"/>
    <n v="196.63610800830293"/>
    <n v="0"/>
    <n v="0"/>
    <n v="0"/>
    <n v="0"/>
    <n v="0"/>
    <n v="0"/>
    <n v="0"/>
    <n v="0"/>
    <n v="851.23517119911048"/>
    <n v="0"/>
    <n v="0"/>
    <n v="0"/>
    <n v="90.155180170519543"/>
    <n v="0"/>
    <n v="-841.22047495788865"/>
    <m/>
    <n v="0"/>
    <n v="0"/>
    <n v="0"/>
    <n v="0"/>
    <n v="-109.66269728263683"/>
    <n v="-14.64518160518621"/>
    <n v="0"/>
    <n v="0"/>
    <m/>
    <m/>
    <m/>
    <n v="28255.629699047502"/>
    <n v="0"/>
    <n v="0"/>
    <n v="-9377.5658000000039"/>
    <n v="851.31735999999728"/>
    <n v="0"/>
    <n v="0"/>
    <n v="-8736.6668369468607"/>
    <n v="0"/>
    <n v="0"/>
    <n v="0"/>
    <n v="0"/>
    <n v="0"/>
    <n v="0"/>
    <n v="0"/>
    <n v="0"/>
    <n v="0"/>
    <n v="0"/>
    <n v="0"/>
    <n v="0"/>
    <n v="4648.616243019899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3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8.5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24"/>
    <s v="Regular"/>
    <s v="Convencional"/>
    <s v="B2"/>
    <s v="Rural"/>
    <s v="Aquicultura"/>
    <s v="IRRIG./AQUIC."/>
    <s v="Não se aplica"/>
    <s v="Não se aplica"/>
    <s v="CATIVO"/>
    <x v="4"/>
    <n v="0"/>
    <n v="0"/>
    <n v="0.96899999999999997"/>
    <n v="0.96899999999999997"/>
    <n v="0.96899999999999997"/>
    <n v="0.96899999999999997"/>
    <m/>
    <n v="333.61"/>
    <n v="128.11000000000001"/>
    <m/>
    <n v="447.40668000000005"/>
    <n v="447.40668000000005"/>
    <n v="390.53607"/>
    <n v="0"/>
    <n v="59.318352884481961"/>
    <n v="0"/>
    <n v="0"/>
    <n v="0"/>
    <n v="0"/>
    <n v="188.46681611812704"/>
    <n v="124.13960398600231"/>
    <n v="0"/>
    <n v="0"/>
    <n v="0"/>
    <n v="0"/>
    <n v="0"/>
    <n v="9.1607810503438714"/>
    <m/>
    <n v="0.83371588117015805"/>
    <n v="3.368263543195734"/>
    <n v="17.967813878737456"/>
    <n v="0"/>
    <n v="0"/>
    <n v="0"/>
    <n v="0"/>
    <n v="0"/>
    <n v="0"/>
    <n v="0"/>
    <n v="0"/>
    <n v="0"/>
    <n v="0"/>
    <m/>
    <n v="0"/>
    <n v="0"/>
    <n v="0"/>
    <n v="0"/>
    <n v="0"/>
    <n v="13.147751341020733"/>
    <n v="0"/>
    <n v="0"/>
    <n v="0"/>
    <n v="0"/>
    <n v="0"/>
    <m/>
    <m/>
    <m/>
    <m/>
    <m/>
    <n v="46.870529999999988"/>
    <m/>
    <m/>
    <m/>
    <n v="137.28735532702305"/>
    <m/>
    <m/>
    <m/>
    <m/>
    <m/>
    <m/>
    <m/>
    <m/>
    <m/>
    <m/>
    <m/>
    <m/>
    <n v="344.02019999999999"/>
    <n v="-49.733879999999942"/>
    <m/>
    <m/>
    <m/>
    <m/>
    <n v="-62.548950000000012"/>
    <n v="5.6783399999999853"/>
    <n v="31"/>
    <n v="1.396442271426622"/>
    <n v="0.2458691260982131"/>
    <n v="1.3115751305105157"/>
    <n v="0"/>
    <n v="0"/>
    <n v="0"/>
    <n v="0"/>
    <n v="0"/>
    <n v="0"/>
    <n v="0"/>
    <n v="0"/>
    <n v="5.6777917955611343"/>
    <n v="0"/>
    <n v="0"/>
    <n v="0"/>
    <n v="0.6013406865912696"/>
    <n v="0"/>
    <n v="-5.6109931456964333"/>
    <m/>
    <n v="0"/>
    <n v="0"/>
    <n v="0"/>
    <n v="0"/>
    <n v="-0.73145704498248243"/>
    <n v="-9.768427665564472E-2"/>
    <n v="0"/>
    <n v="0"/>
    <m/>
    <m/>
    <m/>
    <n v="188.46681611812704"/>
    <n v="0"/>
    <n v="0"/>
    <n v="-62.548950000000048"/>
    <n v="5.6783399999999773"/>
    <n v="0"/>
    <n v="0"/>
    <n v="-58.274113859147462"/>
    <n v="0"/>
    <n v="0"/>
    <n v="0"/>
    <n v="0"/>
    <n v="0"/>
    <n v="0"/>
    <n v="0"/>
    <n v="0"/>
    <n v="0"/>
    <n v="0"/>
    <n v="0"/>
    <n v="0"/>
    <n v="31.00656088745753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5"/>
    <s v="Regular"/>
    <s v="Convencional"/>
    <s v="B2"/>
    <s v="Rural"/>
    <s v="Aquicultura"/>
    <s v="IRRIG./AQUIC. PR"/>
    <s v="Não se aplica"/>
    <s v="Não se aplica"/>
    <s v="CATIVO"/>
    <x v="4"/>
    <n v="0"/>
    <n v="0"/>
    <n v="1.984"/>
    <n v="0.79359999999999997"/>
    <n v="1.984"/>
    <n v="0.79359999999999997"/>
    <m/>
    <n v="333.61"/>
    <n v="128.11000000000001"/>
    <m/>
    <n v="916.05248000000006"/>
    <n v="916.05248000000006"/>
    <n v="799.61151999999993"/>
    <n v="0"/>
    <n v="121.45264408958948"/>
    <n v="0"/>
    <n v="0"/>
    <n v="0"/>
    <n v="0"/>
    <n v="385.88045735641288"/>
    <n v="254.17231610756306"/>
    <n v="0"/>
    <n v="0"/>
    <n v="0"/>
    <n v="0"/>
    <n v="0"/>
    <n v="18.756439219692716"/>
    <m/>
    <n v="1.7070096060284763"/>
    <n v="6.8964240141386339"/>
    <n v="36.788588994236441"/>
    <n v="0"/>
    <n v="0"/>
    <n v="0"/>
    <n v="0"/>
    <n v="0"/>
    <n v="0"/>
    <n v="0"/>
    <n v="0"/>
    <n v="0"/>
    <n v="0"/>
    <m/>
    <n v="0"/>
    <n v="0"/>
    <n v="0"/>
    <n v="0"/>
    <n v="0"/>
    <n v="26.919647740541933"/>
    <n v="0"/>
    <n v="0"/>
    <n v="0"/>
    <n v="0"/>
    <n v="0"/>
    <m/>
    <m/>
    <m/>
    <m/>
    <m/>
    <m/>
    <n v="518.15334399999995"/>
    <m/>
    <m/>
    <n v="281.09196384810502"/>
    <m/>
    <m/>
    <m/>
    <m/>
    <m/>
    <m/>
    <m/>
    <m/>
    <m/>
    <m/>
    <m/>
    <m/>
    <n v="280.1814"/>
    <n v="-42.304151999999988"/>
    <m/>
    <m/>
    <m/>
    <m/>
    <n v="-128.06720000000001"/>
    <n v="11.626239999999971"/>
    <n v="31"/>
    <n v="2.8591759200312481"/>
    <n v="0.50341005797611427"/>
    <n v="2.6854128575158569"/>
    <n v="0"/>
    <n v="0"/>
    <n v="0"/>
    <n v="0"/>
    <n v="0"/>
    <n v="0"/>
    <n v="0"/>
    <n v="0"/>
    <n v="11.625117566969323"/>
    <n v="0"/>
    <n v="0"/>
    <n v="0"/>
    <n v="1.2312279898834682"/>
    <n v="0"/>
    <n v="-11.488349227101878"/>
    <m/>
    <n v="0"/>
    <n v="0"/>
    <n v="0"/>
    <n v="0"/>
    <n v="-1.4976375410167684"/>
    <n v="-0.20000578419483905"/>
    <n v="0"/>
    <n v="0"/>
    <m/>
    <m/>
    <m/>
    <n v="385.88045735641288"/>
    <n v="0"/>
    <n v="0"/>
    <n v="-128.06720000000007"/>
    <n v="11.626239999999939"/>
    <n v="0"/>
    <n v="0"/>
    <n v="-119.31459432048354"/>
    <n v="0"/>
    <n v="0"/>
    <n v="0"/>
    <n v="0"/>
    <n v="0"/>
    <n v="0"/>
    <n v="0"/>
    <n v="0"/>
    <n v="0"/>
    <n v="0"/>
    <n v="0"/>
    <n v="0"/>
    <n v="63.48505345791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"/>
    <s v="Não se aplica"/>
    <s v="Não se aplica"/>
    <s v="Não se aplica"/>
    <s v="CATIVO"/>
    <x v="5"/>
    <n v="0"/>
    <n v="0"/>
    <n v="6093.8940000000002"/>
    <n v="6093.8940000000002"/>
    <n v="6093.8940000000002"/>
    <n v="6093.8940000000002"/>
    <m/>
    <n v="333.61"/>
    <n v="128.11000000000001"/>
    <m/>
    <n v="2813672.7376800003"/>
    <n v="2813672.7376800003"/>
    <n v="2456022.09882"/>
    <n v="0"/>
    <n v="373044.12253109115"/>
    <n v="0"/>
    <n v="0"/>
    <n v="0"/>
    <n v="0"/>
    <n v="1185239.2156257562"/>
    <n v="780695.13714414416"/>
    <n v="0"/>
    <n v="0"/>
    <n v="0"/>
    <n v="0"/>
    <n v="0"/>
    <n v="57610.76230960188"/>
    <m/>
    <n v="5243.1126996569037"/>
    <n v="21182.498448193215"/>
    <n v="112996.85571594935"/>
    <n v="0"/>
    <n v="0"/>
    <n v="0"/>
    <n v="0"/>
    <n v="0"/>
    <n v="0"/>
    <n v="0"/>
    <n v="0"/>
    <n v="0"/>
    <n v="0"/>
    <m/>
    <n v="0"/>
    <n v="0"/>
    <n v="0"/>
    <n v="0"/>
    <n v="0"/>
    <n v="82684.21363316635"/>
    <n v="0"/>
    <n v="0"/>
    <n v="0"/>
    <n v="805517.28"/>
    <n v="20708"/>
    <m/>
    <m/>
    <m/>
    <m/>
    <m/>
    <m/>
    <m/>
    <m/>
    <m/>
    <n v="863379.35077731055"/>
    <m/>
    <m/>
    <m/>
    <m/>
    <m/>
    <m/>
    <m/>
    <m/>
    <m/>
    <m/>
    <m/>
    <m/>
    <n v="2456020.4867000002"/>
    <n v="-357652.28097999981"/>
    <m/>
    <m/>
    <m/>
    <m/>
    <n v="-393360.85770000011"/>
    <n v="35710.218839999914"/>
    <n v="29"/>
    <n v="8782.0136008174159"/>
    <n v="1546.233635000146"/>
    <n v="8248.297026178785"/>
    <n v="0"/>
    <n v="0"/>
    <n v="0"/>
    <n v="0"/>
    <n v="0"/>
    <n v="0"/>
    <n v="0"/>
    <n v="0"/>
    <n v="35706.771265447955"/>
    <n v="0"/>
    <n v="0"/>
    <n v="0"/>
    <n v="3781.740352914785"/>
    <n v="0"/>
    <n v="-35286.684689990303"/>
    <m/>
    <n v="0"/>
    <n v="0"/>
    <n v="0"/>
    <n v="0"/>
    <n v="-4600.0223918229967"/>
    <n v="-614.32159691039578"/>
    <n v="0"/>
    <n v="0"/>
    <m/>
    <m/>
    <m/>
    <n v="1185239.2156257562"/>
    <n v="0"/>
    <n v="0"/>
    <n v="-393360.85770000005"/>
    <n v="35710.21883999987"/>
    <n v="0"/>
    <n v="0"/>
    <n v="-366477.0617147322"/>
    <n v="0"/>
    <n v="0"/>
    <n v="0"/>
    <n v="0"/>
    <n v="0"/>
    <n v="0"/>
    <n v="0"/>
    <n v="0"/>
    <n v="0"/>
    <n v="0"/>
    <n v="0"/>
    <n v="0"/>
    <n v="194995.5576395378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7"/>
    <s v="Refaturamento - Regular"/>
    <s v="Convencional"/>
    <s v="B1"/>
    <s v="Residencial"/>
    <s v="Residencial"/>
    <s v="Não se aplica"/>
    <s v="Não se aplica"/>
    <s v="Não se aplica"/>
    <s v="CATIVO"/>
    <x v="5"/>
    <n v="0"/>
    <n v="0"/>
    <n v="-14.095000000000001"/>
    <n v="-14.095000000000001"/>
    <n v="-14.095000000000001"/>
    <n v="-14.095000000000001"/>
    <m/>
    <n v="333.61"/>
    <n v="128.11000000000001"/>
    <m/>
    <n v="-6507.943400000001"/>
    <n v="-6507.943400000001"/>
    <n v="-5680.7078500000007"/>
    <n v="0"/>
    <n v="-862.84023106994152"/>
    <n v="0"/>
    <n v="0"/>
    <n v="0"/>
    <n v="0"/>
    <n v="-2741.4239145356046"/>
    <n v="-1805.7251993629543"/>
    <n v="0"/>
    <n v="0"/>
    <n v="0"/>
    <n v="0"/>
    <n v="0"/>
    <n v="-133.25202157337139"/>
    <m/>
    <n v="-12.127167538796057"/>
    <n v="-48.994504273832682"/>
    <n v="-261.358448525082"/>
    <n v="0"/>
    <n v="0"/>
    <n v="0"/>
    <n v="0"/>
    <n v="0"/>
    <n v="0"/>
    <n v="0"/>
    <n v="0"/>
    <n v="0"/>
    <n v="0"/>
    <m/>
    <n v="0"/>
    <n v="0"/>
    <n v="0"/>
    <n v="0"/>
    <n v="0"/>
    <n v="-191.24618694704566"/>
    <n v="0"/>
    <n v="0"/>
    <n v="0"/>
    <n v="-2545.34"/>
    <n v="0"/>
    <m/>
    <m/>
    <m/>
    <m/>
    <m/>
    <m/>
    <m/>
    <m/>
    <m/>
    <n v="-1996.9713863100001"/>
    <m/>
    <m/>
    <m/>
    <m/>
    <m/>
    <m/>
    <m/>
    <m/>
    <m/>
    <m/>
    <m/>
    <m/>
    <n v="-5682.723"/>
    <n v="825.19040000000041"/>
    <m/>
    <m/>
    <m/>
    <m/>
    <n v="909.83225000000016"/>
    <n v="-82.5966999999998"/>
    <n v="29"/>
    <n v="-20.312542637520437"/>
    <n v="-3.5763935318413971"/>
    <n v="-19.078071686837689"/>
    <n v="0"/>
    <n v="0"/>
    <n v="0"/>
    <n v="0"/>
    <n v="0"/>
    <n v="0"/>
    <n v="0"/>
    <n v="0"/>
    <n v="-82.588725860097156"/>
    <n v="0"/>
    <n v="0"/>
    <n v="0"/>
    <n v="-8.747055704338436"/>
    <n v="0"/>
    <n v="81.617077800403763"/>
    <m/>
    <n v="0"/>
    <n v="0"/>
    <n v="0"/>
    <n v="0"/>
    <n v="10.639718316850463"/>
    <n v="1.4209080283398468"/>
    <n v="0"/>
    <n v="0"/>
    <m/>
    <m/>
    <m/>
    <n v="-2741.4239145356046"/>
    <n v="0"/>
    <n v="0"/>
    <n v="909.83225000000039"/>
    <n v="-82.596699999999828"/>
    <n v="0"/>
    <n v="0"/>
    <n v="847.65080995323365"/>
    <n v="0"/>
    <n v="0"/>
    <n v="0"/>
    <n v="0"/>
    <n v="0"/>
    <n v="0"/>
    <n v="0"/>
    <n v="0"/>
    <n v="0"/>
    <n v="0"/>
    <n v="0"/>
    <n v="0"/>
    <n v="-451.019066778858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8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4.016"/>
    <n v="14.016"/>
    <n v="14.016"/>
    <n v="14.016"/>
    <m/>
    <n v="333.61"/>
    <n v="128.11000000000001"/>
    <m/>
    <n v="6471.4675200000001"/>
    <n v="6471.4675200000001"/>
    <n v="5648.8684800000001"/>
    <n v="0"/>
    <n v="858.00416308451929"/>
    <n v="0"/>
    <n v="0"/>
    <n v="0"/>
    <n v="0"/>
    <n v="2726.0587148727232"/>
    <n v="1795.6044266953647"/>
    <n v="0"/>
    <n v="0"/>
    <n v="0"/>
    <n v="0"/>
    <n v="0"/>
    <n v="132.50516739073242"/>
    <m/>
    <n v="12.059196894201172"/>
    <n v="48.71989868052777"/>
    <n v="259.893580314122"/>
    <n v="0"/>
    <n v="0"/>
    <n v="0"/>
    <n v="0"/>
    <n v="0"/>
    <n v="0"/>
    <n v="0"/>
    <n v="0"/>
    <n v="0"/>
    <n v="0"/>
    <m/>
    <n v="0"/>
    <n v="0"/>
    <n v="0"/>
    <n v="0"/>
    <n v="0"/>
    <n v="190.17428565092527"/>
    <n v="0"/>
    <n v="0"/>
    <n v="0"/>
    <n v="4608.59"/>
    <n v="55"/>
    <m/>
    <m/>
    <m/>
    <m/>
    <m/>
    <m/>
    <m/>
    <m/>
    <m/>
    <n v="1985.7787123462899"/>
    <m/>
    <m/>
    <m/>
    <m/>
    <m/>
    <m/>
    <m/>
    <m/>
    <m/>
    <m/>
    <m/>
    <m/>
    <n v="5650.4805999999999"/>
    <n v="-821.01692000000094"/>
    <m/>
    <m/>
    <m/>
    <m/>
    <n v="-904.73280000000011"/>
    <n v="82.133759999999796"/>
    <n v="29"/>
    <n v="20.198694402801266"/>
    <n v="3.5563484740893188"/>
    <n v="18.971142445031319"/>
    <n v="0"/>
    <n v="0"/>
    <n v="0"/>
    <n v="0"/>
    <n v="0"/>
    <n v="0"/>
    <n v="0"/>
    <n v="0"/>
    <n v="82.12583055375103"/>
    <n v="0"/>
    <n v="0"/>
    <n v="0"/>
    <n v="8.6980299930477258"/>
    <n v="0"/>
    <n v="-81.159628410816481"/>
    <m/>
    <n v="0"/>
    <n v="0"/>
    <n v="0"/>
    <n v="0"/>
    <n v="-10.580084563957172"/>
    <n v="-1.4129440883441848"/>
    <n v="0"/>
    <n v="0"/>
    <m/>
    <m/>
    <m/>
    <n v="2726.0587148727232"/>
    <n v="0"/>
    <n v="0"/>
    <n v="-904.73280000000022"/>
    <n v="82.133759999999711"/>
    <n v="0"/>
    <n v="0"/>
    <n v="-842.8998760059967"/>
    <n v="0"/>
    <n v="0"/>
    <n v="0"/>
    <n v="0"/>
    <n v="0"/>
    <n v="0"/>
    <n v="0"/>
    <n v="0"/>
    <n v="0"/>
    <n v="0"/>
    <n v="0"/>
    <n v="0"/>
    <n v="448.4911841058873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14.97"/>
    <n v="14.97"/>
    <n v="14.97"/>
    <n v="14.97"/>
    <m/>
    <n v="230.94"/>
    <n v="128.11000000000001"/>
    <m/>
    <n v="5374.9785000000002"/>
    <n v="5374.9785000000002"/>
    <n v="4594.2930000000006"/>
    <n v="0"/>
    <n v="0"/>
    <n v="0"/>
    <n v="0"/>
    <n v="0"/>
    <n v="0"/>
    <n v="2911.6080880168856"/>
    <n v="1917.8223649849895"/>
    <n v="0"/>
    <n v="0"/>
    <n v="0"/>
    <n v="0"/>
    <n v="0"/>
    <n v="0"/>
    <m/>
    <n v="12.880006956777365"/>
    <n v="52.036021921197253"/>
    <n v="277.58325465913288"/>
    <n v="0"/>
    <n v="0"/>
    <n v="0"/>
    <n v="0"/>
    <n v="0"/>
    <n v="0"/>
    <n v="0"/>
    <n v="0"/>
    <n v="0"/>
    <n v="0"/>
    <m/>
    <n v="0"/>
    <n v="0"/>
    <n v="0"/>
    <n v="0"/>
    <n v="0"/>
    <n v="203.1185114293915"/>
    <n v="0"/>
    <n v="0"/>
    <n v="0"/>
    <n v="214.57"/>
    <n v="9"/>
    <m/>
    <m/>
    <m/>
    <m/>
    <m/>
    <m/>
    <m/>
    <n v="2986.2156000000004"/>
    <m/>
    <n v="2120.9408764143809"/>
    <m/>
    <m/>
    <m/>
    <m/>
    <m/>
    <m/>
    <m/>
    <m/>
    <m/>
    <m/>
    <m/>
    <m/>
    <n v="1608.0774000000001"/>
    <n v="-273.23249999999985"/>
    <m/>
    <m/>
    <m/>
    <m/>
    <n v="-868.40969999999993"/>
    <n v="87.724199999999783"/>
    <n v="29"/>
    <n v="119.55750274274442"/>
    <n v="3.7984115765637227"/>
    <n v="20.262414554945678"/>
    <n v="0"/>
    <n v="0"/>
    <n v="0"/>
    <n v="0"/>
    <n v="0"/>
    <n v="0"/>
    <n v="0"/>
    <n v="0"/>
    <n v="87.715730835448994"/>
    <n v="0"/>
    <n v="0"/>
    <n v="0"/>
    <n v="9.2900620002800167"/>
    <n v="0"/>
    <n v="0"/>
    <m/>
    <n v="0"/>
    <n v="0"/>
    <n v="0"/>
    <n v="0"/>
    <n v="0"/>
    <n v="-1.5091162244943241"/>
    <n v="0"/>
    <n v="0"/>
    <m/>
    <m/>
    <m/>
    <n v="2911.6080880168856"/>
    <n v="0"/>
    <n v="0"/>
    <n v="-868.4096999999997"/>
    <n v="87.724199999999655"/>
    <n v="0"/>
    <n v="0"/>
    <n v="-900.2719137992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0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33.079000000000001"/>
    <n v="33.079000000000001"/>
    <n v="33.079000000000001"/>
    <n v="33.079000000000001"/>
    <m/>
    <n v="230.94"/>
    <n v="128.11000000000001"/>
    <m/>
    <n v="11877.014950000001"/>
    <n v="11877.014950000001"/>
    <n v="10151.945100000001"/>
    <n v="0"/>
    <n v="0"/>
    <n v="0"/>
    <n v="0"/>
    <n v="0"/>
    <n v="0"/>
    <n v="6433.7397423854745"/>
    <n v="4237.7853046986284"/>
    <n v="0"/>
    <n v="0"/>
    <n v="0"/>
    <n v="0"/>
    <n v="0"/>
    <n v="0"/>
    <m/>
    <n v="28.460771551318533"/>
    <n v="114.98327115105437"/>
    <n v="613.3718424094493"/>
    <n v="0"/>
    <n v="0"/>
    <n v="0"/>
    <n v="0"/>
    <n v="0"/>
    <n v="0"/>
    <n v="0"/>
    <n v="0"/>
    <n v="0"/>
    <n v="0"/>
    <m/>
    <n v="0"/>
    <n v="0"/>
    <n v="0"/>
    <n v="0"/>
    <n v="0"/>
    <n v="448.82813891602149"/>
    <n v="0"/>
    <n v="0"/>
    <n v="0"/>
    <n v="831.73"/>
    <n v="54"/>
    <m/>
    <m/>
    <m/>
    <m/>
    <m/>
    <m/>
    <m/>
    <n v="4060.7780400000001"/>
    <m/>
    <n v="4686.6134436146494"/>
    <m/>
    <m/>
    <m/>
    <m/>
    <m/>
    <m/>
    <m/>
    <m/>
    <m/>
    <m/>
    <m/>
    <m/>
    <n v="6091.3511999999992"/>
    <n v="-1035.2185600000012"/>
    <m/>
    <m/>
    <m/>
    <m/>
    <n v="-1918.9127899999996"/>
    <n v="193.84293999999952"/>
    <n v="29"/>
    <n v="264.18454463775743"/>
    <n v="8.3932970301370347"/>
    <n v="44.773574553309913"/>
    <n v="0"/>
    <n v="0"/>
    <n v="0"/>
    <n v="0"/>
    <n v="0"/>
    <n v="0"/>
    <n v="0"/>
    <n v="0"/>
    <n v="193.82422580533148"/>
    <n v="0"/>
    <n v="0"/>
    <n v="0"/>
    <n v="20.528120301086346"/>
    <n v="0"/>
    <n v="0"/>
    <m/>
    <n v="0"/>
    <n v="0"/>
    <n v="0"/>
    <n v="0"/>
    <n v="0"/>
    <n v="-3.334673052107398"/>
    <n v="0"/>
    <n v="0"/>
    <m/>
    <m/>
    <m/>
    <n v="6433.7397423854745"/>
    <n v="0"/>
    <n v="0"/>
    <n v="-1918.9127899999994"/>
    <n v="193.84293999999954"/>
    <n v="0"/>
    <n v="0"/>
    <n v="-1989.318278995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1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42.531999999999996"/>
    <n v="42.531999999999996"/>
    <n v="42.531999999999996"/>
    <n v="42.531999999999996"/>
    <m/>
    <n v="230.94"/>
    <n v="128.11000000000001"/>
    <m/>
    <n v="15271.114600000001"/>
    <n v="15271.114600000001"/>
    <n v="13053.0708"/>
    <n v="0"/>
    <n v="0"/>
    <n v="0"/>
    <n v="0"/>
    <n v="0"/>
    <n v="0"/>
    <n v="8272.3123045781012"/>
    <n v="5448.8190265558824"/>
    <n v="0"/>
    <n v="0"/>
    <n v="0"/>
    <n v="0"/>
    <n v="0"/>
    <n v="0"/>
    <m/>
    <n v="36.594018429235462"/>
    <n v="147.84208980309694"/>
    <n v="788.65537656394372"/>
    <n v="0"/>
    <n v="0"/>
    <n v="0"/>
    <n v="0"/>
    <n v="0"/>
    <n v="0"/>
    <n v="0"/>
    <n v="0"/>
    <n v="0"/>
    <n v="0"/>
    <m/>
    <n v="0"/>
    <n v="0"/>
    <n v="0"/>
    <n v="0"/>
    <n v="0"/>
    <n v="577.08994843786763"/>
    <n v="0"/>
    <n v="0"/>
    <n v="0"/>
    <n v="2805.12"/>
    <n v="178"/>
    <m/>
    <m/>
    <m/>
    <m/>
    <m/>
    <m/>
    <m/>
    <n v="1305.307080000001"/>
    <m/>
    <n v="6025.9089749937502"/>
    <m/>
    <m/>
    <m/>
    <m/>
    <m/>
    <m/>
    <m/>
    <m/>
    <m/>
    <m/>
    <m/>
    <m/>
    <n v="11747.211299999999"/>
    <n v="-1997.0344999999998"/>
    <m/>
    <m/>
    <m/>
    <m/>
    <n v="-2467.2813199999996"/>
    <n v="249.23751999999936"/>
    <n v="29"/>
    <n v="339.68067512721245"/>
    <n v="10.791853117862956"/>
    <n v="57.568538132996082"/>
    <n v="0"/>
    <n v="0"/>
    <n v="0"/>
    <n v="0"/>
    <n v="0"/>
    <n v="0"/>
    <n v="0"/>
    <n v="0"/>
    <n v="249.21345784190453"/>
    <n v="0"/>
    <n v="0"/>
    <n v="0"/>
    <n v="26.394450033126873"/>
    <n v="0"/>
    <n v="0"/>
    <m/>
    <n v="0"/>
    <n v="0"/>
    <n v="0"/>
    <n v="0"/>
    <n v="0"/>
    <n v="-4.2876239986768638"/>
    <n v="0"/>
    <n v="0"/>
    <m/>
    <m/>
    <m/>
    <n v="8272.3123045781012"/>
    <n v="0"/>
    <n v="0"/>
    <n v="-2467.2813200000001"/>
    <n v="249.23751999999968"/>
    <n v="0"/>
    <n v="0"/>
    <n v="-2557.8066157453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2"/>
    <s v="Refaturamento - 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-2E-3"/>
    <n v="-2E-3"/>
    <n v="-2E-3"/>
    <n v="-2E-3"/>
    <m/>
    <n v="230.94"/>
    <n v="128.11000000000001"/>
    <m/>
    <n v="-0.71810000000000007"/>
    <n v="-0.71810000000000007"/>
    <n v="-0.61380000000000001"/>
    <n v="0"/>
    <n v="0"/>
    <n v="0"/>
    <n v="0"/>
    <n v="0"/>
    <n v="0"/>
    <n v="-0.38899239652864204"/>
    <n v="-0.25622209285036601"/>
    <n v="0"/>
    <n v="0"/>
    <n v="0"/>
    <n v="0"/>
    <n v="0"/>
    <n v="0"/>
    <m/>
    <n v="-1.7207758125287061E-3"/>
    <n v="-6.9520403368333004E-3"/>
    <n v="-3.7085271163544806E-2"/>
    <n v="0"/>
    <n v="0"/>
    <n v="0"/>
    <n v="0"/>
    <n v="0"/>
    <n v="0"/>
    <n v="0"/>
    <n v="0"/>
    <n v="0"/>
    <n v="0"/>
    <m/>
    <n v="0"/>
    <n v="0"/>
    <n v="0"/>
    <n v="0"/>
    <n v="0"/>
    <n v="-2.7136741673933401E-2"/>
    <n v="0"/>
    <n v="0"/>
    <n v="0"/>
    <n v="-0.18"/>
    <n v="0"/>
    <m/>
    <m/>
    <m/>
    <m/>
    <m/>
    <m/>
    <m/>
    <n v="-6.1380000000000053E-2"/>
    <m/>
    <n v="-0.28335883452429944"/>
    <m/>
    <m/>
    <m/>
    <m/>
    <m/>
    <m/>
    <m/>
    <m/>
    <m/>
    <m/>
    <m/>
    <m/>
    <n v="0"/>
    <n v="0.61629999999999996"/>
    <m/>
    <m/>
    <m/>
    <m/>
    <n v="0.11601999999999998"/>
    <n v="-1.171999999999997E-2"/>
    <n v="29"/>
    <n v="-1.5972946258215603E-2"/>
    <n v="-5.0746981650817962E-4"/>
    <n v="-2.707069412818397E-3"/>
    <n v="0"/>
    <n v="0"/>
    <n v="0"/>
    <n v="0"/>
    <n v="0"/>
    <n v="0"/>
    <n v="0"/>
    <n v="0"/>
    <n v="-1.171886851509002E-2"/>
    <n v="0"/>
    <n v="0"/>
    <n v="0"/>
    <n v="-1.2411572478664007E-3"/>
    <n v="0"/>
    <n v="0"/>
    <m/>
    <n v="0"/>
    <n v="0"/>
    <n v="0"/>
    <n v="0"/>
    <n v="0"/>
    <n v="2.0161873406737804E-4"/>
    <n v="0"/>
    <n v="0"/>
    <m/>
    <m/>
    <m/>
    <n v="-0.38899239652864204"/>
    <n v="0"/>
    <n v="0"/>
    <n v="0.11602000000000001"/>
    <n v="-1.1719999999999953E-2"/>
    <n v="0"/>
    <n v="0"/>
    <n v="0.12027680879081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3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35.345999999999997"/>
    <n v="35.345999999999997"/>
    <n v="35.345999999999997"/>
    <n v="35.345999999999997"/>
    <m/>
    <n v="230.94"/>
    <n v="128.11000000000001"/>
    <m/>
    <n v="12690.981299999999"/>
    <n v="12690.981299999999"/>
    <n v="10847.687399999999"/>
    <n v="0"/>
    <n v="0"/>
    <n v="0"/>
    <n v="0"/>
    <n v="0"/>
    <n v="0"/>
    <n v="6874.6626238506897"/>
    <n v="4528.2130469445174"/>
    <n v="0"/>
    <n v="0"/>
    <n v="0"/>
    <n v="0"/>
    <n v="0"/>
    <n v="0"/>
    <m/>
    <n v="30.411270934819818"/>
    <n v="122.8634088728549"/>
    <n v="655.40799727332728"/>
    <n v="0"/>
    <n v="0"/>
    <n v="0"/>
    <n v="0"/>
    <n v="0"/>
    <n v="0"/>
    <n v="0"/>
    <n v="0"/>
    <n v="0"/>
    <n v="0"/>
    <m/>
    <n v="0"/>
    <n v="0"/>
    <n v="0"/>
    <n v="0"/>
    <n v="0"/>
    <n v="479.58763560342493"/>
    <n v="0"/>
    <n v="0"/>
    <n v="0"/>
    <n v="3614.52"/>
    <n v="258"/>
    <m/>
    <m/>
    <m/>
    <m/>
    <m/>
    <m/>
    <m/>
    <m/>
    <m/>
    <n v="5007.8006825479424"/>
    <m/>
    <m/>
    <m/>
    <m/>
    <m/>
    <m/>
    <m/>
    <m/>
    <m/>
    <m/>
    <m/>
    <m/>
    <n v="10848.915000000001"/>
    <n v="-1842.0962999999992"/>
    <m/>
    <m/>
    <m/>
    <m/>
    <n v="-2050.4214599999996"/>
    <n v="207.12755999999945"/>
    <n v="29"/>
    <n v="282.28987922144552"/>
    <n v="8.9685140671490444"/>
    <n v="47.842037732739527"/>
    <n v="0"/>
    <n v="0"/>
    <n v="0"/>
    <n v="0"/>
    <n v="0"/>
    <n v="0"/>
    <n v="0"/>
    <n v="0"/>
    <n v="207.10756326718638"/>
    <n v="0"/>
    <n v="0"/>
    <n v="0"/>
    <n v="21.934972041542892"/>
    <n v="0"/>
    <n v="0"/>
    <m/>
    <n v="0"/>
    <n v="0"/>
    <n v="0"/>
    <n v="0"/>
    <n v="0"/>
    <n v="-3.5632078871727728"/>
    <n v="0"/>
    <n v="0"/>
    <m/>
    <m/>
    <m/>
    <n v="6874.6626238506897"/>
    <n v="0"/>
    <n v="0"/>
    <n v="-2050.4214599999996"/>
    <n v="207.1275599999999"/>
    <n v="0"/>
    <n v="0"/>
    <n v="-2125.6520417599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4"/>
    <s v="Refaturamento - 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-0.26100000000000001"/>
    <n v="-0.26100000000000001"/>
    <n v="-0.26100000000000001"/>
    <n v="-0.26100000000000001"/>
    <m/>
    <n v="230.94"/>
    <n v="128.11000000000001"/>
    <m/>
    <n v="-93.712050000000005"/>
    <n v="-93.712050000000005"/>
    <n v="-80.100899999999996"/>
    <n v="0"/>
    <n v="0"/>
    <n v="0"/>
    <n v="0"/>
    <n v="0"/>
    <n v="0"/>
    <n v="-50.763507746987784"/>
    <n v="-33.436983116972762"/>
    <n v="0"/>
    <n v="0"/>
    <n v="0"/>
    <n v="0"/>
    <n v="0"/>
    <n v="0"/>
    <m/>
    <n v="-0.22456124353499615"/>
    <n v="-0.90724126395674565"/>
    <n v="-4.8396278868425968"/>
    <n v="0"/>
    <n v="0"/>
    <n v="0"/>
    <n v="0"/>
    <n v="0"/>
    <n v="0"/>
    <n v="0"/>
    <n v="0"/>
    <n v="0"/>
    <n v="0"/>
    <m/>
    <n v="0"/>
    <n v="0"/>
    <n v="0"/>
    <n v="0"/>
    <n v="0"/>
    <n v="-3.5413447884483089"/>
    <n v="0"/>
    <n v="0"/>
    <n v="0"/>
    <n v="-26.7"/>
    <n v="0"/>
    <m/>
    <m/>
    <m/>
    <m/>
    <m/>
    <m/>
    <m/>
    <m/>
    <m/>
    <n v="-36.978327905421068"/>
    <m/>
    <m/>
    <m/>
    <m/>
    <m/>
    <m/>
    <m/>
    <m/>
    <m/>
    <m/>
    <m/>
    <m/>
    <n v="-79.794000000000011"/>
    <n v="13.888049999999993"/>
    <m/>
    <m/>
    <m/>
    <m/>
    <n v="15.140609999999999"/>
    <n v="-1.5294599999999963"/>
    <n v="29"/>
    <n v="-2.0844694866971381"/>
    <n v="-6.6224811054317545E-2"/>
    <n v="-0.35327255837280092"/>
    <n v="0"/>
    <n v="0"/>
    <n v="0"/>
    <n v="0"/>
    <n v="0"/>
    <n v="0"/>
    <n v="0"/>
    <n v="0"/>
    <n v="-1.5293123412192529"/>
    <n v="0"/>
    <n v="0"/>
    <n v="0"/>
    <n v="-0.16197102084656523"/>
    <n v="0"/>
    <n v="0"/>
    <m/>
    <n v="0"/>
    <n v="0"/>
    <n v="0"/>
    <n v="0"/>
    <n v="0"/>
    <n v="2.6311244795792832E-2"/>
    <n v="0"/>
    <n v="0"/>
    <m/>
    <m/>
    <m/>
    <n v="-50.763507746987784"/>
    <n v="0"/>
    <n v="0"/>
    <n v="15.140609999999995"/>
    <n v="-1.5294599999999932"/>
    <n v="0"/>
    <n v="0"/>
    <n v="15.69612354720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5"/>
    <s v="Regular"/>
    <s v="Convencional"/>
    <s v="B3"/>
    <s v="Industrial"/>
    <s v="Não se aplica"/>
    <s v="Não se aplica"/>
    <s v="Não se aplica"/>
    <s v="Não se aplica"/>
    <s v="CATIVO"/>
    <x v="5"/>
    <n v="0"/>
    <n v="0"/>
    <n v="452.41800000000001"/>
    <n v="452.41800000000001"/>
    <n v="452.41800000000001"/>
    <n v="452.41800000000001"/>
    <m/>
    <n v="333.61"/>
    <n v="128.11000000000001"/>
    <m/>
    <n v="208890.43896000003"/>
    <n v="208890.43896000003"/>
    <n v="182338.02653999999"/>
    <n v="0"/>
    <n v="27695.243111755997"/>
    <n v="0"/>
    <n v="0"/>
    <n v="0"/>
    <n v="0"/>
    <n v="87993.581026347587"/>
    <n v="57959.743401588443"/>
    <n v="0"/>
    <n v="0"/>
    <n v="0"/>
    <n v="0"/>
    <n v="0"/>
    <n v="4277.0920962172077"/>
    <m/>
    <n v="389.25497577630608"/>
    <n v="1572.614092554724"/>
    <n v="8389.0221046343067"/>
    <n v="0"/>
    <n v="0"/>
    <n v="0"/>
    <n v="0"/>
    <n v="0"/>
    <n v="0"/>
    <n v="0"/>
    <n v="0"/>
    <n v="0"/>
    <n v="0"/>
    <m/>
    <n v="0"/>
    <n v="0"/>
    <n v="0"/>
    <n v="0"/>
    <n v="0"/>
    <n v="6138.5751973188007"/>
    <n v="0"/>
    <n v="0"/>
    <n v="0"/>
    <n v="82191.83"/>
    <n v="225"/>
    <m/>
    <m/>
    <m/>
    <m/>
    <m/>
    <m/>
    <m/>
    <m/>
    <m/>
    <n v="64098.318598907244"/>
    <m/>
    <m/>
    <m/>
    <m/>
    <m/>
    <m/>
    <m/>
    <m/>
    <m/>
    <m/>
    <m/>
    <m/>
    <n v="182338.83260000002"/>
    <n v="-26551.636360000033"/>
    <m/>
    <m/>
    <m/>
    <m/>
    <n v="-29203.581900000005"/>
    <n v="2651.1694799999932"/>
    <n v="29"/>
    <n v="651.98722348221054"/>
    <n v="114.79423972249879"/>
    <n v="612.36346480423708"/>
    <n v="0"/>
    <n v="0"/>
    <n v="0"/>
    <n v="0"/>
    <n v="0"/>
    <n v="0"/>
    <n v="0"/>
    <n v="0"/>
    <n v="2650.9135279299953"/>
    <n v="0"/>
    <n v="0"/>
    <n v="0"/>
    <n v="280.76093988261073"/>
    <n v="0"/>
    <n v="-2619.7257966869838"/>
    <m/>
    <n v="0"/>
    <n v="0"/>
    <n v="0"/>
    <n v="0"/>
    <n v="-341.51117995550612"/>
    <n v="-45.607972214647532"/>
    <n v="0"/>
    <n v="0"/>
    <m/>
    <m/>
    <m/>
    <n v="87993.581026347587"/>
    <n v="0"/>
    <n v="0"/>
    <n v="-29203.581900000019"/>
    <n v="2651.1694799999968"/>
    <n v="0"/>
    <n v="0"/>
    <n v="-27207.696639760354"/>
    <n v="0"/>
    <n v="0"/>
    <n v="0"/>
    <n v="0"/>
    <n v="0"/>
    <n v="0"/>
    <n v="0"/>
    <n v="0"/>
    <n v="0"/>
    <n v="0"/>
    <n v="0"/>
    <n v="0"/>
    <n v="14476.70409038365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6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940.99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29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7"/>
    <s v="Regular"/>
    <s v="Azul"/>
    <s v="A3"/>
    <s v="Industrial"/>
    <s v="Não se aplica"/>
    <s v="Não se aplica"/>
    <s v="Não se aplica"/>
    <s v="Ponta"/>
    <s v="CATIVO"/>
    <x v="5"/>
    <n v="2359"/>
    <n v="2359"/>
    <n v="122.203"/>
    <n v="122.203"/>
    <n v="122.203"/>
    <n v="122.203"/>
    <n v="28.46"/>
    <n v="75.12"/>
    <n v="128.11000000000001"/>
    <n v="67137.14"/>
    <n v="24835.315690000003"/>
    <n v="91972.455690000003"/>
    <n v="76306.095679999999"/>
    <n v="0"/>
    <n v="5012.1259586722117"/>
    <n v="0"/>
    <n v="0"/>
    <n v="0"/>
    <n v="0"/>
    <n v="54238.05121079801"/>
    <n v="15655.554206296638"/>
    <n v="0"/>
    <n v="0"/>
    <n v="0"/>
    <n v="0"/>
    <n v="0"/>
    <n v="1155.2888820383614"/>
    <m/>
    <n v="29.909917450830967"/>
    <n v="1942.0961957405113"/>
    <n v="10947.973158245952"/>
    <n v="0"/>
    <n v="0"/>
    <n v="0"/>
    <n v="0"/>
    <n v="0"/>
    <n v="0"/>
    <n v="0"/>
    <n v="0"/>
    <n v="0"/>
    <n v="0"/>
    <m/>
    <n v="0"/>
    <n v="0"/>
    <n v="0"/>
    <n v="0"/>
    <n v="0"/>
    <n v="362.62284210823498"/>
    <n v="0"/>
    <n v="0"/>
    <n v="0"/>
    <n v="0"/>
    <n v="0"/>
    <m/>
    <m/>
    <m/>
    <m/>
    <m/>
    <m/>
    <m/>
    <m/>
    <m/>
    <n v="16018.177048404872"/>
    <m/>
    <m/>
    <m/>
    <m/>
    <m/>
    <m/>
    <m/>
    <m/>
    <m/>
    <m/>
    <m/>
    <m/>
    <n v="76305.482000000004"/>
    <n v="-15667.003689999983"/>
    <m/>
    <m/>
    <m/>
    <m/>
    <n v="-16382.469590000001"/>
    <n v="716.10957999999823"/>
    <n v="29"/>
    <n v="1103.6935812038791"/>
    <n v="141.76488517651228"/>
    <n v="799.15617006936554"/>
    <n v="0"/>
    <n v="0"/>
    <n v="0"/>
    <n v="0"/>
    <n v="0"/>
    <n v="0"/>
    <n v="0"/>
    <n v="0"/>
    <n v="716.04044457477357"/>
    <n v="0"/>
    <n v="0"/>
    <n v="0"/>
    <n v="16.585335635816818"/>
    <n v="0"/>
    <n v="-474.10292147263135"/>
    <m/>
    <n v="0"/>
    <n v="0"/>
    <n v="0"/>
    <n v="0"/>
    <n v="-92.245867149633114"/>
    <n v="-3.5044656303220059"/>
    <n v="0"/>
    <n v="0"/>
    <m/>
    <m/>
    <n v="54238.05121079801"/>
    <n v="0"/>
    <n v="0"/>
    <n v="0"/>
    <n v="-16382.469590000001"/>
    <n v="716.10957999999846"/>
    <n v="0"/>
    <n v="0"/>
    <n v="-16770.455599861401"/>
    <n v="0"/>
    <n v="0"/>
    <n v="0"/>
    <n v="0"/>
    <n v="0"/>
    <n v="0"/>
    <n v="0"/>
    <n v="0"/>
    <n v="0"/>
    <n v="0"/>
    <n v="0"/>
    <n v="0"/>
    <n v="2619.910721658500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8"/>
    <s v="Regular"/>
    <s v="Azul"/>
    <s v="A3"/>
    <s v="Industrial"/>
    <s v="Não se aplica"/>
    <s v="Não se aplica"/>
    <s v="Não se aplica"/>
    <s v="Fora ponta"/>
    <s v="CATIVO"/>
    <x v="5"/>
    <n v="2361"/>
    <n v="2361"/>
    <n v="1251.78"/>
    <n v="1251.78"/>
    <n v="1251.78"/>
    <n v="1251.78"/>
    <n v="9.92"/>
    <n v="75.12"/>
    <n v="128.11000000000001"/>
    <n v="23421.119999999999"/>
    <n v="254399.24940000003"/>
    <n v="277820.36940000003"/>
    <n v="276746.4768"/>
    <n v="0"/>
    <n v="51341.448512284485"/>
    <n v="0"/>
    <n v="0"/>
    <n v="0"/>
    <n v="0"/>
    <n v="11616.635800897306"/>
    <n v="160366.84569411556"/>
    <n v="0"/>
    <n v="0"/>
    <n v="0"/>
    <n v="0"/>
    <n v="0"/>
    <n v="11834.140870174873"/>
    <m/>
    <n v="306.38066550412992"/>
    <n v="1754.7979128831805"/>
    <n v="10042.620582318355"/>
    <n v="0"/>
    <n v="0"/>
    <n v="0"/>
    <n v="0"/>
    <n v="0"/>
    <n v="0"/>
    <n v="0"/>
    <n v="0"/>
    <n v="0"/>
    <n v="0"/>
    <m/>
    <n v="0"/>
    <n v="0"/>
    <n v="0"/>
    <n v="0"/>
    <n v="0"/>
    <n v="3714.5080013931438"/>
    <n v="0"/>
    <n v="0"/>
    <n v="0"/>
    <n v="0"/>
    <n v="0"/>
    <m/>
    <m/>
    <m/>
    <m/>
    <m/>
    <m/>
    <m/>
    <m/>
    <m/>
    <n v="164081.3536955087"/>
    <m/>
    <m/>
    <m/>
    <m/>
    <m/>
    <m/>
    <m/>
    <m/>
    <m/>
    <m/>
    <m/>
    <m/>
    <n v="276746.4768"/>
    <n v="-1073.9225999999908"/>
    <m/>
    <m/>
    <m/>
    <m/>
    <n v="-8409.3234000000011"/>
    <n v="7335.430799999981"/>
    <n v="29"/>
    <n v="2528.5139249326312"/>
    <n v="128.09289528164254"/>
    <n v="733.0692253278321"/>
    <n v="0"/>
    <n v="0"/>
    <n v="0"/>
    <n v="0"/>
    <n v="0"/>
    <n v="0"/>
    <n v="0"/>
    <n v="0"/>
    <n v="7334.7226149096969"/>
    <n v="0"/>
    <n v="0"/>
    <n v="0"/>
    <n v="169.89101284095113"/>
    <n v="0"/>
    <n v="-4856.448328118051"/>
    <m/>
    <n v="0"/>
    <n v="0"/>
    <n v="0"/>
    <n v="0"/>
    <n v="-944.91568603526684"/>
    <n v="-35.897809274113399"/>
    <n v="0"/>
    <n v="0"/>
    <m/>
    <m/>
    <n v="11616.635800897306"/>
    <n v="0"/>
    <n v="0"/>
    <n v="0"/>
    <n v="-8409.3233999999939"/>
    <n v="7335.4307999999728"/>
    <n v="0"/>
    <n v="0"/>
    <n v="-3591.8745340157857"/>
    <n v="0"/>
    <n v="0"/>
    <n v="0"/>
    <n v="0"/>
    <n v="0"/>
    <n v="0"/>
    <n v="0"/>
    <n v="0"/>
    <n v="0"/>
    <n v="0"/>
    <n v="0"/>
    <n v="0"/>
    <n v="26836.91761378753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39"/>
    <s v="Regular"/>
    <s v="Azul"/>
    <s v="A3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2719.3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40"/>
    <s v="Regular"/>
    <s v="Azul"/>
    <s v="A4"/>
    <s v="Industrial"/>
    <s v="Não se aplica"/>
    <s v="Não se aplica"/>
    <s v="Não se aplica"/>
    <s v="Ponta"/>
    <s v="CATIVO"/>
    <x v="5"/>
    <n v="6156"/>
    <n v="6156"/>
    <n v="337.88200000000001"/>
    <n v="337.88200000000001"/>
    <n v="337.88200000000001"/>
    <n v="337.88200000000001"/>
    <n v="52.19"/>
    <n v="96.28"/>
    <n v="128.11000000000001"/>
    <n v="321281.64"/>
    <n v="75817.341980000012"/>
    <n v="397098.98198000004"/>
    <n v="310691.65247999999"/>
    <n v="0"/>
    <n v="17994.907355112133"/>
    <n v="0"/>
    <n v="0"/>
    <n v="0"/>
    <n v="0"/>
    <n v="287692.32802998344"/>
    <n v="43286.416588233682"/>
    <n v="0"/>
    <n v="0"/>
    <n v="0"/>
    <n v="0"/>
    <n v="0"/>
    <n v="3194.2858852964791"/>
    <m/>
    <n v="166.10301173292362"/>
    <n v="5316.504030879606"/>
    <n v="28282.412705525283"/>
    <n v="0"/>
    <n v="0"/>
    <n v="0"/>
    <n v="0"/>
    <n v="0"/>
    <n v="0"/>
    <n v="0"/>
    <n v="0"/>
    <n v="0"/>
    <n v="0"/>
    <m/>
    <n v="0"/>
    <n v="0"/>
    <n v="0"/>
    <n v="0"/>
    <n v="0"/>
    <n v="1770.0338195980321"/>
    <n v="0"/>
    <n v="0"/>
    <n v="0"/>
    <n v="0"/>
    <n v="0"/>
    <m/>
    <m/>
    <m/>
    <m/>
    <m/>
    <m/>
    <m/>
    <m/>
    <m/>
    <n v="45056.450407831711"/>
    <m/>
    <m/>
    <m/>
    <m/>
    <m/>
    <m/>
    <m/>
    <m/>
    <m/>
    <m/>
    <m/>
    <m/>
    <n v="310691.20320000005"/>
    <n v="-86407.808780000021"/>
    <m/>
    <m/>
    <m/>
    <m/>
    <n v="-88387.318019999992"/>
    <n v="1979.9885199999951"/>
    <n v="29"/>
    <n v="2536.6595949741895"/>
    <n v="388.08251884285801"/>
    <n v="2064.4976281335585"/>
    <n v="0"/>
    <n v="0"/>
    <n v="0"/>
    <n v="0"/>
    <n v="0"/>
    <n v="0"/>
    <n v="0"/>
    <n v="0"/>
    <n v="1979.7973658078263"/>
    <n v="0"/>
    <n v="0"/>
    <n v="0"/>
    <n v="80.956303839278917"/>
    <n v="0"/>
    <n v="-1702.1595664264023"/>
    <m/>
    <n v="0"/>
    <n v="0"/>
    <n v="0"/>
    <n v="0"/>
    <n v="-255.05280626705007"/>
    <n v="-19.461848955883084"/>
    <n v="0"/>
    <n v="0"/>
    <m/>
    <m/>
    <n v="287692.32802998344"/>
    <n v="0"/>
    <n v="0"/>
    <n v="0"/>
    <n v="-88387.318020000064"/>
    <n v="1979.9885199999917"/>
    <n v="0"/>
    <n v="0"/>
    <n v="-88954.733917266625"/>
    <n v="0"/>
    <n v="0"/>
    <n v="0"/>
    <n v="0"/>
    <n v="0"/>
    <n v="0"/>
    <n v="0"/>
    <n v="0"/>
    <n v="0"/>
    <n v="0"/>
    <n v="0"/>
    <n v="0"/>
    <n v="9406.1983085913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1"/>
    <s v="Regular"/>
    <s v="Azul"/>
    <s v="A4"/>
    <s v="Industrial"/>
    <s v="Não se aplica"/>
    <s v="Não se aplica"/>
    <s v="Não se aplica"/>
    <s v="Fora ponta"/>
    <s v="CATIVO"/>
    <x v="5"/>
    <n v="6290"/>
    <n v="6290"/>
    <n v="2984.953"/>
    <n v="2984.953"/>
    <n v="2984.953"/>
    <n v="2984.953"/>
    <n v="18.12"/>
    <n v="96.28"/>
    <n v="128.11000000000001"/>
    <n v="113974.8"/>
    <n v="669793.6036700001"/>
    <n v="783768.40367000003"/>
    <n v="761430.34192000004"/>
    <n v="0"/>
    <n v="158972.51908762238"/>
    <n v="0"/>
    <n v="0"/>
    <n v="0"/>
    <n v="0"/>
    <n v="82140.722020137604"/>
    <n v="382405.45235998923"/>
    <n v="0"/>
    <n v="0"/>
    <n v="0"/>
    <n v="0"/>
    <n v="0"/>
    <n v="28219.299152288022"/>
    <m/>
    <n v="1467.4048430553435"/>
    <n v="4999.7348912911493"/>
    <n v="26803.70934065543"/>
    <n v="0"/>
    <n v="0"/>
    <n v="0"/>
    <n v="0"/>
    <n v="0"/>
    <n v="0"/>
    <n v="0"/>
    <n v="0"/>
    <n v="0"/>
    <n v="0"/>
    <m/>
    <n v="0"/>
    <n v="0"/>
    <n v="0"/>
    <n v="0"/>
    <n v="0"/>
    <n v="15637.020498015889"/>
    <n v="0"/>
    <n v="0"/>
    <n v="0"/>
    <n v="0"/>
    <n v="0"/>
    <m/>
    <m/>
    <m/>
    <m/>
    <m/>
    <m/>
    <m/>
    <m/>
    <m/>
    <n v="398042.47285800509"/>
    <m/>
    <m/>
    <m/>
    <m/>
    <m/>
    <m/>
    <m/>
    <m/>
    <m/>
    <m/>
    <m/>
    <m/>
    <n v="761429.66799999995"/>
    <n v="-22338.76567000011"/>
    <m/>
    <m/>
    <m/>
    <m/>
    <n v="-39829.886330000008"/>
    <n v="17491.824579999957"/>
    <n v="29"/>
    <n v="3064.3017538577551"/>
    <n v="364.95969887146839"/>
    <n v="1956.5584780591998"/>
    <n v="0"/>
    <n v="0"/>
    <n v="0"/>
    <n v="0"/>
    <n v="0"/>
    <n v="0"/>
    <n v="0"/>
    <n v="0"/>
    <n v="17490.135865361779"/>
    <n v="0"/>
    <n v="0"/>
    <n v="0"/>
    <n v="715.19276556302975"/>
    <n v="0"/>
    <n v="-15037.398571936908"/>
    <m/>
    <n v="0"/>
    <n v="0"/>
    <n v="0"/>
    <n v="0"/>
    <n v="-2253.2145519005171"/>
    <n v="-171.93193016026339"/>
    <n v="0"/>
    <n v="0"/>
    <m/>
    <m/>
    <n v="82140.722020137604"/>
    <n v="0"/>
    <n v="0"/>
    <n v="0"/>
    <n v="-39829.886330000008"/>
    <n v="17491.824579999957"/>
    <n v="0"/>
    <n v="0"/>
    <n v="-25397.987221654425"/>
    <n v="0"/>
    <n v="0"/>
    <n v="0"/>
    <n v="0"/>
    <n v="0"/>
    <n v="0"/>
    <n v="0"/>
    <n v="0"/>
    <n v="0"/>
    <n v="0"/>
    <n v="0"/>
    <n v="0"/>
    <n v="83097.2347145594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2"/>
    <s v="Regular"/>
    <s v="Azul"/>
    <s v="A4"/>
    <s v="Industr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43"/>
    <s v="Regular"/>
    <s v="Verde"/>
    <s v="A4"/>
    <s v="Industrial"/>
    <s v="Não se aplica"/>
    <s v="Não se aplica"/>
    <s v="Não se aplica"/>
    <s v="Ponta"/>
    <s v="CATIVO"/>
    <x v="5"/>
    <n v="0"/>
    <n v="0"/>
    <n v="778.85"/>
    <n v="778.85"/>
    <n v="778.85"/>
    <n v="778.85"/>
    <m/>
    <n v="1351.49"/>
    <n v="128.11000000000001"/>
    <m/>
    <n v="1152386.4600000002"/>
    <n v="1152386.4600000002"/>
    <n v="889376.60349999997"/>
    <n v="0"/>
    <n v="41479.965175798308"/>
    <n v="0"/>
    <n v="0"/>
    <n v="0"/>
    <n v="0"/>
    <n v="875384.2758089432"/>
    <n v="99779.288508253769"/>
    <n v="0"/>
    <n v="0"/>
    <n v="0"/>
    <n v="0"/>
    <n v="0"/>
    <n v="7363.1313942831011"/>
    <m/>
    <n v="382.88316834926854"/>
    <n v="16178.684299425149"/>
    <n v="86056.754564727977"/>
    <n v="0"/>
    <n v="0"/>
    <n v="0"/>
    <n v="0"/>
    <n v="0"/>
    <n v="0"/>
    <n v="0"/>
    <n v="0"/>
    <n v="0"/>
    <n v="0"/>
    <m/>
    <n v="0"/>
    <n v="0"/>
    <n v="0"/>
    <n v="0"/>
    <n v="0"/>
    <n v="4080.0955374773657"/>
    <n v="0"/>
    <n v="0"/>
    <n v="0"/>
    <n v="0"/>
    <n v="0"/>
    <m/>
    <m/>
    <m/>
    <m/>
    <m/>
    <m/>
    <m/>
    <m/>
    <m/>
    <n v="103859.38404573113"/>
    <m/>
    <m/>
    <m/>
    <m/>
    <m/>
    <m/>
    <m/>
    <m/>
    <m/>
    <m/>
    <m/>
    <m/>
    <n v="889376.60349999997"/>
    <n v="-263009.88650000026"/>
    <m/>
    <m/>
    <m/>
    <m/>
    <n v="-267573.91749999998"/>
    <n v="4564.0609999999888"/>
    <n v="29"/>
    <n v="7656.5697729456588"/>
    <n v="1180.9761674243455"/>
    <n v="6281.7825174104946"/>
    <n v="0"/>
    <n v="0"/>
    <n v="0"/>
    <n v="0"/>
    <n v="0"/>
    <n v="0"/>
    <n v="0"/>
    <n v="0"/>
    <n v="4563.6203714889416"/>
    <n v="0"/>
    <n v="0"/>
    <n v="0"/>
    <n v="186.61194513239116"/>
    <n v="0"/>
    <n v="-3923.6389577166046"/>
    <m/>
    <n v="0"/>
    <n v="0"/>
    <n v="0"/>
    <n v="0"/>
    <n v="-587.92086634118368"/>
    <n v="-44.86140445270695"/>
    <n v="0"/>
    <n v="0"/>
    <m/>
    <m/>
    <m/>
    <n v="875384.2758089432"/>
    <n v="0"/>
    <n v="0"/>
    <n v="-267573.9175000001"/>
    <n v="4564.0610000000015"/>
    <n v="0"/>
    <n v="0"/>
    <n v="-270669.6277344866"/>
    <n v="0"/>
    <n v="0"/>
    <n v="0"/>
    <n v="0"/>
    <n v="0"/>
    <n v="0"/>
    <n v="0"/>
    <n v="0"/>
    <n v="0"/>
    <n v="0"/>
    <n v="0"/>
    <n v="0"/>
    <n v="21682.17766156941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4"/>
    <s v="Regular"/>
    <s v="Verde"/>
    <s v="A4"/>
    <s v="Industrial"/>
    <s v="Não se aplica"/>
    <s v="Não se aplica"/>
    <s v="Não se aplica"/>
    <s v="Fora ponta"/>
    <s v="CATIVO"/>
    <x v="5"/>
    <n v="0"/>
    <n v="0"/>
    <n v="12617.851000000001"/>
    <n v="12617.851000000001"/>
    <n v="12617.851000000001"/>
    <n v="12617.851000000001"/>
    <m/>
    <n v="96.28"/>
    <n v="128.11000000000001"/>
    <m/>
    <n v="2831319.5858900007"/>
    <n v="2831319.5858900007"/>
    <n v="2834474.0486400002"/>
    <n v="0"/>
    <n v="672001.05292856379"/>
    <n v="0"/>
    <n v="0"/>
    <n v="0"/>
    <n v="0"/>
    <n v="0"/>
    <n v="1616486.0952470417"/>
    <n v="0"/>
    <n v="0"/>
    <n v="0"/>
    <n v="0"/>
    <n v="0"/>
    <n v="119287.27588943497"/>
    <m/>
    <n v="6202.94378717209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100.067481099468"/>
    <n v="0"/>
    <n v="0"/>
    <n v="0"/>
    <n v="0"/>
    <n v="0"/>
    <m/>
    <m/>
    <m/>
    <m/>
    <m/>
    <m/>
    <m/>
    <m/>
    <m/>
    <n v="1682586.1627281411"/>
    <m/>
    <m/>
    <m/>
    <m/>
    <m/>
    <m/>
    <m/>
    <m/>
    <m/>
    <m/>
    <m/>
    <m/>
    <n v="2834473.824"/>
    <n v="3154.2081100000069"/>
    <m/>
    <m/>
    <m/>
    <m/>
    <n v="-70786.144109999994"/>
    <n v="73940.606859999811"/>
    <n v="29"/>
    <n v="3139.8593207038939"/>
    <n v="0"/>
    <n v="0"/>
    <n v="0"/>
    <n v="0"/>
    <n v="0"/>
    <n v="0"/>
    <n v="0"/>
    <n v="0"/>
    <n v="0"/>
    <n v="0"/>
    <n v="73933.468405998778"/>
    <n v="0"/>
    <n v="0"/>
    <n v="0"/>
    <n v="3023.2287584267615"/>
    <n v="0"/>
    <n v="-63565.374264959246"/>
    <m/>
    <n v="0"/>
    <n v="0"/>
    <n v="0"/>
    <n v="0"/>
    <n v="-9524.6811212479661"/>
    <n v="-726.78245751427494"/>
    <n v="0"/>
    <n v="0"/>
    <m/>
    <m/>
    <m/>
    <n v="0"/>
    <n v="0"/>
    <n v="0"/>
    <n v="-70786.144109999994"/>
    <n v="73940.606859999709"/>
    <n v="0"/>
    <n v="0"/>
    <n v="0"/>
    <n v="0"/>
    <n v="0"/>
    <n v="0"/>
    <n v="0"/>
    <n v="0"/>
    <n v="0"/>
    <n v="0"/>
    <n v="0"/>
    <n v="0"/>
    <n v="0"/>
    <n v="0"/>
    <n v="0"/>
    <n v="351264.668535932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5"/>
    <s v="Regular"/>
    <s v="Verde"/>
    <s v="A4"/>
    <s v="Industrial"/>
    <s v="Não se aplica"/>
    <s v="Não se aplica"/>
    <s v="Não se aplica"/>
    <s v="Não se aplica"/>
    <s v="CATIVO"/>
    <x v="5"/>
    <n v="50952"/>
    <n v="50952"/>
    <n v="0"/>
    <n v="0"/>
    <n v="0"/>
    <n v="0"/>
    <n v="18.12"/>
    <m/>
    <m/>
    <n v="923250.24000000011"/>
    <m/>
    <n v="923250.24000000011"/>
    <n v="736256.39999999991"/>
    <n v="0"/>
    <n v="0"/>
    <n v="0"/>
    <n v="0"/>
    <n v="0"/>
    <n v="0"/>
    <n v="665379.02517806855"/>
    <m/>
    <m/>
    <m/>
    <n v="0"/>
    <n v="0"/>
    <n v="0"/>
    <n v="0"/>
    <m/>
    <n v="0"/>
    <n v="40500.23723069422"/>
    <n v="217122.829622428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36923.54"/>
    <n v="98"/>
    <m/>
    <m/>
    <m/>
    <m/>
    <m/>
    <m/>
    <m/>
    <m/>
    <m/>
    <n v="0"/>
    <m/>
    <m/>
    <m/>
    <m/>
    <m/>
    <m/>
    <m/>
    <m/>
    <m/>
    <m/>
    <m/>
    <m/>
    <n v="736256.39999999991"/>
    <n v="-186993.87000000023"/>
    <m/>
    <m/>
    <m/>
    <m/>
    <n v="-186993.84000000008"/>
    <n v="0"/>
    <n v="29"/>
    <n v="18805.404475512158"/>
    <n v="2956.3476274879285"/>
    <n v="15849.05684802425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5379.02517806855"/>
    <m/>
    <n v="0"/>
    <n v="0"/>
    <n v="-186993.8400000002"/>
    <m/>
    <n v="0"/>
    <m/>
    <n v="-205735.81000281975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46"/>
    <s v="Regular"/>
    <s v="Convencional"/>
    <s v="B3"/>
    <s v="Comercial"/>
    <s v="Não se aplica"/>
    <s v="Não se aplica"/>
    <s v="Não se aplica"/>
    <s v="Não se aplica"/>
    <s v="CATIVO"/>
    <x v="5"/>
    <n v="0"/>
    <n v="0"/>
    <n v="1387.9159999999999"/>
    <n v="1387.9159999999999"/>
    <n v="1387.9159999999999"/>
    <n v="1387.9159999999999"/>
    <m/>
    <n v="333.61"/>
    <n v="128.11000000000001"/>
    <m/>
    <n v="640828.57551999995"/>
    <n v="640828.57551999995"/>
    <n v="559371.78547999996"/>
    <n v="0"/>
    <n v="84962.735874116275"/>
    <n v="0"/>
    <n v="0"/>
    <n v="0"/>
    <n v="0"/>
    <n v="269944.38551022334"/>
    <n v="177807.37111025426"/>
    <n v="0"/>
    <n v="0"/>
    <n v="0"/>
    <n v="0"/>
    <n v="0"/>
    <n v="13121.150250019675"/>
    <m/>
    <n v="1194.1461413107957"/>
    <n v="4824.4240080681629"/>
    <n v="25735.620606111224"/>
    <n v="0"/>
    <n v="0"/>
    <n v="0"/>
    <n v="0"/>
    <n v="0"/>
    <n v="0"/>
    <n v="0"/>
    <n v="0"/>
    <n v="0"/>
    <n v="0"/>
    <m/>
    <n v="0"/>
    <n v="0"/>
    <n v="0"/>
    <n v="0"/>
    <n v="0"/>
    <n v="18831.758978559476"/>
    <n v="0"/>
    <n v="0"/>
    <n v="0"/>
    <n v="250486.79"/>
    <n v="1662"/>
    <m/>
    <m/>
    <m/>
    <m/>
    <m/>
    <m/>
    <m/>
    <m/>
    <m/>
    <n v="196639.13008881372"/>
    <m/>
    <m/>
    <m/>
    <m/>
    <m/>
    <m/>
    <m/>
    <m/>
    <m/>
    <m/>
    <m/>
    <m/>
    <n v="559373.39760000003"/>
    <n v="-81455.207919999957"/>
    <m/>
    <m/>
    <m/>
    <m/>
    <n v="-89589.977800000008"/>
    <n v="8133.1877599999789"/>
    <n v="29"/>
    <n v="2000.1491966866306"/>
    <n v="352.16273892438312"/>
    <n v="1878.59247558063"/>
    <n v="0"/>
    <n v="0"/>
    <n v="0"/>
    <n v="0"/>
    <n v="0"/>
    <n v="0"/>
    <n v="0"/>
    <n v="0"/>
    <n v="8132.4025569948717"/>
    <n v="0"/>
    <n v="0"/>
    <n v="0"/>
    <n v="861.31100141486968"/>
    <n v="0"/>
    <n v="-8036.7256582068221"/>
    <m/>
    <n v="0"/>
    <n v="0"/>
    <n v="0"/>
    <n v="0"/>
    <n v="-1047.6789845654366"/>
    <n v="-139.91493345592949"/>
    <n v="0"/>
    <n v="0"/>
    <m/>
    <m/>
    <m/>
    <n v="269944.38551022334"/>
    <n v="0"/>
    <n v="0"/>
    <n v="-89589.977799999993"/>
    <n v="8133.1877600000007"/>
    <n v="0"/>
    <n v="0"/>
    <n v="-83467.053674852941"/>
    <n v="0"/>
    <n v="0"/>
    <n v="0"/>
    <n v="0"/>
    <n v="0"/>
    <n v="0"/>
    <n v="0"/>
    <n v="0"/>
    <n v="0"/>
    <n v="0"/>
    <n v="0"/>
    <n v="0"/>
    <n v="44411.250733412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7"/>
    <s v="Refaturamento - Regular"/>
    <s v="Convencional"/>
    <s v="B3"/>
    <s v="Comercial"/>
    <s v="Não se aplica"/>
    <s v="Não se aplica"/>
    <s v="Não se aplica"/>
    <s v="Não se aplica"/>
    <s v="CATIVO"/>
    <x v="5"/>
    <n v="0"/>
    <n v="0"/>
    <n v="-4.7750000000000004"/>
    <n v="-4.7750000000000004"/>
    <n v="-4.7750000000000004"/>
    <n v="-4.7750000000000004"/>
    <m/>
    <n v="333.61"/>
    <n v="128.11000000000001"/>
    <m/>
    <n v="-2204.7130000000002"/>
    <n v="-2204.7130000000002"/>
    <n v="-1924.4682500000001"/>
    <n v="0"/>
    <n v="-292.30664089102311"/>
    <n v="0"/>
    <n v="0"/>
    <n v="0"/>
    <n v="0"/>
    <n v="-928.71934671213285"/>
    <n v="-611.7302466802488"/>
    <n v="0"/>
    <n v="0"/>
    <n v="0"/>
    <n v="0"/>
    <n v="0"/>
    <n v="-45.142135722798756"/>
    <m/>
    <n v="-4.1083522524122857"/>
    <n v="-16.597996304189504"/>
    <n v="-88.54108490296322"/>
    <n v="0"/>
    <n v="0"/>
    <n v="0"/>
    <n v="0"/>
    <n v="0"/>
    <n v="0"/>
    <n v="0"/>
    <n v="0"/>
    <n v="0"/>
    <n v="0"/>
    <m/>
    <n v="0"/>
    <n v="0"/>
    <n v="0"/>
    <n v="0"/>
    <n v="0"/>
    <n v="-64.788970746516"/>
    <n v="0"/>
    <n v="0"/>
    <n v="0"/>
    <n v="-867.49"/>
    <n v="0"/>
    <m/>
    <m/>
    <m/>
    <m/>
    <m/>
    <m/>
    <m/>
    <m/>
    <m/>
    <n v="-676.51921742676484"/>
    <m/>
    <m/>
    <m/>
    <m/>
    <m/>
    <m/>
    <m/>
    <m/>
    <m/>
    <m/>
    <m/>
    <m/>
    <n v="-1926.4834000000001"/>
    <n v="278.19959999999992"/>
    <m/>
    <m/>
    <m/>
    <m/>
    <n v="308.22625000000005"/>
    <n v="-27.981499999999933"/>
    <n v="29"/>
    <n v="-6.8813331744704556"/>
    <n v="-1.2115841869132815"/>
    <n v="-6.4631282231039364"/>
    <n v="0"/>
    <n v="0"/>
    <n v="0"/>
    <n v="0"/>
    <n v="0"/>
    <n v="0"/>
    <n v="0"/>
    <n v="0"/>
    <n v="-27.978798579777504"/>
    <n v="0"/>
    <n v="0"/>
    <n v="0"/>
    <n v="-2.9632629292810293"/>
    <n v="0"/>
    <n v="27.649630826316297"/>
    <m/>
    <n v="0"/>
    <n v="0"/>
    <n v="0"/>
    <n v="0"/>
    <n v="3.6044451907031601"/>
    <n v="0.48136472758586502"/>
    <n v="0"/>
    <n v="0"/>
    <m/>
    <m/>
    <m/>
    <n v="-928.71934671213285"/>
    <n v="0"/>
    <n v="0"/>
    <n v="308.22625000000016"/>
    <n v="-27.981499999999983"/>
    <n v="0"/>
    <n v="0"/>
    <n v="287.16088098805892"/>
    <n v="0"/>
    <n v="0"/>
    <n v="0"/>
    <n v="0"/>
    <n v="0"/>
    <n v="0"/>
    <n v="0"/>
    <n v="0"/>
    <n v="0"/>
    <n v="0"/>
    <n v="0"/>
    <n v="0"/>
    <n v="-152.7929083979460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8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0.79"/>
    <n v="0.79"/>
    <n v="0.79"/>
    <n v="0.79"/>
    <m/>
    <n v="333.61"/>
    <n v="128.11000000000001"/>
    <m/>
    <n v="364.75880000000006"/>
    <n v="364.75880000000006"/>
    <n v="318.39370000000002"/>
    <n v="0"/>
    <n v="48.360679854221623"/>
    <n v="0"/>
    <n v="0"/>
    <n v="0"/>
    <n v="0"/>
    <n v="153.65199662881361"/>
    <n v="101.20772667589456"/>
    <n v="0"/>
    <n v="0"/>
    <n v="0"/>
    <n v="0"/>
    <n v="0"/>
    <n v="7.4685418263897416"/>
    <m/>
    <n v="0.67970644594883889"/>
    <n v="2.7460559330491536"/>
    <n v="14.648682109600198"/>
    <n v="0"/>
    <n v="0"/>
    <n v="0"/>
    <n v="0"/>
    <n v="0"/>
    <n v="0"/>
    <n v="0"/>
    <n v="0"/>
    <n v="0"/>
    <n v="0"/>
    <m/>
    <n v="0"/>
    <n v="0"/>
    <n v="0"/>
    <n v="0"/>
    <n v="0"/>
    <n v="10.719012961203694"/>
    <n v="0"/>
    <n v="0"/>
    <n v="0"/>
    <n v="1220.49"/>
    <n v="6"/>
    <m/>
    <m/>
    <m/>
    <m/>
    <m/>
    <m/>
    <m/>
    <m/>
    <m/>
    <n v="111.92673963709825"/>
    <m/>
    <m/>
    <m/>
    <m/>
    <m/>
    <m/>
    <m/>
    <m/>
    <m/>
    <m/>
    <m/>
    <m/>
    <n v="318.39370000000002"/>
    <n v="-46.395100000000014"/>
    <m/>
    <m/>
    <m/>
    <m/>
    <n v="-50.994500000000009"/>
    <n v="4.6293999999999889"/>
    <n v="29"/>
    <n v="1.1384823471898358"/>
    <n v="0.20045057752073081"/>
    <n v="1.0692924180632666"/>
    <n v="0"/>
    <n v="0"/>
    <n v="0"/>
    <n v="0"/>
    <n v="0"/>
    <n v="0"/>
    <n v="0"/>
    <n v="0"/>
    <n v="4.6289530634605711"/>
    <n v="0"/>
    <n v="0"/>
    <n v="0"/>
    <n v="0.49025711290722818"/>
    <n v="0"/>
    <n v="-4.574493895872223"/>
    <m/>
    <n v="0"/>
    <n v="0"/>
    <n v="0"/>
    <n v="0"/>
    <n v="-0.59633752893308856"/>
    <n v="-7.9639399956614287E-2"/>
    <n v="0"/>
    <n v="0"/>
    <m/>
    <m/>
    <m/>
    <n v="153.65199662881361"/>
    <n v="0"/>
    <n v="0"/>
    <n v="-50.994500000000045"/>
    <n v="4.6293999999999897"/>
    <n v="0"/>
    <n v="0"/>
    <n v="-47.509339472369973"/>
    <n v="0"/>
    <n v="0"/>
    <n v="0"/>
    <n v="0"/>
    <n v="0"/>
    <n v="0"/>
    <n v="0"/>
    <n v="0"/>
    <n v="0"/>
    <n v="0"/>
    <n v="0"/>
    <n v="0"/>
    <n v="25.2788267297125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49"/>
    <s v="Regular"/>
    <s v="Verde"/>
    <s v="A4"/>
    <s v="Comercial"/>
    <s v="Não se aplica"/>
    <s v="Não se aplica"/>
    <s v="Não se aplica"/>
    <s v="Ponta"/>
    <s v="CATIVO"/>
    <x v="5"/>
    <n v="0"/>
    <n v="0"/>
    <n v="40.201999999999998"/>
    <n v="40.201999999999998"/>
    <n v="40.201999999999998"/>
    <n v="40.201999999999998"/>
    <m/>
    <n v="1351.49"/>
    <n v="128.11000000000001"/>
    <m/>
    <n v="59482.879199999996"/>
    <n v="59482.879199999996"/>
    <n v="45907.065820000003"/>
    <n v="0"/>
    <n v="2141.0766643094867"/>
    <n v="0"/>
    <n v="0"/>
    <n v="0"/>
    <n v="0"/>
    <n v="45184.822053118223"/>
    <n v="5150.3202883852064"/>
    <n v="0"/>
    <n v="0"/>
    <n v="0"/>
    <n v="0"/>
    <n v="0"/>
    <n v="380.06369430951941"/>
    <m/>
    <n v="19.763329439529169"/>
    <n v="835.0972153887011"/>
    <n v="4442.0024998538793"/>
    <n v="0"/>
    <n v="0"/>
    <n v="0"/>
    <n v="0"/>
    <n v="0"/>
    <n v="0"/>
    <n v="0"/>
    <n v="0"/>
    <n v="0"/>
    <n v="0"/>
    <m/>
    <n v="0"/>
    <n v="0"/>
    <n v="0"/>
    <n v="0"/>
    <n v="0"/>
    <n v="210.6028128621237"/>
    <n v="0"/>
    <n v="0"/>
    <n v="0"/>
    <n v="0"/>
    <n v="0"/>
    <m/>
    <m/>
    <m/>
    <m/>
    <m/>
    <m/>
    <m/>
    <m/>
    <m/>
    <n v="5360.9231012473301"/>
    <m/>
    <m/>
    <m/>
    <m/>
    <m/>
    <m/>
    <m/>
    <m/>
    <m/>
    <m/>
    <m/>
    <m/>
    <n v="45904.781999999999"/>
    <n v="-13578.127200000003"/>
    <m/>
    <m/>
    <m/>
    <m/>
    <n v="-13811.397099999998"/>
    <n v="235.5837199999994"/>
    <n v="29"/>
    <n v="395.21014060725611"/>
    <n v="60.958597782362972"/>
    <n v="324.24757111759209"/>
    <n v="0"/>
    <n v="0"/>
    <n v="0"/>
    <n v="0"/>
    <n v="0"/>
    <n v="0"/>
    <n v="0"/>
    <n v="0"/>
    <n v="235.5609760218249"/>
    <n v="0"/>
    <n v="0"/>
    <n v="0"/>
    <n v="9.6323726240128167"/>
    <n v="0"/>
    <n v="-202.52697358685668"/>
    <m/>
    <n v="0"/>
    <n v="0"/>
    <n v="0"/>
    <n v="0"/>
    <n v="-30.346786504010083"/>
    <n v="-2.3156168476699328"/>
    <n v="0"/>
    <n v="0"/>
    <m/>
    <m/>
    <m/>
    <n v="45184.822053118223"/>
    <n v="0"/>
    <n v="0"/>
    <n v="-13811.397099999995"/>
    <n v="235.58371999999963"/>
    <n v="0"/>
    <n v="0"/>
    <n v="-13971.18877085681"/>
    <n v="0"/>
    <n v="0"/>
    <n v="0"/>
    <n v="0"/>
    <n v="0"/>
    <n v="0"/>
    <n v="0"/>
    <n v="0"/>
    <n v="0"/>
    <n v="0"/>
    <n v="0"/>
    <n v="0"/>
    <n v="1119.171735700601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0"/>
    <s v="Regular"/>
    <s v="Verde"/>
    <s v="A4"/>
    <s v="Comercial"/>
    <s v="Não se aplica"/>
    <s v="Não se aplica"/>
    <s v="Não se aplica"/>
    <s v="Fora ponta"/>
    <s v="CATIVO"/>
    <x v="5"/>
    <n v="0"/>
    <n v="0"/>
    <n v="447.32499999999999"/>
    <n v="447.32499999999999"/>
    <n v="447.32499999999999"/>
    <n v="447.32499999999999"/>
    <m/>
    <n v="96.28"/>
    <n v="128.11000000000001"/>
    <m/>
    <n v="100375.25675"/>
    <n v="100375.25675"/>
    <n v="100487.08799999999"/>
    <n v="0"/>
    <n v="23823.618697135491"/>
    <n v="0"/>
    <n v="0"/>
    <n v="0"/>
    <n v="0"/>
    <n v="0"/>
    <n v="57307.273842144983"/>
    <n v="0"/>
    <n v="0"/>
    <n v="0"/>
    <n v="0"/>
    <n v="0"/>
    <n v="4228.9436360630261"/>
    <m/>
    <n v="219.905261965508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43.3635954318065"/>
    <n v="0"/>
    <n v="0"/>
    <n v="0"/>
    <n v="0"/>
    <n v="0"/>
    <m/>
    <m/>
    <m/>
    <m/>
    <m/>
    <m/>
    <m/>
    <m/>
    <m/>
    <n v="59650.637437576792"/>
    <m/>
    <m/>
    <m/>
    <m/>
    <m/>
    <m/>
    <m/>
    <m/>
    <m/>
    <m/>
    <m/>
    <m/>
    <n v="100488.21119999999"/>
    <n v="112.92444999997679"/>
    <m/>
    <m/>
    <m/>
    <m/>
    <n v="-2509.4932499999995"/>
    <n v="2621.3244999999933"/>
    <n v="29"/>
    <n v="111.31353275878064"/>
    <n v="0"/>
    <n v="0"/>
    <n v="0"/>
    <n v="0"/>
    <n v="0"/>
    <n v="0"/>
    <n v="0"/>
    <n v="0"/>
    <n v="0"/>
    <n v="0"/>
    <n v="2621.0714292563207"/>
    <n v="0"/>
    <n v="0"/>
    <n v="0"/>
    <n v="107.17877429074497"/>
    <n v="0"/>
    <n v="-2253.5042649554889"/>
    <m/>
    <n v="0"/>
    <n v="0"/>
    <n v="0"/>
    <n v="0"/>
    <n v="-337.66669003796642"/>
    <n v="-25.765715794834904"/>
    <n v="0"/>
    <n v="0"/>
    <m/>
    <m/>
    <m/>
    <n v="0"/>
    <n v="0"/>
    <n v="0"/>
    <n v="-2509.4932499999995"/>
    <n v="2621.3244999999879"/>
    <n v="0"/>
    <n v="0"/>
    <n v="0"/>
    <n v="0"/>
    <n v="0"/>
    <n v="0"/>
    <n v="0"/>
    <n v="0"/>
    <n v="0"/>
    <n v="0"/>
    <n v="0"/>
    <n v="0"/>
    <n v="0"/>
    <n v="0"/>
    <n v="0"/>
    <n v="12452.9500192097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1"/>
    <s v="Regular"/>
    <s v="Verde"/>
    <s v="A4"/>
    <s v="Comercial"/>
    <s v="Não se aplica"/>
    <s v="Não se aplica"/>
    <s v="Não se aplica"/>
    <s v="Não se aplica"/>
    <s v="CATIVO"/>
    <x v="5"/>
    <n v="1755"/>
    <n v="1755"/>
    <n v="0"/>
    <n v="0"/>
    <n v="0"/>
    <n v="0"/>
    <n v="18.12"/>
    <m/>
    <m/>
    <n v="31800.600000000002"/>
    <m/>
    <n v="31800.600000000002"/>
    <n v="25359.75"/>
    <n v="0"/>
    <n v="0"/>
    <n v="0"/>
    <n v="0"/>
    <n v="0"/>
    <n v="0"/>
    <n v="22918.436748067012"/>
    <m/>
    <m/>
    <m/>
    <n v="0"/>
    <n v="0"/>
    <n v="0"/>
    <n v="0"/>
    <m/>
    <n v="0"/>
    <n v="1394.9975730073079"/>
    <n v="7478.6184249364514"/>
    <n v="0"/>
    <n v="0"/>
    <m/>
    <m/>
    <n v="0"/>
    <n v="0"/>
    <n v="0"/>
    <m/>
    <m/>
    <n v="0"/>
    <m/>
    <n v="0"/>
    <n v="0"/>
    <n v="0"/>
    <n v="0"/>
    <m/>
    <n v="0"/>
    <n v="0"/>
    <n v="0"/>
    <n v="0"/>
    <n v="73556.38"/>
    <n v="17"/>
    <m/>
    <m/>
    <m/>
    <m/>
    <m/>
    <m/>
    <m/>
    <m/>
    <m/>
    <n v="0"/>
    <m/>
    <m/>
    <m/>
    <m/>
    <m/>
    <m/>
    <m/>
    <m/>
    <m/>
    <m/>
    <m/>
    <m/>
    <n v="25359.75"/>
    <n v="-6440.8799999999974"/>
    <m/>
    <m/>
    <m/>
    <m/>
    <n v="-6440.8500000000031"/>
    <n v="0"/>
    <n v="29"/>
    <n v="647.73678863486748"/>
    <n v="101.82897798401086"/>
    <n v="545.9078106508577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918.436748067012"/>
    <m/>
    <n v="0"/>
    <n v="0"/>
    <n v="-6440.8500000000022"/>
    <m/>
    <n v="0"/>
    <m/>
    <n v="-7086.4018400641526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52"/>
    <s v="Regular"/>
    <s v="Convencional"/>
    <s v="B2"/>
    <s v="Rural"/>
    <s v="Não se aplica"/>
    <s v="Não se aplica"/>
    <s v="Não se aplica"/>
    <s v="Não se aplica"/>
    <s v="CATIVO"/>
    <x v="5"/>
    <n v="0"/>
    <n v="0"/>
    <n v="1418.7260000000001"/>
    <n v="1418.7260000000001"/>
    <n v="1418.7260000000001"/>
    <n v="1418.7260000000001"/>
    <m/>
    <n v="333.61"/>
    <n v="128.11000000000001"/>
    <m/>
    <n v="655054.16872000007"/>
    <n v="655054.16872000007"/>
    <n v="571789.13978000009"/>
    <n v="0"/>
    <n v="86848.802388430922"/>
    <n v="0"/>
    <n v="0"/>
    <n v="0"/>
    <n v="0"/>
    <n v="275936.81337874709"/>
    <n v="181754.47245061418"/>
    <n v="0"/>
    <n v="0"/>
    <n v="0"/>
    <n v="0"/>
    <n v="0"/>
    <n v="13412.423381248876"/>
    <m/>
    <n v="1220.6546927028005"/>
    <n v="4931.520189457081"/>
    <n v="26306.919208385636"/>
    <n v="0"/>
    <n v="0"/>
    <n v="0"/>
    <n v="0"/>
    <n v="0"/>
    <n v="0"/>
    <n v="0"/>
    <n v="0"/>
    <n v="0"/>
    <n v="0"/>
    <m/>
    <n v="0"/>
    <n v="0"/>
    <n v="0"/>
    <n v="0"/>
    <n v="0"/>
    <n v="19249.80048404642"/>
    <n v="0"/>
    <n v="0"/>
    <n v="0"/>
    <n v="157638.88"/>
    <n v="2364"/>
    <m/>
    <m/>
    <m/>
    <m/>
    <m/>
    <n v="68623.77661999999"/>
    <m/>
    <m/>
    <m/>
    <n v="201004.27293466061"/>
    <m/>
    <m/>
    <m/>
    <m/>
    <m/>
    <m/>
    <m/>
    <m/>
    <m/>
    <m/>
    <m/>
    <m/>
    <n v="503166.7818"/>
    <n v="-73289.996520000044"/>
    <m/>
    <m/>
    <m/>
    <m/>
    <n v="-91578.763300000021"/>
    <n v="8313.7343599999804"/>
    <n v="29"/>
    <n v="2044.5500082268263"/>
    <n v="359.98031144769175"/>
    <n v="1920.2948798850957"/>
    <n v="0"/>
    <n v="0"/>
    <n v="0"/>
    <n v="0"/>
    <n v="0"/>
    <n v="0"/>
    <n v="0"/>
    <n v="0"/>
    <n v="8312.9317264698038"/>
    <n v="0"/>
    <n v="0"/>
    <n v="0"/>
    <n v="880.43102881825325"/>
    <n v="0"/>
    <n v="-8215.1309201458353"/>
    <m/>
    <n v="0"/>
    <n v="0"/>
    <n v="0"/>
    <n v="0"/>
    <n v="-1070.9361481938286"/>
    <n v="-143.02087005423732"/>
    <n v="0"/>
    <n v="0"/>
    <m/>
    <m/>
    <m/>
    <n v="275936.81337874709"/>
    <n v="0"/>
    <n v="0"/>
    <n v="-91578.76330000005"/>
    <n v="8313.7343600000022"/>
    <n v="0"/>
    <n v="0"/>
    <n v="-85319.917914275371"/>
    <n v="0"/>
    <n v="0"/>
    <n v="0"/>
    <n v="0"/>
    <n v="0"/>
    <n v="0"/>
    <n v="0"/>
    <n v="0"/>
    <n v="0"/>
    <n v="0"/>
    <n v="0"/>
    <n v="0"/>
    <n v="45397.12497587109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3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24.189"/>
    <n v="24.189"/>
    <n v="24.189"/>
    <n v="24.189"/>
    <m/>
    <n v="333.61"/>
    <n v="128.11000000000001"/>
    <m/>
    <n v="11168.54508"/>
    <n v="11168.54508"/>
    <n v="9748.8926699999993"/>
    <n v="0"/>
    <n v="1480.7550442959073"/>
    <n v="0"/>
    <n v="0"/>
    <n v="0"/>
    <n v="0"/>
    <n v="4704.6685398156606"/>
    <n v="3098.8781019787516"/>
    <n v="0"/>
    <n v="0"/>
    <n v="0"/>
    <n v="0"/>
    <n v="0"/>
    <n v="228.67918764372334"/>
    <m/>
    <n v="20.811923064628434"/>
    <n v="84.081451853830345"/>
    <n v="448.52781208749263"/>
    <n v="0"/>
    <n v="0"/>
    <n v="0"/>
    <n v="0"/>
    <n v="0"/>
    <n v="0"/>
    <n v="0"/>
    <n v="0"/>
    <n v="0"/>
    <n v="0"/>
    <m/>
    <n v="0"/>
    <n v="0"/>
    <n v="0"/>
    <n v="0"/>
    <n v="0"/>
    <n v="328.20532217538749"/>
    <n v="0"/>
    <n v="0"/>
    <n v="0"/>
    <n v="6935.62"/>
    <n v="23"/>
    <m/>
    <m/>
    <m/>
    <m/>
    <m/>
    <n v="1170.0219299999999"/>
    <m/>
    <m/>
    <m/>
    <n v="3427.0834241541393"/>
    <m/>
    <m/>
    <m/>
    <m/>
    <m/>
    <m/>
    <m/>
    <m/>
    <m/>
    <m/>
    <m/>
    <m/>
    <n v="8579.2254000000012"/>
    <n v="-1249.2790800000002"/>
    <m/>
    <m/>
    <m/>
    <m/>
    <n v="-1561.3999500000002"/>
    <n v="141.74753999999965"/>
    <n v="29"/>
    <n v="34.85917657743903"/>
    <n v="6.1375936957581843"/>
    <n v="32.740651013332126"/>
    <n v="0"/>
    <n v="0"/>
    <n v="0"/>
    <n v="0"/>
    <n v="0"/>
    <n v="0"/>
    <n v="0"/>
    <n v="0"/>
    <n v="141.73385525575623"/>
    <n v="0"/>
    <n v="0"/>
    <n v="0"/>
    <n v="15.011176334320226"/>
    <n v="0"/>
    <n v="-140.06637069272551"/>
    <m/>
    <n v="0"/>
    <n v="0"/>
    <n v="0"/>
    <n v="0"/>
    <n v="-18.259251249825894"/>
    <n v="-2.4384777791779015"/>
    <n v="0"/>
    <n v="0"/>
    <m/>
    <m/>
    <m/>
    <n v="4704.6685398156606"/>
    <n v="0"/>
    <n v="0"/>
    <n v="-1561.39995"/>
    <n v="141.74753999999939"/>
    <n v="0"/>
    <n v="0"/>
    <n v="-1454.6878639204515"/>
    <n v="0"/>
    <n v="0"/>
    <n v="0"/>
    <n v="0"/>
    <n v="0"/>
    <n v="0"/>
    <n v="0"/>
    <n v="0"/>
    <n v="0"/>
    <n v="0"/>
    <n v="0"/>
    <n v="0"/>
    <n v="774.0120756519199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4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464.5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55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90.214"/>
    <n v="190.214"/>
    <n v="190.214"/>
    <n v="190.214"/>
    <m/>
    <n v="333.61"/>
    <n v="128.11000000000001"/>
    <m/>
    <n v="87825.608080000005"/>
    <n v="87825.608080000005"/>
    <n v="76661.948420000001"/>
    <n v="0"/>
    <n v="11644.149819988495"/>
    <n v="0"/>
    <n v="0"/>
    <n v="0"/>
    <n v="0"/>
    <n v="36995.899856649557"/>
    <n v="24368.514584719756"/>
    <n v="0"/>
    <n v="0"/>
    <n v="0"/>
    <n v="0"/>
    <n v="0"/>
    <n v="1798.2547024872129"/>
    <m/>
    <n v="163.65782520216766"/>
    <n v="661.18770031520467"/>
    <n v="3527.0688845512555"/>
    <n v="0"/>
    <n v="0"/>
    <n v="0"/>
    <n v="0"/>
    <n v="0"/>
    <n v="0"/>
    <n v="0"/>
    <n v="0"/>
    <n v="0"/>
    <n v="0"/>
    <m/>
    <n v="0"/>
    <n v="0"/>
    <n v="0"/>
    <n v="0"/>
    <n v="0"/>
    <n v="2580.8940903827838"/>
    <n v="0"/>
    <n v="0"/>
    <n v="0"/>
    <n v="29192.68"/>
    <n v="211"/>
    <m/>
    <m/>
    <m/>
    <m/>
    <m/>
    <m/>
    <m/>
    <m/>
    <m/>
    <n v="26949.408675102539"/>
    <m/>
    <m/>
    <m/>
    <m/>
    <m/>
    <m/>
    <m/>
    <m/>
    <m/>
    <m/>
    <m/>
    <m/>
    <n v="76660.336299999995"/>
    <n v="-11165.301780000009"/>
    <m/>
    <m/>
    <m/>
    <m/>
    <n v="-12278.313700000002"/>
    <n v="1114.6540399999972"/>
    <n v="29"/>
    <n v="274.12060909921274"/>
    <n v="48.26393183864343"/>
    <n v="257.46125064491935"/>
    <n v="0"/>
    <n v="0"/>
    <n v="0"/>
    <n v="0"/>
    <n v="0"/>
    <n v="0"/>
    <n v="0"/>
    <n v="0"/>
    <n v="1114.5464278646687"/>
    <n v="0"/>
    <n v="0"/>
    <n v="0"/>
    <n v="118.04274237282971"/>
    <n v="0"/>
    <n v="-1101.4339011511875"/>
    <m/>
    <n v="0"/>
    <n v="0"/>
    <n v="0"/>
    <n v="0"/>
    <n v="-143.58448952971935"/>
    <n v="-19.175352940946141"/>
    <n v="0"/>
    <n v="0"/>
    <m/>
    <m/>
    <m/>
    <n v="36995.899856649557"/>
    <n v="0"/>
    <n v="0"/>
    <n v="-12278.313699999999"/>
    <n v="1114.6540399999976"/>
    <n v="0"/>
    <n v="0"/>
    <n v="-11439.166453667571"/>
    <n v="0"/>
    <n v="0"/>
    <n v="0"/>
    <n v="0"/>
    <n v="0"/>
    <n v="0"/>
    <n v="0"/>
    <n v="0"/>
    <n v="0"/>
    <n v="0"/>
    <n v="0"/>
    <n v="0"/>
    <n v="6086.565503247521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6"/>
    <s v="Regular"/>
    <s v="Verde"/>
    <s v="A4"/>
    <s v="Poder público"/>
    <s v="Não se aplica"/>
    <s v="Não se aplica"/>
    <s v="Não se aplica"/>
    <s v="Ponta"/>
    <s v="CATIVO"/>
    <x v="5"/>
    <n v="0"/>
    <n v="0"/>
    <n v="2.0870000000000002"/>
    <n v="2.0870000000000002"/>
    <n v="2.0870000000000002"/>
    <n v="2.0870000000000002"/>
    <m/>
    <n v="1351.49"/>
    <n v="128.11000000000001"/>
    <m/>
    <n v="3087.9252000000001"/>
    <n v="3087.9252000000001"/>
    <n v="2383.1661700000004"/>
    <n v="0"/>
    <n v="111.14937063862243"/>
    <n v="0"/>
    <n v="0"/>
    <n v="0"/>
    <n v="0"/>
    <n v="2345.6724447753281"/>
    <n v="267.36775388935695"/>
    <n v="0"/>
    <n v="0"/>
    <n v="0"/>
    <n v="0"/>
    <n v="0"/>
    <n v="19.730185812247331"/>
    <m/>
    <n v="1.0259705621684838"/>
    <n v="43.352268258201569"/>
    <n v="230.59696575282442"/>
    <n v="0"/>
    <n v="0"/>
    <n v="0"/>
    <n v="0"/>
    <n v="0"/>
    <n v="0"/>
    <n v="0"/>
    <n v="0"/>
    <n v="0"/>
    <n v="0"/>
    <m/>
    <n v="0"/>
    <n v="0"/>
    <n v="0"/>
    <n v="0"/>
    <n v="0"/>
    <n v="10.932990160769419"/>
    <n v="0"/>
    <n v="0"/>
    <n v="0"/>
    <n v="0"/>
    <n v="0"/>
    <m/>
    <m/>
    <m/>
    <m/>
    <m/>
    <m/>
    <m/>
    <m/>
    <m/>
    <n v="278.30074405012635"/>
    <m/>
    <m/>
    <m/>
    <m/>
    <m/>
    <m/>
    <m/>
    <m/>
    <m/>
    <m/>
    <m/>
    <m/>
    <n v="2386.5918999999999"/>
    <n v="-701.36330000000089"/>
    <m/>
    <m/>
    <m/>
    <m/>
    <n v="-716.98884999999996"/>
    <n v="12.22981999999997"/>
    <n v="29"/>
    <n v="20.51648085785132"/>
    <n v="3.1645339428832315"/>
    <n v="16.832612330789885"/>
    <n v="0"/>
    <n v="0"/>
    <n v="0"/>
    <n v="0"/>
    <n v="0"/>
    <n v="0"/>
    <n v="0"/>
    <n v="0"/>
    <n v="12.228639295496407"/>
    <n v="0"/>
    <n v="0"/>
    <n v="0"/>
    <n v="0.50004382036502548"/>
    <n v="0"/>
    <n v="-10.513750407337184"/>
    <m/>
    <n v="0"/>
    <n v="0"/>
    <n v="0"/>
    <n v="0"/>
    <n v="-1.5753878770675378"/>
    <n v="-0.12021024727842278"/>
    <n v="0"/>
    <n v="0"/>
    <m/>
    <m/>
    <m/>
    <n v="2345.6724447753281"/>
    <n v="0"/>
    <n v="0"/>
    <n v="-716.98884999999973"/>
    <n v="12.229819999999961"/>
    <n v="0"/>
    <n v="0"/>
    <n v="-725.28408946764239"/>
    <n v="0"/>
    <n v="0"/>
    <n v="0"/>
    <n v="0"/>
    <n v="0"/>
    <n v="0"/>
    <n v="0"/>
    <n v="0"/>
    <n v="0"/>
    <n v="0"/>
    <n v="0"/>
    <n v="0"/>
    <n v="58.0993834238882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7"/>
    <s v="Regular"/>
    <s v="Verde"/>
    <s v="A4"/>
    <s v="Poder público"/>
    <s v="Não se aplica"/>
    <s v="Não se aplica"/>
    <s v="Não se aplica"/>
    <s v="Fora ponta"/>
    <s v="CATIVO"/>
    <x v="5"/>
    <n v="0"/>
    <n v="0"/>
    <n v="28.829000000000001"/>
    <n v="28.829000000000001"/>
    <n v="28.829000000000001"/>
    <n v="28.829000000000001"/>
    <m/>
    <n v="96.28"/>
    <n v="128.11000000000001"/>
    <m/>
    <n v="6468.9393100000007"/>
    <n v="6468.9393100000007"/>
    <n v="6476.1465600000001"/>
    <n v="0"/>
    <n v="1535.3738409874682"/>
    <n v="0"/>
    <n v="0"/>
    <n v="0"/>
    <n v="0"/>
    <n v="0"/>
    <n v="3693.3133573916007"/>
    <n v="0"/>
    <n v="0"/>
    <n v="0"/>
    <n v="0"/>
    <n v="0"/>
    <n v="272.54505356074662"/>
    <m/>
    <n v="14.172355216461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1.02404089354172"/>
    <n v="0"/>
    <n v="0"/>
    <n v="0"/>
    <n v="0"/>
    <n v="0"/>
    <m/>
    <m/>
    <m/>
    <m/>
    <m/>
    <m/>
    <m/>
    <m/>
    <m/>
    <n v="3844.3373982851426"/>
    <m/>
    <m/>
    <m/>
    <m/>
    <m/>
    <m/>
    <m/>
    <m/>
    <m/>
    <m/>
    <m/>
    <m/>
    <n v="6476.3711999999996"/>
    <n v="7.401889999998275"/>
    <m/>
    <m/>
    <m/>
    <m/>
    <n v="-161.73068999999998"/>
    <n v="168.93793999999957"/>
    <n v="29"/>
    <n v="7.1738843925622859"/>
    <n v="0"/>
    <n v="0"/>
    <n v="0"/>
    <n v="0"/>
    <n v="0"/>
    <n v="0"/>
    <n v="0"/>
    <n v="0"/>
    <n v="0"/>
    <n v="0"/>
    <n v="168.92163021076522"/>
    <n v="0"/>
    <n v="0"/>
    <n v="0"/>
    <n v="6.9074093422632075"/>
    <n v="0"/>
    <n v="-145.23282726072057"/>
    <m/>
    <n v="0"/>
    <n v="0"/>
    <n v="0"/>
    <n v="0"/>
    <n v="-21.761790660268332"/>
    <n v="-1.6605372394775504"/>
    <n v="0"/>
    <n v="0"/>
    <m/>
    <m/>
    <m/>
    <n v="0"/>
    <n v="0"/>
    <n v="0"/>
    <n v="-161.73068999999987"/>
    <n v="168.93793999999934"/>
    <n v="0"/>
    <n v="0"/>
    <n v="0"/>
    <n v="0"/>
    <n v="0"/>
    <n v="0"/>
    <n v="0"/>
    <n v="0"/>
    <n v="0"/>
    <n v="0"/>
    <n v="0"/>
    <n v="0"/>
    <n v="0"/>
    <n v="0"/>
    <n v="0"/>
    <n v="802.562110554515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58"/>
    <s v="Regular"/>
    <s v="Verde"/>
    <s v="A4"/>
    <s v="Poder público"/>
    <s v="Não se aplica"/>
    <s v="Não se aplica"/>
    <s v="Não se aplica"/>
    <s v="Não se aplica"/>
    <s v="CATIVO"/>
    <x v="5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74.94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29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59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738.93299999999999"/>
    <n v="738.93299999999999"/>
    <n v="738.93299999999999"/>
    <n v="738.93299999999999"/>
    <m/>
    <n v="183.49"/>
    <n v="70.459999999999994"/>
    <m/>
    <n v="187652.03534999999"/>
    <n v="187652.03534999999"/>
    <n v="163791.88877999998"/>
    <n v="0"/>
    <n v="24879.007893285765"/>
    <n v="0"/>
    <n v="0"/>
    <n v="0"/>
    <n v="0"/>
    <n v="79045.812599627563"/>
    <n v="52066.013927455046"/>
    <n v="0"/>
    <n v="0"/>
    <n v="0"/>
    <n v="0"/>
    <n v="0"/>
    <n v="3842.1691260377283"/>
    <m/>
    <n v="349.67295920680033"/>
    <n v="1412.700306109743"/>
    <n v="7535.9709360901888"/>
    <n v="0"/>
    <n v="0"/>
    <n v="0"/>
    <n v="0"/>
    <n v="0"/>
    <n v="0"/>
    <n v="0"/>
    <n v="0"/>
    <n v="0"/>
    <n v="0"/>
    <m/>
    <n v="0"/>
    <n v="0"/>
    <n v="0"/>
    <n v="0"/>
    <n v="0"/>
    <n v="5514.3643322197549"/>
    <n v="0"/>
    <n v="0"/>
    <n v="0"/>
    <n v="89573.35"/>
    <n v="13"/>
    <m/>
    <m/>
    <m/>
    <m/>
    <m/>
    <m/>
    <m/>
    <m/>
    <m/>
    <n v="57580.378259674799"/>
    <m/>
    <m/>
    <m/>
    <m/>
    <m/>
    <m/>
    <m/>
    <m/>
    <m/>
    <m/>
    <m/>
    <m/>
    <n v="163791.22379999998"/>
    <n v="-23860.841550000041"/>
    <m/>
    <m/>
    <m/>
    <m/>
    <n v="-26239.510830000014"/>
    <n v="2379.3642600000098"/>
    <n v="29"/>
    <n v="585.68885688704904"/>
    <n v="103.12120332850623"/>
    <n v="550.09430366611741"/>
    <n v="0"/>
    <n v="0"/>
    <n v="0"/>
    <n v="0"/>
    <n v="0"/>
    <n v="0"/>
    <n v="0"/>
    <n v="0"/>
    <n v="2381.351133826669"/>
    <n v="0"/>
    <n v="0"/>
    <n v="0"/>
    <n v="252.21131337539373"/>
    <n v="0"/>
    <n v="-2353.3347770597866"/>
    <m/>
    <n v="0"/>
    <n v="0"/>
    <n v="0"/>
    <n v="0"/>
    <n v="-306.78406784418621"/>
    <n v="-40.970252405667736"/>
    <n v="0"/>
    <n v="0"/>
    <m/>
    <m/>
    <m/>
    <n v="79045.812599627563"/>
    <n v="0"/>
    <n v="0"/>
    <n v="-26239.510830000014"/>
    <n v="2379.3642600000094"/>
    <n v="0"/>
    <n v="0"/>
    <n v="-24441.038366310575"/>
    <n v="0"/>
    <n v="0"/>
    <n v="0"/>
    <n v="0"/>
    <n v="0"/>
    <n v="0"/>
    <n v="0"/>
    <n v="0"/>
    <n v="0"/>
    <n v="0"/>
    <n v="0"/>
    <n v="0"/>
    <n v="13004.6172145907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0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70.441000000000003"/>
    <n v="66.21454"/>
    <n v="70.441000000000003"/>
    <n v="66.21454"/>
    <m/>
    <n v="333.61"/>
    <n v="128.11000000000001"/>
    <m/>
    <n v="32524.018520000005"/>
    <n v="32524.018520000005"/>
    <n v="28389.836230000001"/>
    <n v="0"/>
    <n v="4312.1198096344624"/>
    <n v="0"/>
    <n v="0"/>
    <n v="0"/>
    <n v="0"/>
    <n v="13700.506701937036"/>
    <n v="9024.2702212363147"/>
    <n v="0"/>
    <n v="0"/>
    <n v="0"/>
    <n v="0"/>
    <n v="0"/>
    <n v="665.93867695280983"/>
    <m/>
    <n v="60.606584505167291"/>
    <n v="244.85433668343725"/>
    <n v="1306.1617930156299"/>
    <n v="0"/>
    <n v="0"/>
    <n v="0"/>
    <n v="0"/>
    <n v="0"/>
    <n v="0"/>
    <n v="0"/>
    <n v="0"/>
    <n v="0"/>
    <n v="0"/>
    <m/>
    <n v="0"/>
    <n v="0"/>
    <n v="0"/>
    <n v="0"/>
    <n v="0"/>
    <n v="955.76961012677134"/>
    <n v="0"/>
    <n v="0"/>
    <n v="0"/>
    <n v="12229.46"/>
    <n v="28"/>
    <m/>
    <m/>
    <m/>
    <m/>
    <n v="1703.3901738000011"/>
    <m/>
    <m/>
    <m/>
    <m/>
    <n v="9980.0398313630867"/>
    <m/>
    <m/>
    <m/>
    <m/>
    <m/>
    <m/>
    <m/>
    <m/>
    <m/>
    <m/>
    <m/>
    <m/>
    <n v="26684.616299999998"/>
    <n v="-3887.9911088000008"/>
    <m/>
    <m/>
    <m/>
    <m/>
    <n v="-4546.966550000001"/>
    <n v="412.78425999999899"/>
    <n v="29"/>
    <n v="101.51371521316833"/>
    <n v="17.87334067232635"/>
    <n v="95.344338254170225"/>
    <n v="0"/>
    <n v="0"/>
    <n v="0"/>
    <n v="0"/>
    <n v="0"/>
    <n v="0"/>
    <n v="0"/>
    <n v="0"/>
    <n v="412.74440853572924"/>
    <n v="0"/>
    <n v="0"/>
    <n v="0"/>
    <n v="43.714178848478582"/>
    <n v="0"/>
    <n v="-407.88851204953789"/>
    <m/>
    <n v="0"/>
    <n v="0"/>
    <n v="0"/>
    <n v="0"/>
    <n v="-53.172926424779348"/>
    <n v="-7.1011126232200894"/>
    <n v="0"/>
    <n v="0"/>
    <m/>
    <m/>
    <m/>
    <n v="13700.506701937036"/>
    <n v="0"/>
    <n v="0"/>
    <n v="-4546.966550000001"/>
    <n v="412.78425999999854"/>
    <n v="0"/>
    <n v="0"/>
    <n v="-4236.2093440167246"/>
    <n v="0"/>
    <n v="0"/>
    <n v="0"/>
    <n v="0"/>
    <n v="0"/>
    <n v="0"/>
    <n v="0"/>
    <n v="0"/>
    <n v="0"/>
    <n v="0"/>
    <n v="0"/>
    <n v="0"/>
    <n v="2254.007384389470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1"/>
    <s v="Regular"/>
    <s v="Azul"/>
    <s v="A4"/>
    <s v="Serviço público"/>
    <s v="Água, esgoto e saneamento"/>
    <s v="Não se aplica"/>
    <s v="Não se aplica"/>
    <s v="Ponta"/>
    <s v="CATIVO"/>
    <x v="5"/>
    <n v="405"/>
    <n v="380.7"/>
    <n v="17.995000000000001"/>
    <n v="16.915299999999998"/>
    <n v="17.995000000000001"/>
    <n v="16.915299999999998"/>
    <n v="52.19"/>
    <n v="96.28"/>
    <n v="128.11000000000001"/>
    <n v="21136.95"/>
    <n v="4037.8980500000007"/>
    <n v="25174.848050000001"/>
    <n v="19489.096800000003"/>
    <n v="0"/>
    <n v="958.37706020220912"/>
    <n v="0"/>
    <n v="0"/>
    <n v="0"/>
    <n v="0"/>
    <n v="18927.126844077855"/>
    <n v="2305.3582804211683"/>
    <n v="0"/>
    <n v="0"/>
    <n v="0"/>
    <n v="0"/>
    <n v="0"/>
    <n v="170.12203818466253"/>
    <m/>
    <n v="8.8463537451949517"/>
    <n v="349.77000203155308"/>
    <n v="1860.6850464161371"/>
    <n v="0"/>
    <n v="0"/>
    <n v="0"/>
    <n v="0"/>
    <n v="0"/>
    <n v="0"/>
    <n v="0"/>
    <n v="0"/>
    <n v="0"/>
    <n v="0"/>
    <m/>
    <n v="0"/>
    <n v="0"/>
    <n v="0"/>
    <n v="0"/>
    <n v="0"/>
    <n v="94.268882579322323"/>
    <n v="0"/>
    <n v="0"/>
    <n v="0"/>
    <n v="0"/>
    <n v="0"/>
    <m/>
    <m/>
    <m/>
    <m/>
    <n v="1169.3458080000009"/>
    <m/>
    <m/>
    <m/>
    <m/>
    <n v="2399.6271630004908"/>
    <m/>
    <m/>
    <m/>
    <m/>
    <m/>
    <m/>
    <m/>
    <m/>
    <m/>
    <m/>
    <m/>
    <m/>
    <n v="18320.806799999998"/>
    <n v="-5343.580366999995"/>
    <m/>
    <m/>
    <m/>
    <m/>
    <n v="-5791.2019499999988"/>
    <n v="105.45069999999974"/>
    <n v="29"/>
    <n v="165.83188029728535"/>
    <n v="25.53174466071431"/>
    <n v="135.82221237720773"/>
    <n v="0"/>
    <n v="0"/>
    <n v="0"/>
    <n v="0"/>
    <n v="0"/>
    <n v="0"/>
    <n v="0"/>
    <n v="0"/>
    <n v="105.44051946452237"/>
    <n v="0"/>
    <n v="0"/>
    <n v="0"/>
    <n v="4.3115901042015565"/>
    <n v="0"/>
    <n v="-90.654019444193864"/>
    <m/>
    <n v="0"/>
    <n v="0"/>
    <n v="0"/>
    <n v="0"/>
    <n v="-13.583663079937878"/>
    <n v="-1.0365037852300993"/>
    <n v="0"/>
    <n v="0"/>
    <m/>
    <m/>
    <n v="18927.126844077855"/>
    <n v="0"/>
    <n v="0"/>
    <n v="0"/>
    <n v="-5791.2019499999988"/>
    <n v="105.45069999999987"/>
    <n v="0"/>
    <n v="0"/>
    <n v="-5852.2851261359592"/>
    <n v="0"/>
    <n v="0"/>
    <n v="0"/>
    <n v="0"/>
    <n v="0"/>
    <n v="0"/>
    <n v="0"/>
    <n v="0"/>
    <n v="0"/>
    <n v="0"/>
    <n v="0"/>
    <n v="0"/>
    <n v="500.9575489759793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2"/>
    <s v="Regular"/>
    <s v="Azul"/>
    <s v="A4"/>
    <s v="Serviço público"/>
    <s v="Água, esgoto e saneamento"/>
    <s v="Não se aplica"/>
    <s v="Não se aplica"/>
    <s v="Fora ponta"/>
    <s v="CATIVO"/>
    <x v="5"/>
    <n v="447"/>
    <n v="420.18"/>
    <n v="148.161"/>
    <n v="139.27134000000001"/>
    <n v="148.161"/>
    <n v="139.27134000000001"/>
    <n v="18.12"/>
    <n v="96.28"/>
    <n v="128.11000000000001"/>
    <n v="8099.64"/>
    <n v="33245.846790000003"/>
    <n v="41345.486790000003"/>
    <n v="39742.037040000003"/>
    <n v="0"/>
    <n v="7890.7531879199505"/>
    <n v="0"/>
    <n v="0"/>
    <n v="0"/>
    <n v="0"/>
    <n v="5837.3454281401446"/>
    <n v="18981.060749401538"/>
    <n v="0"/>
    <n v="0"/>
    <n v="0"/>
    <n v="0"/>
    <n v="0"/>
    <n v="1400.6919310629498"/>
    <m/>
    <n v="72.836044303519259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776.15848356960123"/>
    <n v="0"/>
    <n v="0"/>
    <n v="0"/>
    <n v="0"/>
    <n v="0"/>
    <m/>
    <m/>
    <m/>
    <m/>
    <n v="2384.5222223999981"/>
    <m/>
    <m/>
    <m/>
    <m/>
    <n v="19757.21923297114"/>
    <m/>
    <m/>
    <m/>
    <m/>
    <m/>
    <m/>
    <m/>
    <m/>
    <m/>
    <m/>
    <m/>
    <m/>
    <n v="37357.213800000005"/>
    <n v="-1507.5737825999968"/>
    <m/>
    <m/>
    <m/>
    <m/>
    <n v="-2471.6732100000008"/>
    <n v="868.22345999999777"/>
    <n v="29"/>
    <n v="201.84788768095314"/>
    <n v="25.935927725842078"/>
    <n v="139.04318596064581"/>
    <n v="0"/>
    <n v="0"/>
    <n v="0"/>
    <n v="0"/>
    <n v="0"/>
    <n v="0"/>
    <n v="0"/>
    <n v="0"/>
    <n v="868.13963903212789"/>
    <n v="0"/>
    <n v="0"/>
    <n v="0"/>
    <n v="35.499277656493859"/>
    <n v="0"/>
    <n v="-746.3956751803953"/>
    <m/>
    <n v="0"/>
    <n v="0"/>
    <n v="0"/>
    <n v="0"/>
    <n v="-111.84046154969019"/>
    <n v="-8.5340059640720511"/>
    <n v="0"/>
    <n v="0"/>
    <m/>
    <m/>
    <n v="5837.3454281401446"/>
    <n v="0"/>
    <n v="0"/>
    <n v="0"/>
    <n v="-2471.6732099999972"/>
    <n v="868.22345999999743"/>
    <n v="0"/>
    <n v="0"/>
    <n v="-1804.9126054180488"/>
    <n v="0"/>
    <n v="0"/>
    <n v="0"/>
    <n v="0"/>
    <n v="0"/>
    <n v="0"/>
    <n v="0"/>
    <n v="0"/>
    <n v="0"/>
    <n v="0"/>
    <n v="0"/>
    <n v="0"/>
    <n v="4124.610803769384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3"/>
    <s v="Regular"/>
    <s v="Azul"/>
    <s v="A4"/>
    <s v="Serviço público"/>
    <s v="Água, esgoto e saneamento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007.7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64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0.88100000000000001"/>
    <n v="0.88100000000000001"/>
    <n v="0.88100000000000001"/>
    <n v="0.88100000000000001"/>
    <m/>
    <n v="333.61"/>
    <n v="128.11000000000001"/>
    <m/>
    <n v="406.77532000000002"/>
    <n v="406.77532000000002"/>
    <n v="355.06943000000001"/>
    <n v="0"/>
    <n v="53.931340445024368"/>
    <n v="0"/>
    <n v="0"/>
    <n v="0"/>
    <n v="0"/>
    <n v="171.35115067086682"/>
    <n v="112.86583190058622"/>
    <n v="0"/>
    <n v="0"/>
    <n v="0"/>
    <n v="0"/>
    <n v="0"/>
    <n v="8.3288422139865332"/>
    <m/>
    <n v="0.75800174541889498"/>
    <n v="3.0623737683750689"/>
    <n v="16.336061947541484"/>
    <n v="0"/>
    <n v="0"/>
    <n v="0"/>
    <n v="0"/>
    <n v="0"/>
    <n v="0"/>
    <n v="0"/>
    <n v="0"/>
    <n v="0"/>
    <n v="0"/>
    <m/>
    <n v="0"/>
    <n v="0"/>
    <n v="0"/>
    <n v="0"/>
    <n v="0"/>
    <n v="11.953734707367662"/>
    <n v="0"/>
    <n v="0"/>
    <n v="0"/>
    <n v="160.04"/>
    <n v="2"/>
    <m/>
    <m/>
    <m/>
    <m/>
    <m/>
    <m/>
    <m/>
    <m/>
    <m/>
    <n v="124.81956660795387"/>
    <m/>
    <m/>
    <m/>
    <m/>
    <m/>
    <m/>
    <m/>
    <m/>
    <m/>
    <m/>
    <m/>
    <m/>
    <n v="354.66640000000001"/>
    <n v="-52.138919999999985"/>
    <m/>
    <m/>
    <m/>
    <m/>
    <n v="-56.868550000000013"/>
    <n v="5.1626599999999874"/>
    <n v="29"/>
    <n v="1.2696239846509627"/>
    <n v="0.22354045417185286"/>
    <n v="1.1924640763465071"/>
    <n v="0"/>
    <n v="0"/>
    <n v="0"/>
    <n v="0"/>
    <n v="0"/>
    <n v="0"/>
    <n v="0"/>
    <n v="0"/>
    <n v="5.1621615808971626"/>
    <n v="0"/>
    <n v="0"/>
    <n v="0"/>
    <n v="0.54672976768515014"/>
    <n v="0"/>
    <n v="-5.1014292686878875"/>
    <m/>
    <n v="0"/>
    <n v="0"/>
    <n v="0"/>
    <n v="0"/>
    <n v="-0.66502957340512658"/>
    <n v="-8.8813052356680022E-2"/>
    <n v="0"/>
    <n v="0"/>
    <m/>
    <m/>
    <m/>
    <n v="171.35115067086682"/>
    <n v="0"/>
    <n v="0"/>
    <n v="-56.868549999999999"/>
    <n v="5.1626599999999883"/>
    <n v="0"/>
    <n v="0"/>
    <n v="-52.981934272351822"/>
    <n v="0"/>
    <n v="0"/>
    <n v="0"/>
    <n v="0"/>
    <n v="0"/>
    <n v="0"/>
    <n v="0"/>
    <n v="0"/>
    <n v="0"/>
    <n v="0"/>
    <n v="0"/>
    <n v="0"/>
    <n v="28.19069158085665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5"/>
    <s v="Regular"/>
    <s v="Verde"/>
    <s v="A4"/>
    <s v="Consumo próprio"/>
    <s v="Não se aplica"/>
    <s v="Não se aplica"/>
    <s v="Não se aplica"/>
    <s v="Ponta"/>
    <s v="CATIVO"/>
    <x v="5"/>
    <n v="0"/>
    <n v="0"/>
    <n v="1.1040000000000001"/>
    <n v="1.1040000000000001"/>
    <n v="1.1040000000000001"/>
    <n v="1.1040000000000001"/>
    <m/>
    <n v="1351.49"/>
    <n v="128.11000000000001"/>
    <m/>
    <n v="1633.4784000000002"/>
    <n v="1633.4784000000002"/>
    <n v="1260.6686400000003"/>
    <n v="0"/>
    <n v="58.796792134661793"/>
    <n v="0"/>
    <n v="0"/>
    <n v="0"/>
    <n v="0"/>
    <n v="1240.834872559637"/>
    <n v="141.43459525340202"/>
    <n v="0"/>
    <n v="0"/>
    <n v="0"/>
    <n v="0"/>
    <n v="0"/>
    <n v="10.437050856119335"/>
    <m/>
    <n v="0.54272712057211592"/>
    <n v="22.932872140419036"/>
    <n v="121.98325356546151"/>
    <n v="0"/>
    <n v="0"/>
    <n v="0"/>
    <n v="0"/>
    <n v="0"/>
    <n v="0"/>
    <n v="0"/>
    <n v="0"/>
    <n v="0"/>
    <n v="0"/>
    <m/>
    <n v="0"/>
    <n v="0"/>
    <n v="0"/>
    <n v="0"/>
    <n v="0"/>
    <n v="5.783431306894796"/>
    <n v="0"/>
    <n v="0"/>
    <n v="0"/>
    <n v="0"/>
    <n v="0"/>
    <m/>
    <m/>
    <m/>
    <m/>
    <m/>
    <m/>
    <m/>
    <m/>
    <m/>
    <n v="147.21802656029681"/>
    <m/>
    <m/>
    <m/>
    <m/>
    <m/>
    <m/>
    <m/>
    <m/>
    <m/>
    <m/>
    <m/>
    <m/>
    <n v="1256.1010000000001"/>
    <n v="-377.40740000000005"/>
    <m/>
    <m/>
    <m/>
    <m/>
    <n v="-379.2792"/>
    <n v="6.4694399999999845"/>
    <n v="29"/>
    <n v="10.852992269797824"/>
    <n v="1.6740035807106324"/>
    <n v="8.9042664174374835"/>
    <n v="0"/>
    <n v="0"/>
    <n v="0"/>
    <n v="0"/>
    <n v="0"/>
    <n v="0"/>
    <n v="0"/>
    <n v="0"/>
    <n v="6.4688154203297188"/>
    <n v="0"/>
    <n v="0"/>
    <n v="0"/>
    <n v="0.26451767018830274"/>
    <n v="0"/>
    <n v="-5.5616580976043366"/>
    <m/>
    <n v="0"/>
    <n v="0"/>
    <n v="0"/>
    <n v="0"/>
    <n v="-0.83336282524320104"/>
    <n v="-6.358989602078513E-2"/>
    <n v="0"/>
    <n v="0"/>
    <m/>
    <m/>
    <m/>
    <n v="1240.834872559637"/>
    <n v="0"/>
    <n v="0"/>
    <n v="-379.27919999999995"/>
    <n v="6.4694399999999916"/>
    <n v="0"/>
    <n v="0"/>
    <n v="-383.6672902598358"/>
    <n v="0"/>
    <n v="0"/>
    <n v="0"/>
    <n v="0"/>
    <n v="0"/>
    <n v="0"/>
    <n v="0"/>
    <n v="0"/>
    <n v="0"/>
    <n v="0"/>
    <n v="0"/>
    <n v="0"/>
    <n v="30.733933540954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6"/>
    <s v="Regular"/>
    <s v="Verde"/>
    <s v="A4"/>
    <s v="Consumo próprio"/>
    <s v="Não se aplica"/>
    <s v="Não se aplica"/>
    <s v="Não se aplica"/>
    <s v="Fora ponta"/>
    <s v="CATIVO"/>
    <x v="5"/>
    <n v="0"/>
    <n v="0"/>
    <n v="15.8"/>
    <n v="15.8"/>
    <n v="15.8"/>
    <n v="15.8"/>
    <m/>
    <n v="96.28"/>
    <n v="128.11000000000001"/>
    <m/>
    <n v="3545.3620000000005"/>
    <n v="3545.3620000000005"/>
    <n v="3549.3119999999999"/>
    <n v="0"/>
    <n v="841.47582946345676"/>
    <n v="0"/>
    <n v="0"/>
    <n v="0"/>
    <n v="0"/>
    <n v="0"/>
    <n v="2024.1545335178914"/>
    <n v="0"/>
    <n v="0"/>
    <n v="0"/>
    <n v="0"/>
    <n v="0"/>
    <n v="149.37083652779484"/>
    <m/>
    <n v="7.7672903125357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.770121964617545"/>
    <n v="0"/>
    <n v="0"/>
    <n v="0"/>
    <n v="0"/>
    <n v="0"/>
    <m/>
    <m/>
    <m/>
    <m/>
    <m/>
    <m/>
    <m/>
    <m/>
    <m/>
    <n v="2106.924655482509"/>
    <m/>
    <m/>
    <m/>
    <m/>
    <m/>
    <m/>
    <m/>
    <m/>
    <m/>
    <m/>
    <m/>
    <m/>
    <n v="3549.3119999999999"/>
    <n v="3.9199999999991633"/>
    <m/>
    <m/>
    <m/>
    <m/>
    <n v="-88.637999999999991"/>
    <n v="92.587999999999766"/>
    <n v="29"/>
    <n v="3.9317136703475626"/>
    <n v="0"/>
    <n v="0"/>
    <n v="0"/>
    <n v="0"/>
    <n v="0"/>
    <n v="0"/>
    <n v="0"/>
    <n v="0"/>
    <n v="0"/>
    <n v="0"/>
    <n v="92.579061269211024"/>
    <n v="0"/>
    <n v="0"/>
    <n v="0"/>
    <n v="3.7856695552311521"/>
    <n v="0"/>
    <n v="-79.59619378817797"/>
    <m/>
    <n v="0"/>
    <n v="0"/>
    <n v="0"/>
    <n v="0"/>
    <n v="-11.926750578661768"/>
    <n v="-0.91007278725399043"/>
    <n v="0"/>
    <n v="0"/>
    <m/>
    <m/>
    <m/>
    <n v="0"/>
    <n v="0"/>
    <n v="0"/>
    <n v="-88.638000000000147"/>
    <n v="92.587999999999738"/>
    <n v="0"/>
    <n v="0"/>
    <n v="0"/>
    <n v="0"/>
    <n v="0"/>
    <n v="0"/>
    <n v="0"/>
    <n v="0"/>
    <n v="0"/>
    <n v="0"/>
    <n v="0"/>
    <n v="0"/>
    <n v="0"/>
    <n v="0"/>
    <n v="0"/>
    <n v="439.8515850969977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67"/>
    <s v="Regular"/>
    <s v="Verde"/>
    <s v="A4"/>
    <s v="Consumo próprio"/>
    <s v="Não se aplica"/>
    <s v="Não se aplica"/>
    <s v="Não se aplica"/>
    <s v="Não se aplica"/>
    <s v="CATIVO"/>
    <x v="5"/>
    <n v="97"/>
    <n v="97"/>
    <n v="0"/>
    <n v="0"/>
    <n v="0"/>
    <n v="0"/>
    <n v="18.12"/>
    <m/>
    <m/>
    <n v="1757.64"/>
    <m/>
    <n v="1757.64"/>
    <n v="1401.6499999999999"/>
    <n v="0"/>
    <n v="0"/>
    <n v="0"/>
    <n v="0"/>
    <n v="0"/>
    <n v="0"/>
    <n v="1266.7170168447294"/>
    <m/>
    <m/>
    <m/>
    <n v="0"/>
    <n v="0"/>
    <n v="0"/>
    <n v="0"/>
    <m/>
    <n v="0"/>
    <n v="77.102429961087665"/>
    <n v="413.34814086543349"/>
    <n v="0"/>
    <n v="0"/>
    <m/>
    <m/>
    <n v="0"/>
    <n v="0"/>
    <n v="0"/>
    <m/>
    <m/>
    <n v="0"/>
    <m/>
    <n v="0"/>
    <n v="0"/>
    <n v="0"/>
    <n v="0"/>
    <m/>
    <n v="0"/>
    <n v="0"/>
    <n v="0"/>
    <n v="0"/>
    <n v="2870.65"/>
    <n v="1"/>
    <m/>
    <m/>
    <m/>
    <m/>
    <m/>
    <m/>
    <m/>
    <m/>
    <m/>
    <n v="0"/>
    <m/>
    <m/>
    <m/>
    <m/>
    <m/>
    <m/>
    <m/>
    <m/>
    <m/>
    <m/>
    <m/>
    <m/>
    <n v="1401.6499999999999"/>
    <n v="-356.02000000000021"/>
    <m/>
    <m/>
    <m/>
    <m/>
    <n v="-355.99000000000018"/>
    <n v="0"/>
    <n v="29"/>
    <n v="35.800836750759231"/>
    <n v="5.6281543387174082"/>
    <n v="30.172682412041752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6.7170168447294"/>
    <m/>
    <n v="0"/>
    <n v="0"/>
    <n v="-355.99000000000024"/>
    <m/>
    <n v="0"/>
    <m/>
    <n v="-391.67007321152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68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815.02"/>
    <n v="15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6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9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70"/>
    <s v="Regular"/>
    <s v="Convencional"/>
    <s v="B2"/>
    <s v="Rural"/>
    <s v="Agropecuária rural"/>
    <s v="IRRIG./AQUIC."/>
    <s v="Não se aplica"/>
    <s v="Não se aplica"/>
    <s v="CATIVO"/>
    <x v="5"/>
    <n v="0"/>
    <n v="0"/>
    <n v="50.792999999999999"/>
    <n v="50.792999999999999"/>
    <n v="50.792999999999999"/>
    <n v="50.792999999999999"/>
    <m/>
    <n v="333.61"/>
    <n v="128.11000000000001"/>
    <m/>
    <n v="23452.143960000001"/>
    <n v="23452.143960000001"/>
    <n v="20471.102789999997"/>
    <n v="0"/>
    <n v="3109.3468504246566"/>
    <n v="0"/>
    <n v="0"/>
    <n v="0"/>
    <n v="0"/>
    <n v="9879.0453984396572"/>
    <n v="6507.1443810743194"/>
    <n v="0"/>
    <n v="0"/>
    <n v="0"/>
    <n v="0"/>
    <n v="0"/>
    <n v="480.18942403520771"/>
    <m/>
    <n v="43.701682922885283"/>
    <n v="176.5574924143869"/>
    <n v="941.83608910496559"/>
    <n v="0"/>
    <n v="0"/>
    <n v="0"/>
    <n v="0"/>
    <n v="0"/>
    <n v="0"/>
    <n v="0"/>
    <n v="0"/>
    <n v="0"/>
    <n v="0"/>
    <m/>
    <n v="0"/>
    <n v="0"/>
    <n v="0"/>
    <n v="0"/>
    <n v="0"/>
    <n v="689.17825992204962"/>
    <n v="0"/>
    <n v="0"/>
    <n v="0"/>
    <n v="0"/>
    <n v="0"/>
    <m/>
    <m/>
    <m/>
    <m/>
    <m/>
    <n v="2456.8574099999996"/>
    <m/>
    <m/>
    <m/>
    <n v="7196.322640996369"/>
    <m/>
    <m/>
    <m/>
    <m/>
    <m/>
    <m/>
    <m/>
    <m/>
    <m/>
    <m/>
    <m/>
    <m/>
    <n v="18013.181400000001"/>
    <n v="-2625.0603599999959"/>
    <m/>
    <m/>
    <m/>
    <m/>
    <n v="-3278.6881500000004"/>
    <n v="297.64697999999925"/>
    <n v="29"/>
    <n v="73.198650456728501"/>
    <n v="12.88795719494999"/>
    <n v="68.750088342642471"/>
    <n v="0"/>
    <n v="0"/>
    <n v="0"/>
    <n v="0"/>
    <n v="0"/>
    <n v="0"/>
    <n v="0"/>
    <n v="0"/>
    <n v="297.6182442434847"/>
    <n v="0"/>
    <n v="0"/>
    <n v="0"/>
    <n v="31.521050045438983"/>
    <n v="0"/>
    <n v="-294.11679551017414"/>
    <m/>
    <n v="0"/>
    <n v="0"/>
    <n v="0"/>
    <n v="0"/>
    <n v="-38.34148367987126"/>
    <n v="-5.1204101797421657"/>
    <n v="0"/>
    <n v="0"/>
    <m/>
    <m/>
    <m/>
    <n v="9879.0453984396572"/>
    <n v="0"/>
    <n v="0"/>
    <n v="-3278.68815"/>
    <n v="297.64697999999862"/>
    <n v="0"/>
    <n v="0"/>
    <n v="-3054.6099744558078"/>
    <n v="0"/>
    <n v="0"/>
    <n v="0"/>
    <n v="0"/>
    <n v="0"/>
    <n v="0"/>
    <n v="0"/>
    <n v="0"/>
    <n v="0"/>
    <n v="0"/>
    <n v="0"/>
    <n v="0"/>
    <n v="1625.300564661125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1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.1"/>
    <n v="0.1"/>
    <n v="0.1"/>
    <n v="0.1"/>
    <m/>
    <n v="333.61"/>
    <n v="128.11000000000001"/>
    <m/>
    <n v="46.172000000000004"/>
    <n v="46.172000000000004"/>
    <n v="40.303000000000004"/>
    <n v="0"/>
    <n v="6.12160504483818"/>
    <n v="0"/>
    <n v="0"/>
    <n v="0"/>
    <n v="0"/>
    <n v="19.449619826432102"/>
    <n v="12.8111046425183"/>
    <n v="0"/>
    <n v="0"/>
    <n v="0"/>
    <n v="0"/>
    <n v="0"/>
    <n v="0.9453850413151571"/>
    <m/>
    <n v="8.603879062643531E-2"/>
    <n v="0.34760201684166503"/>
    <n v="1.8542635581772402"/>
    <n v="0"/>
    <n v="0"/>
    <n v="0"/>
    <n v="0"/>
    <n v="0"/>
    <n v="0"/>
    <n v="0"/>
    <n v="0"/>
    <n v="0"/>
    <n v="0"/>
    <m/>
    <n v="0"/>
    <n v="0"/>
    <n v="0"/>
    <n v="0"/>
    <n v="0"/>
    <n v="1.3568370836966701"/>
    <n v="0"/>
    <n v="0"/>
    <n v="0"/>
    <n v="0"/>
    <n v="0"/>
    <m/>
    <m/>
    <m/>
    <m/>
    <m/>
    <n v="4.8369999999999989"/>
    <m/>
    <m/>
    <m/>
    <n v="14.16794172621497"/>
    <m/>
    <m/>
    <m/>
    <m/>
    <m/>
    <m/>
    <m/>
    <m/>
    <m/>
    <m/>
    <m/>
    <m/>
    <n v="35.466000000000008"/>
    <n v="-5.1959999999999908"/>
    <m/>
    <m/>
    <m/>
    <m/>
    <n v="-6.4550000000000018"/>
    <n v="0.58599999999999852"/>
    <n v="29"/>
    <n v="0.14411168951771458"/>
    <n v="2.5373490825408962E-2"/>
    <n v="0.13535347064092007"/>
    <n v="0"/>
    <n v="0"/>
    <n v="0"/>
    <n v="0"/>
    <n v="0"/>
    <n v="0"/>
    <n v="0"/>
    <n v="0"/>
    <n v="0.5859434257545022"/>
    <n v="0"/>
    <n v="0"/>
    <n v="0"/>
    <n v="6.2057862393320118E-2"/>
    <n v="0"/>
    <n v="-0.57904986023698957"/>
    <m/>
    <n v="0"/>
    <n v="0"/>
    <n v="0"/>
    <n v="0"/>
    <n v="-7.5485763156087016E-2"/>
    <n v="-1.0080936703368903E-2"/>
    <n v="0"/>
    <n v="0"/>
    <m/>
    <m/>
    <m/>
    <n v="19.449619826432102"/>
    <n v="0"/>
    <n v="0"/>
    <n v="-6.4550000000000018"/>
    <n v="0.58599999999999852"/>
    <n v="0"/>
    <n v="0"/>
    <n v="-6.0138404395405018"/>
    <n v="0"/>
    <n v="0"/>
    <n v="0"/>
    <n v="0"/>
    <n v="0"/>
    <n v="0"/>
    <n v="0"/>
    <n v="0"/>
    <n v="0"/>
    <n v="0"/>
    <n v="0"/>
    <n v="0"/>
    <n v="3.1998514847737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2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41.22"/>
    <n v="16.488"/>
    <n v="41.22"/>
    <n v="16.488"/>
    <m/>
    <n v="333.61"/>
    <n v="128.11000000000001"/>
    <m/>
    <n v="19032.098400000003"/>
    <n v="19032.098400000003"/>
    <n v="16612.8966"/>
    <n v="0"/>
    <n v="2523.3255994822975"/>
    <n v="0"/>
    <n v="0"/>
    <n v="0"/>
    <n v="0"/>
    <n v="8017.1332924553117"/>
    <n v="5280.7373336460423"/>
    <n v="0"/>
    <n v="0"/>
    <n v="0"/>
    <n v="0"/>
    <n v="0"/>
    <n v="389.68771403010771"/>
    <m/>
    <n v="35.465189496216631"/>
    <n v="143.28155134213432"/>
    <n v="764.32743868065836"/>
    <n v="0"/>
    <n v="0"/>
    <n v="0"/>
    <n v="0"/>
    <n v="0"/>
    <n v="0"/>
    <n v="0"/>
    <n v="0"/>
    <n v="0"/>
    <n v="0"/>
    <m/>
    <n v="0"/>
    <n v="0"/>
    <n v="0"/>
    <n v="0"/>
    <n v="0"/>
    <n v="559.28824589976739"/>
    <n v="0"/>
    <n v="0"/>
    <n v="0"/>
    <n v="0"/>
    <n v="0"/>
    <m/>
    <m/>
    <m/>
    <m/>
    <m/>
    <m/>
    <n v="10765.26252"/>
    <m/>
    <m/>
    <n v="5840.0255795458097"/>
    <m/>
    <m/>
    <m/>
    <m/>
    <m/>
    <m/>
    <m/>
    <m/>
    <m/>
    <m/>
    <m/>
    <m/>
    <n v="5848.3433999999997"/>
    <n v="-851.09076000000005"/>
    <m/>
    <m/>
    <m/>
    <m/>
    <n v="-2660.7510000000002"/>
    <n v="241.54919999999939"/>
    <n v="29"/>
    <n v="59.402838419196996"/>
    <n v="10.458952918233564"/>
    <n v="55.792700598187253"/>
    <n v="0"/>
    <n v="0"/>
    <n v="0"/>
    <n v="0"/>
    <n v="0"/>
    <n v="0"/>
    <n v="0"/>
    <n v="0"/>
    <n v="241.5258800960064"/>
    <n v="0"/>
    <n v="0"/>
    <n v="0"/>
    <n v="25.580250878526499"/>
    <n v="0"/>
    <n v="-238.68435238968732"/>
    <m/>
    <n v="0"/>
    <n v="0"/>
    <n v="0"/>
    <n v="0"/>
    <n v="-31.115231572939081"/>
    <n v="-4.1553621091286637"/>
    <n v="0"/>
    <n v="0"/>
    <m/>
    <m/>
    <m/>
    <n v="8017.1332924553117"/>
    <n v="0"/>
    <n v="0"/>
    <n v="-2660.7510000000002"/>
    <n v="241.54919999999856"/>
    <n v="0"/>
    <n v="0"/>
    <n v="-2478.9050291785943"/>
    <n v="0"/>
    <n v="0"/>
    <n v="0"/>
    <n v="0"/>
    <n v="0"/>
    <n v="0"/>
    <n v="0"/>
    <n v="0"/>
    <n v="0"/>
    <n v="0"/>
    <n v="0"/>
    <n v="0"/>
    <n v="1318.978782023735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3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2.779999999999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74"/>
    <s v="Regular"/>
    <s v="Convencional"/>
    <s v="B2"/>
    <s v="Rural"/>
    <s v="Aquicultura"/>
    <s v="IRRIG./AQUIC."/>
    <s v="Não se aplica"/>
    <s v="Não se aplica"/>
    <s v="CATIVO"/>
    <x v="5"/>
    <n v="0"/>
    <n v="0"/>
    <n v="1.0489999999999999"/>
    <n v="1.0489999999999999"/>
    <n v="1.0489999999999999"/>
    <n v="1.0489999999999999"/>
    <m/>
    <n v="333.61"/>
    <n v="128.11000000000001"/>
    <m/>
    <n v="484.34428000000003"/>
    <n v="484.34428000000003"/>
    <n v="422.77846999999997"/>
    <n v="0"/>
    <n v="64.215636920352509"/>
    <n v="0"/>
    <n v="0"/>
    <n v="0"/>
    <n v="0"/>
    <n v="204.02651197927273"/>
    <n v="134.38848770001695"/>
    <n v="0"/>
    <n v="0"/>
    <n v="0"/>
    <n v="0"/>
    <n v="0"/>
    <n v="9.9170890833959966"/>
    <m/>
    <n v="0.90254691367130624"/>
    <n v="3.6463451566690659"/>
    <n v="19.451224725279246"/>
    <n v="0"/>
    <n v="0"/>
    <n v="0"/>
    <n v="0"/>
    <n v="0"/>
    <n v="0"/>
    <n v="0"/>
    <n v="0"/>
    <n v="0"/>
    <n v="0"/>
    <m/>
    <n v="0"/>
    <n v="0"/>
    <n v="0"/>
    <n v="0"/>
    <n v="0"/>
    <n v="14.233221007978068"/>
    <n v="0"/>
    <n v="0"/>
    <n v="0"/>
    <n v="0"/>
    <n v="0"/>
    <m/>
    <m/>
    <m/>
    <m/>
    <m/>
    <n v="50.740129999999986"/>
    <m/>
    <m/>
    <m/>
    <n v="148.62170870799503"/>
    <m/>
    <m/>
    <m/>
    <m/>
    <m/>
    <m/>
    <m/>
    <m/>
    <m/>
    <m/>
    <m/>
    <m/>
    <n v="372.39300000000003"/>
    <n v="-53.86667999999986"/>
    <m/>
    <m/>
    <m/>
    <m/>
    <n v="-67.712950000000006"/>
    <n v="6.1471399999999843"/>
    <n v="29"/>
    <n v="1.5117316230407027"/>
    <n v="0.26616791875854018"/>
    <n v="1.4198579070232533"/>
    <n v="0"/>
    <n v="0"/>
    <n v="0"/>
    <n v="0"/>
    <n v="0"/>
    <n v="0"/>
    <n v="0"/>
    <n v="0"/>
    <n v="6.1465465361647205"/>
    <n v="0"/>
    <n v="0"/>
    <n v="0"/>
    <n v="0.65098697650592641"/>
    <n v="0"/>
    <n v="-6.0742330338860313"/>
    <m/>
    <n v="0"/>
    <n v="0"/>
    <n v="0"/>
    <n v="0"/>
    <n v="-0.79184565550735186"/>
    <n v="-0.1057490260183398"/>
    <n v="0"/>
    <n v="0"/>
    <m/>
    <m/>
    <m/>
    <n v="204.02651197927273"/>
    <n v="0"/>
    <n v="0"/>
    <n v="-67.712949999999978"/>
    <n v="6.147139999999979"/>
    <n v="0"/>
    <n v="0"/>
    <n v="-63.085186210779852"/>
    <n v="0"/>
    <n v="0"/>
    <n v="0"/>
    <n v="0"/>
    <n v="0"/>
    <n v="0"/>
    <n v="0"/>
    <n v="0"/>
    <n v="0"/>
    <n v="0"/>
    <n v="0"/>
    <n v="0"/>
    <n v="33.56644207527653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5"/>
    <s v="Regular"/>
    <s v="Convencional"/>
    <s v="B2"/>
    <s v="Rural"/>
    <s v="Aquicultura"/>
    <s v="IRRIG./AQUIC. PR"/>
    <s v="Não se aplica"/>
    <s v="Não se aplica"/>
    <s v="CATIVO"/>
    <x v="5"/>
    <n v="0"/>
    <n v="0"/>
    <n v="2.4489999999999998"/>
    <n v="0.97960000000000003"/>
    <n v="2.4489999999999998"/>
    <n v="0.97960000000000003"/>
    <m/>
    <n v="333.61"/>
    <n v="128.11000000000001"/>
    <m/>
    <n v="1130.7522800000002"/>
    <n v="1130.7522800000002"/>
    <n v="987.02046999999993"/>
    <n v="0"/>
    <n v="149.91810754808702"/>
    <n v="0"/>
    <n v="0"/>
    <n v="0"/>
    <n v="0"/>
    <n v="476.32118954932213"/>
    <n v="313.74395269527315"/>
    <n v="0"/>
    <n v="0"/>
    <n v="0"/>
    <n v="0"/>
    <n v="0"/>
    <n v="23.152479661808197"/>
    <m/>
    <n v="2.1070899824414004"/>
    <n v="8.5127733924523756"/>
    <n v="45.410914539760611"/>
    <n v="0"/>
    <n v="0"/>
    <n v="0"/>
    <n v="0"/>
    <n v="0"/>
    <n v="0"/>
    <n v="0"/>
    <n v="0"/>
    <n v="0"/>
    <n v="0"/>
    <m/>
    <n v="0"/>
    <n v="0"/>
    <n v="0"/>
    <n v="0"/>
    <n v="0"/>
    <n v="33.228940179731445"/>
    <n v="0"/>
    <n v="0"/>
    <n v="0"/>
    <n v="0"/>
    <n v="0"/>
    <m/>
    <m/>
    <m/>
    <m/>
    <m/>
    <m/>
    <n v="639.59553399999993"/>
    <m/>
    <m/>
    <n v="346.97289287500462"/>
    <m/>
    <m/>
    <m/>
    <m/>
    <m/>
    <m/>
    <m/>
    <m/>
    <m/>
    <m/>
    <m/>
    <m/>
    <n v="347.5668"/>
    <n v="-50.494271999999967"/>
    <m/>
    <m/>
    <m/>
    <m/>
    <n v="-158.08295000000001"/>
    <n v="14.351139999999964"/>
    <n v="29"/>
    <n v="3.5292952762885079"/>
    <n v="0.62139679031426631"/>
    <n v="3.3148064959961232"/>
    <n v="0"/>
    <n v="0"/>
    <n v="0"/>
    <n v="0"/>
    <n v="0"/>
    <n v="0"/>
    <n v="0"/>
    <n v="0"/>
    <n v="14.349754496727712"/>
    <n v="0"/>
    <n v="0"/>
    <n v="0"/>
    <n v="1.5197970500124072"/>
    <n v="0"/>
    <n v="-14.180931077203894"/>
    <m/>
    <n v="0"/>
    <n v="0"/>
    <n v="0"/>
    <n v="0"/>
    <n v="-1.848646339692575"/>
    <n v="-0.24688213986550456"/>
    <n v="0"/>
    <n v="0"/>
    <m/>
    <m/>
    <m/>
    <n v="476.32118954932213"/>
    <n v="0"/>
    <n v="0"/>
    <n v="-158.0829500000001"/>
    <n v="14.35113999999993"/>
    <n v="0"/>
    <n v="0"/>
    <n v="-147.27895236434688"/>
    <n v="0"/>
    <n v="0"/>
    <n v="0"/>
    <n v="0"/>
    <n v="0"/>
    <n v="0"/>
    <n v="0"/>
    <n v="0"/>
    <n v="0"/>
    <n v="0"/>
    <n v="0"/>
    <n v="0"/>
    <n v="78.36436286210889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6"/>
    <s v="Regular"/>
    <s v="Convencional"/>
    <s v="B1"/>
    <s v="Residencial"/>
    <s v="Residencial"/>
    <s v="Não se aplica"/>
    <s v="Não se aplica"/>
    <s v="Não se aplica"/>
    <s v="CATIVO"/>
    <x v="6"/>
    <n v="0"/>
    <n v="0"/>
    <n v="5625.98"/>
    <n v="5625.98"/>
    <n v="5625.98"/>
    <n v="5625.98"/>
    <m/>
    <n v="333.61"/>
    <n v="128.11000000000001"/>
    <m/>
    <n v="2597627.4856000002"/>
    <n v="2597627.4856000002"/>
    <n v="2267438.7193999998"/>
    <n v="0"/>
    <n v="344400.27550158702"/>
    <n v="0"/>
    <n v="0"/>
    <n v="0"/>
    <n v="0"/>
    <n v="1094231.7215111046"/>
    <n v="720750.18496715091"/>
    <n v="0"/>
    <n v="0"/>
    <n v="0"/>
    <n v="0"/>
    <n v="0"/>
    <n v="53187.173347382472"/>
    <m/>
    <n v="4840.525152885124"/>
    <n v="19556.019947108703"/>
    <n v="104320.49693033988"/>
    <n v="0"/>
    <n v="0"/>
    <n v="0"/>
    <n v="0"/>
    <n v="0"/>
    <n v="0"/>
    <n v="0"/>
    <n v="0"/>
    <n v="0"/>
    <n v="0"/>
    <m/>
    <n v="0"/>
    <n v="0"/>
    <n v="0"/>
    <n v="0"/>
    <n v="0"/>
    <n v="76335.382961357915"/>
    <n v="0"/>
    <n v="0"/>
    <n v="0"/>
    <n v="723138.29"/>
    <n v="20619"/>
    <m/>
    <m/>
    <m/>
    <m/>
    <m/>
    <m/>
    <m/>
    <m/>
    <m/>
    <n v="797085.56792850886"/>
    <m/>
    <m/>
    <m/>
    <m/>
    <m/>
    <m/>
    <m/>
    <m/>
    <m/>
    <m/>
    <m/>
    <m/>
    <n v="2267438.7193999998"/>
    <n v="-330188.79619999975"/>
    <m/>
    <m/>
    <m/>
    <m/>
    <n v="-363157.00900000002"/>
    <n v="32968.242799999913"/>
    <n v="31"/>
    <n v="8107.6948299279902"/>
    <n v="1427.5075191393444"/>
    <n v="7614.9591875640326"/>
    <n v="0"/>
    <n v="0"/>
    <n v="0"/>
    <n v="0"/>
    <n v="0"/>
    <n v="0"/>
    <n v="0"/>
    <n v="0"/>
    <n v="32965.059944263194"/>
    <n v="0"/>
    <n v="0"/>
    <n v="0"/>
    <n v="3491.3629266757052"/>
    <n v="0"/>
    <n v="-32577.229326961038"/>
    <m/>
    <n v="0"/>
    <n v="0"/>
    <n v="0"/>
    <n v="0"/>
    <n v="-4246.8139380088251"/>
    <n v="-567.15148274419334"/>
    <n v="0"/>
    <n v="0"/>
    <m/>
    <m/>
    <m/>
    <n v="1094231.7215111046"/>
    <n v="0"/>
    <n v="0"/>
    <n v="-363157.00900000008"/>
    <n v="32968.242799999891"/>
    <n v="0"/>
    <n v="0"/>
    <n v="-338337.46036046068"/>
    <n v="0"/>
    <n v="0"/>
    <n v="0"/>
    <n v="0"/>
    <n v="0"/>
    <n v="0"/>
    <n v="0"/>
    <n v="0"/>
    <n v="0"/>
    <n v="0"/>
    <n v="0"/>
    <n v="0"/>
    <n v="180023.0045630736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7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2.2839999999999998"/>
    <n v="-2.2839999999999998"/>
    <n v="-2.2839999999999998"/>
    <n v="-2.2839999999999998"/>
    <m/>
    <n v="333.61"/>
    <n v="128.11000000000001"/>
    <m/>
    <n v="-1054.5684799999999"/>
    <n v="-1054.5684799999999"/>
    <n v="-920.52051999999981"/>
    <n v="0"/>
    <n v="-139.81745922410403"/>
    <n v="0"/>
    <n v="0"/>
    <n v="0"/>
    <n v="0"/>
    <n v="-444.22931683570914"/>
    <n v="-292.60563003511794"/>
    <n v="0"/>
    <n v="0"/>
    <n v="0"/>
    <n v="0"/>
    <n v="0"/>
    <n v="-21.592594343638186"/>
    <m/>
    <n v="-1.9651259779077821"/>
    <n v="-7.9392300646636285"/>
    <n v="-42.351379668768161"/>
    <n v="0"/>
    <n v="0"/>
    <n v="0"/>
    <n v="0"/>
    <n v="0"/>
    <n v="0"/>
    <n v="0"/>
    <n v="0"/>
    <n v="0"/>
    <n v="0"/>
    <m/>
    <n v="0"/>
    <n v="0"/>
    <n v="0"/>
    <n v="0"/>
    <n v="0"/>
    <n v="-30.99015899163194"/>
    <n v="0"/>
    <n v="0"/>
    <n v="0"/>
    <n v="-411.63"/>
    <n v="0"/>
    <m/>
    <m/>
    <m/>
    <m/>
    <m/>
    <m/>
    <m/>
    <m/>
    <m/>
    <n v="-323.59578902674986"/>
    <m/>
    <m/>
    <m/>
    <m/>
    <m/>
    <m/>
    <m/>
    <m/>
    <m/>
    <m/>
    <m/>
    <m/>
    <n v="-918.90839999999992"/>
    <n v="135.63008000000002"/>
    <m/>
    <m/>
    <m/>
    <m/>
    <n v="147.43220000000002"/>
    <n v="-13.384239999999965"/>
    <n v="31"/>
    <n v="-3.2915109885843776"/>
    <n v="-0.57953053045234082"/>
    <n v="-3.0914732694386089"/>
    <n v="0"/>
    <n v="0"/>
    <n v="0"/>
    <n v="0"/>
    <n v="0"/>
    <n v="0"/>
    <n v="0"/>
    <n v="0"/>
    <n v="-13.382947844232831"/>
    <n v="0"/>
    <n v="0"/>
    <n v="0"/>
    <n v="-1.4174015770634263"/>
    <n v="0"/>
    <n v="13.225498807812855"/>
    <m/>
    <n v="0"/>
    <n v="0"/>
    <n v="0"/>
    <n v="0"/>
    <n v="1.7240948304850292"/>
    <n v="0.23024859430494571"/>
    <n v="0"/>
    <n v="0"/>
    <m/>
    <m/>
    <m/>
    <n v="-444.22931683570914"/>
    <n v="0"/>
    <n v="0"/>
    <n v="147.43220000000008"/>
    <n v="-13.38423999999992"/>
    <n v="0"/>
    <n v="0"/>
    <n v="137.35611563910504"/>
    <n v="0"/>
    <n v="0"/>
    <n v="0"/>
    <n v="0"/>
    <n v="0"/>
    <n v="0"/>
    <n v="0"/>
    <n v="0"/>
    <n v="0"/>
    <n v="0"/>
    <n v="0"/>
    <n v="0"/>
    <n v="-73.08460791223221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8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8.248999999999999"/>
    <n v="18.248999999999999"/>
    <n v="18.248999999999999"/>
    <n v="18.248999999999999"/>
    <m/>
    <n v="333.61"/>
    <n v="128.11000000000001"/>
    <m/>
    <n v="8425.9282800000001"/>
    <n v="8425.9282800000001"/>
    <n v="7354.8944699999993"/>
    <n v="0"/>
    <n v="1117.1317046325194"/>
    <n v="0"/>
    <n v="0"/>
    <n v="0"/>
    <n v="0"/>
    <n v="3549.3611221255937"/>
    <n v="2337.8984862131642"/>
    <n v="0"/>
    <n v="0"/>
    <n v="0"/>
    <n v="0"/>
    <n v="0"/>
    <n v="172.52331618960301"/>
    <m/>
    <n v="15.701218901418176"/>
    <n v="63.433892053435443"/>
    <n v="338.38455673176452"/>
    <n v="0"/>
    <n v="0"/>
    <n v="0"/>
    <n v="0"/>
    <n v="0"/>
    <n v="0"/>
    <n v="0"/>
    <n v="0"/>
    <n v="0"/>
    <n v="0"/>
    <m/>
    <n v="0"/>
    <n v="0"/>
    <n v="0"/>
    <n v="0"/>
    <n v="0"/>
    <n v="247.60919940380529"/>
    <n v="0"/>
    <n v="0"/>
    <n v="0"/>
    <n v="4996.26"/>
    <n v="59"/>
    <m/>
    <m/>
    <m/>
    <m/>
    <m/>
    <m/>
    <m/>
    <m/>
    <m/>
    <n v="2585.5076856169694"/>
    <m/>
    <m/>
    <m/>
    <m/>
    <m/>
    <m/>
    <m/>
    <m/>
    <m/>
    <m/>
    <m/>
    <m/>
    <n v="7355.2975000000006"/>
    <n v="-1070.6607800000002"/>
    <m/>
    <m/>
    <m/>
    <m/>
    <n v="-1177.9729500000001"/>
    <n v="106.93913999999972"/>
    <n v="31"/>
    <n v="26.298942220086246"/>
    <n v="4.6304083407288914"/>
    <n v="24.700654857261497"/>
    <n v="0"/>
    <n v="0"/>
    <n v="0"/>
    <n v="0"/>
    <n v="0"/>
    <n v="0"/>
    <n v="0"/>
    <n v="0"/>
    <n v="106.92881576593891"/>
    <n v="0"/>
    <n v="0"/>
    <n v="0"/>
    <n v="11.324939308156956"/>
    <n v="0"/>
    <n v="-105.67080899464827"/>
    <m/>
    <n v="0"/>
    <n v="0"/>
    <n v="0"/>
    <n v="0"/>
    <n v="-13.775396918354318"/>
    <n v="-1.839670138997791"/>
    <n v="0"/>
    <n v="0"/>
    <m/>
    <m/>
    <m/>
    <n v="3549.3611221255937"/>
    <n v="0"/>
    <n v="0"/>
    <n v="-1177.9729500000003"/>
    <n v="106.93913999999995"/>
    <n v="0"/>
    <n v="0"/>
    <n v="-1097.4657418117458"/>
    <n v="0"/>
    <n v="0"/>
    <n v="0"/>
    <n v="0"/>
    <n v="0"/>
    <n v="0"/>
    <n v="0"/>
    <n v="0"/>
    <n v="0"/>
    <n v="0"/>
    <n v="0"/>
    <n v="0"/>
    <n v="583.9408974563598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79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-9.1999999999999998E-2"/>
    <n v="-9.1999999999999998E-2"/>
    <n v="-9.1999999999999998E-2"/>
    <n v="-9.1999999999999998E-2"/>
    <m/>
    <n v="333.61"/>
    <n v="128.11000000000001"/>
    <m/>
    <n v="-42.47824"/>
    <n v="-42.47824"/>
    <n v="-37.078759999999996"/>
    <n v="0"/>
    <n v="-5.6318766412511252"/>
    <n v="0"/>
    <n v="0"/>
    <n v="0"/>
    <n v="0"/>
    <n v="-17.893650240317534"/>
    <n v="-11.786216271116835"/>
    <n v="0"/>
    <n v="0"/>
    <n v="0"/>
    <n v="0"/>
    <n v="0"/>
    <n v="-0.86975423800994445"/>
    <m/>
    <n v="-7.9155687376320477E-2"/>
    <n v="-0.31979385549433181"/>
    <n v="-1.7059224735230609"/>
    <n v="0"/>
    <n v="0"/>
    <n v="0"/>
    <n v="0"/>
    <n v="0"/>
    <n v="0"/>
    <n v="0"/>
    <n v="0"/>
    <n v="0"/>
    <n v="0"/>
    <m/>
    <n v="0"/>
    <n v="0"/>
    <n v="0"/>
    <n v="0"/>
    <n v="0"/>
    <n v="-1.2482901170009364"/>
    <n v="0"/>
    <n v="0"/>
    <n v="0"/>
    <n v="-20.149999999999999"/>
    <n v="2"/>
    <m/>
    <m/>
    <m/>
    <m/>
    <m/>
    <m/>
    <m/>
    <m/>
    <m/>
    <n v="-13.034506388117771"/>
    <m/>
    <m/>
    <m/>
    <m/>
    <m/>
    <m/>
    <m/>
    <m/>
    <m/>
    <m/>
    <m/>
    <m/>
    <n v="-36.2727"/>
    <n v="6.175539999999998"/>
    <m/>
    <m/>
    <m/>
    <m/>
    <n v="5.938600000000001"/>
    <n v="-0.5391199999999986"/>
    <n v="31"/>
    <n v="-0.1325827543562923"/>
    <n v="-2.3343611559376254E-2"/>
    <n v="-0.12452519298964626"/>
    <n v="0"/>
    <n v="0"/>
    <n v="0"/>
    <n v="0"/>
    <n v="0"/>
    <n v="0"/>
    <n v="0"/>
    <n v="0"/>
    <n v="-0.53906795169414146"/>
    <n v="0"/>
    <n v="0"/>
    <n v="0"/>
    <n v="-5.7093233401854349E-2"/>
    <n v="0"/>
    <n v="0.53272587141803029"/>
    <m/>
    <n v="0"/>
    <n v="0"/>
    <n v="0"/>
    <n v="0"/>
    <n v="6.944690210360005E-2"/>
    <n v="9.2744617670993956E-3"/>
    <n v="0"/>
    <n v="0"/>
    <m/>
    <m/>
    <m/>
    <n v="-17.893650240317534"/>
    <n v="0"/>
    <n v="0"/>
    <n v="5.938600000000001"/>
    <n v="-0.53911999999999871"/>
    <n v="0"/>
    <n v="0"/>
    <n v="5.5327332043772621"/>
    <n v="0"/>
    <n v="0"/>
    <n v="0"/>
    <n v="0"/>
    <n v="0"/>
    <n v="0"/>
    <n v="0"/>
    <n v="0"/>
    <n v="0"/>
    <n v="0"/>
    <n v="0"/>
    <n v="0"/>
    <n v="-2.943863365991840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0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19.440000000000001"/>
    <n v="19.440000000000001"/>
    <n v="19.440000000000001"/>
    <n v="19.440000000000001"/>
    <m/>
    <n v="230.94"/>
    <n v="128.11000000000001"/>
    <m/>
    <n v="6979.9320000000007"/>
    <n v="6979.9320000000007"/>
    <n v="5966.1360000000004"/>
    <n v="0"/>
    <n v="0"/>
    <n v="0"/>
    <n v="0"/>
    <n v="0"/>
    <n v="0"/>
    <n v="3781.0060942584005"/>
    <n v="2490.4787425055574"/>
    <n v="0"/>
    <n v="0"/>
    <n v="0"/>
    <n v="0"/>
    <n v="0"/>
    <n v="0"/>
    <m/>
    <n v="16.725940897779022"/>
    <n v="67.573832074019677"/>
    <n v="360.46883570965554"/>
    <n v="0"/>
    <n v="0"/>
    <n v="0"/>
    <n v="0"/>
    <n v="0"/>
    <n v="0"/>
    <n v="0"/>
    <n v="0"/>
    <n v="0"/>
    <n v="0"/>
    <m/>
    <n v="0"/>
    <n v="0"/>
    <n v="0"/>
    <n v="0"/>
    <n v="0"/>
    <n v="263.76912907063269"/>
    <n v="0"/>
    <n v="0"/>
    <n v="0"/>
    <n v="278.64999999999998"/>
    <n v="12"/>
    <m/>
    <m/>
    <m/>
    <m/>
    <m/>
    <m/>
    <m/>
    <n v="3877.8912"/>
    <m/>
    <n v="2754.2478715761899"/>
    <m/>
    <m/>
    <m/>
    <m/>
    <m/>
    <m/>
    <m/>
    <m/>
    <m/>
    <m/>
    <m/>
    <m/>
    <n v="2088.2448000000004"/>
    <n v="-354.80999999999995"/>
    <m/>
    <m/>
    <m/>
    <m/>
    <n v="-1127.7143999999998"/>
    <n v="113.91839999999972"/>
    <n v="31"/>
    <n v="155.25703762985677"/>
    <n v="4.932606616459509"/>
    <n v="26.312714692594795"/>
    <n v="0"/>
    <n v="0"/>
    <n v="0"/>
    <n v="0"/>
    <n v="0"/>
    <n v="0"/>
    <n v="0"/>
    <n v="0"/>
    <n v="113.90740196667548"/>
    <n v="0"/>
    <n v="0"/>
    <n v="0"/>
    <n v="12.064048449261406"/>
    <n v="0"/>
    <n v="0"/>
    <m/>
    <n v="0"/>
    <n v="0"/>
    <n v="0"/>
    <n v="0"/>
    <n v="0"/>
    <n v="-1.9597340951349143"/>
    <n v="0"/>
    <n v="0"/>
    <m/>
    <m/>
    <m/>
    <n v="3781.0060942584005"/>
    <n v="0"/>
    <n v="0"/>
    <n v="-1127.7143999999998"/>
    <n v="113.91839999999956"/>
    <n v="0"/>
    <n v="0"/>
    <n v="-1169.0905814466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1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2.780999999999999"/>
    <n v="42.780999999999999"/>
    <n v="42.780999999999999"/>
    <n v="42.780999999999999"/>
    <m/>
    <n v="230.94"/>
    <n v="128.11000000000001"/>
    <m/>
    <n v="15360.518049999999"/>
    <n v="15360.518049999999"/>
    <n v="13129.4889"/>
    <n v="0"/>
    <n v="0"/>
    <n v="0"/>
    <n v="0"/>
    <n v="0"/>
    <n v="0"/>
    <n v="8320.7418579459172"/>
    <n v="5480.7186771157531"/>
    <n v="0"/>
    <n v="0"/>
    <n v="0"/>
    <n v="0"/>
    <n v="0"/>
    <n v="0"/>
    <m/>
    <n v="36.808255017895284"/>
    <n v="148.70761882503271"/>
    <n v="793.27249282380512"/>
    <n v="0"/>
    <n v="0"/>
    <n v="0"/>
    <n v="0"/>
    <n v="0"/>
    <n v="0"/>
    <n v="0"/>
    <n v="0"/>
    <n v="0"/>
    <n v="0"/>
    <m/>
    <n v="0"/>
    <n v="0"/>
    <n v="0"/>
    <n v="0"/>
    <n v="0"/>
    <n v="580.46847277627239"/>
    <n v="0"/>
    <n v="0"/>
    <n v="0"/>
    <n v="1075.6300000000001"/>
    <n v="66"/>
    <m/>
    <m/>
    <m/>
    <m/>
    <m/>
    <m/>
    <m/>
    <n v="5251.7955600000005"/>
    <m/>
    <n v="6061.1871498920254"/>
    <m/>
    <m/>
    <m/>
    <m/>
    <m/>
    <m/>
    <m/>
    <m/>
    <m/>
    <m/>
    <m/>
    <m/>
    <n v="7877.5092000000004"/>
    <n v="-1339.2594399999998"/>
    <m/>
    <m/>
    <m/>
    <m/>
    <n v="-2481.7258099999995"/>
    <n v="250.69665999999935"/>
    <n v="31"/>
    <n v="341.66930693636186"/>
    <n v="10.855033110018212"/>
    <n v="57.905568274891948"/>
    <n v="0"/>
    <n v="0"/>
    <n v="0"/>
    <n v="0"/>
    <n v="0"/>
    <n v="0"/>
    <n v="0"/>
    <n v="0"/>
    <n v="250.67245697203361"/>
    <n v="0"/>
    <n v="0"/>
    <n v="0"/>
    <n v="26.548974110486256"/>
    <n v="0"/>
    <n v="0"/>
    <m/>
    <n v="0"/>
    <n v="0"/>
    <n v="0"/>
    <n v="0"/>
    <n v="0"/>
    <n v="-4.3127255310682457"/>
    <n v="0"/>
    <n v="0"/>
    <m/>
    <m/>
    <m/>
    <n v="8320.7418579459172"/>
    <n v="0"/>
    <n v="0"/>
    <n v="-2481.725809999999"/>
    <n v="250.69665999999961"/>
    <n v="0"/>
    <n v="0"/>
    <n v="-2572.7810784398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2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53.284999999999997"/>
    <n v="53.284999999999997"/>
    <n v="53.284999999999997"/>
    <n v="53.284999999999997"/>
    <m/>
    <n v="230.94"/>
    <n v="128.11000000000001"/>
    <m/>
    <n v="19131.97925"/>
    <n v="19131.97925"/>
    <n v="16353.166499999999"/>
    <n v="0"/>
    <n v="0"/>
    <n v="0"/>
    <n v="0"/>
    <n v="0"/>
    <n v="0"/>
    <n v="10363.729924514344"/>
    <n v="6826.3971087658756"/>
    <n v="0"/>
    <n v="0"/>
    <n v="0"/>
    <n v="0"/>
    <n v="0"/>
    <n v="0"/>
    <m/>
    <n v="45.845769585296047"/>
    <n v="185.2197346740812"/>
    <n v="988.04433697474235"/>
    <n v="0"/>
    <n v="0"/>
    <n v="0"/>
    <n v="0"/>
    <n v="0"/>
    <n v="0"/>
    <n v="0"/>
    <n v="0"/>
    <n v="0"/>
    <n v="0"/>
    <m/>
    <n v="0"/>
    <n v="0"/>
    <n v="0"/>
    <n v="0"/>
    <n v="0"/>
    <n v="722.99064004777063"/>
    <n v="0"/>
    <n v="0"/>
    <n v="0"/>
    <n v="3487.97"/>
    <n v="261"/>
    <m/>
    <m/>
    <m/>
    <m/>
    <m/>
    <m/>
    <m/>
    <n v="1635.3166500000011"/>
    <m/>
    <n v="7549.3877488136459"/>
    <m/>
    <m/>
    <m/>
    <m/>
    <m/>
    <m/>
    <m/>
    <m/>
    <m/>
    <m/>
    <m/>
    <m/>
    <n v="14719.230899999999"/>
    <n v="-2499.8468499999981"/>
    <m/>
    <m/>
    <m/>
    <m/>
    <n v="-3091.0628499999993"/>
    <n v="312.25009999999918"/>
    <n v="31"/>
    <n v="425.55922068451036"/>
    <n v="13.520264586319172"/>
    <n v="72.123096831014095"/>
    <n v="0"/>
    <n v="0"/>
    <n v="0"/>
    <n v="0"/>
    <n v="0"/>
    <n v="0"/>
    <n v="0"/>
    <n v="0"/>
    <n v="312.21995441328636"/>
    <n v="0"/>
    <n v="0"/>
    <n v="0"/>
    <n v="33.06753197628052"/>
    <n v="0"/>
    <n v="0"/>
    <m/>
    <n v="0"/>
    <n v="0"/>
    <n v="0"/>
    <n v="0"/>
    <n v="0"/>
    <n v="-5.371627122390116"/>
    <n v="0"/>
    <n v="0"/>
    <m/>
    <m/>
    <m/>
    <n v="10363.729924514344"/>
    <n v="0"/>
    <n v="0"/>
    <n v="-3091.0628500000003"/>
    <n v="312.25009999999929"/>
    <n v="0"/>
    <n v="0"/>
    <n v="-3204.474878209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3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40.997999999999998"/>
    <n v="40.997999999999998"/>
    <n v="40.997999999999998"/>
    <n v="40.997999999999998"/>
    <m/>
    <n v="230.94"/>
    <n v="128.11000000000001"/>
    <m/>
    <n v="14720.331900000001"/>
    <n v="14720.331900000001"/>
    <n v="12582.286199999999"/>
    <n v="0"/>
    <n v="0"/>
    <n v="0"/>
    <n v="0"/>
    <n v="0"/>
    <n v="0"/>
    <n v="7973.9551364406325"/>
    <n v="5252.2966813396515"/>
    <n v="0"/>
    <n v="0"/>
    <n v="0"/>
    <n v="0"/>
    <n v="0"/>
    <n v="0"/>
    <m/>
    <n v="35.274183381025942"/>
    <n v="142.50987486474583"/>
    <n v="760.21097358150485"/>
    <n v="0"/>
    <n v="0"/>
    <n v="0"/>
    <n v="0"/>
    <n v="0"/>
    <n v="0"/>
    <n v="0"/>
    <n v="0"/>
    <n v="0"/>
    <n v="0"/>
    <m/>
    <n v="0"/>
    <n v="0"/>
    <n v="0"/>
    <n v="0"/>
    <n v="0"/>
    <n v="556.27606757396074"/>
    <n v="0"/>
    <n v="0"/>
    <n v="0"/>
    <n v="4192.49"/>
    <n v="309"/>
    <m/>
    <m/>
    <m/>
    <m/>
    <m/>
    <m/>
    <m/>
    <m/>
    <m/>
    <n v="5808.5727489136125"/>
    <m/>
    <m/>
    <m/>
    <m/>
    <m/>
    <m/>
    <m/>
    <m/>
    <m/>
    <m/>
    <m/>
    <m/>
    <n v="12582.9"/>
    <n v="-2137.4619000000021"/>
    <m/>
    <m/>
    <m/>
    <m/>
    <n v="-2378.2939799999995"/>
    <n v="240.24827999999937"/>
    <n v="31"/>
    <n v="327.42942534716258"/>
    <n v="10.40262376860116"/>
    <n v="55.492215893364346"/>
    <n v="0"/>
    <n v="0"/>
    <n v="0"/>
    <n v="0"/>
    <n v="0"/>
    <n v="0"/>
    <n v="0"/>
    <n v="0"/>
    <n v="240.22508569083129"/>
    <n v="0"/>
    <n v="0"/>
    <n v="0"/>
    <n v="25.442482424013292"/>
    <n v="0"/>
    <n v="0"/>
    <m/>
    <n v="0"/>
    <n v="0"/>
    <n v="0"/>
    <n v="0"/>
    <n v="0"/>
    <n v="-4.132982429647182"/>
    <n v="0"/>
    <n v="0"/>
    <m/>
    <m/>
    <m/>
    <n v="7973.9551364406325"/>
    <n v="0"/>
    <n v="0"/>
    <n v="-2378.2939800000004"/>
    <n v="240.2482799999998"/>
    <n v="0"/>
    <n v="0"/>
    <n v="-2465.5543034028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4"/>
    <s v="Regular"/>
    <s v="Convencional"/>
    <s v="B3"/>
    <s v="Industrial"/>
    <s v="Não se aplica"/>
    <s v="Não se aplica"/>
    <s v="Não se aplica"/>
    <s v="Não se aplica"/>
    <s v="CATIVO"/>
    <x v="6"/>
    <n v="0"/>
    <n v="0"/>
    <n v="456.41500000000002"/>
    <n v="456.41500000000002"/>
    <n v="456.41500000000002"/>
    <n v="456.41500000000002"/>
    <m/>
    <n v="333.61"/>
    <n v="128.11000000000001"/>
    <m/>
    <n v="210735.93380000003"/>
    <n v="210735.93380000003"/>
    <n v="183948.93745"/>
    <n v="0"/>
    <n v="27939.923665398179"/>
    <n v="0"/>
    <n v="0"/>
    <n v="0"/>
    <n v="0"/>
    <n v="88770.982330810075"/>
    <n v="58471.803254149898"/>
    <n v="0"/>
    <n v="0"/>
    <n v="0"/>
    <n v="0"/>
    <n v="0"/>
    <n v="4314.8791363185746"/>
    <m/>
    <n v="392.6939462376447"/>
    <n v="1586.5077451678853"/>
    <n v="8463.1370190546513"/>
    <n v="0"/>
    <n v="0"/>
    <n v="0"/>
    <n v="0"/>
    <n v="0"/>
    <n v="0"/>
    <n v="0"/>
    <n v="0"/>
    <n v="0"/>
    <n v="0"/>
    <m/>
    <n v="0"/>
    <n v="0"/>
    <n v="0"/>
    <n v="0"/>
    <n v="0"/>
    <n v="6192.8079755541567"/>
    <n v="0"/>
    <n v="0"/>
    <n v="0"/>
    <n v="82918.149999999994"/>
    <n v="227"/>
    <m/>
    <m/>
    <m/>
    <m/>
    <m/>
    <m/>
    <m/>
    <m/>
    <m/>
    <n v="64664.611229704053"/>
    <m/>
    <m/>
    <m/>
    <m/>
    <m/>
    <m/>
    <m/>
    <m/>
    <m/>
    <m/>
    <m/>
    <m/>
    <n v="183950.95260000002"/>
    <n v="-26785.011200000037"/>
    <m/>
    <m/>
    <m/>
    <m/>
    <n v="-29461.588250000008"/>
    <n v="2674.5918999999935"/>
    <n v="31"/>
    <n v="657.74736771226162"/>
    <n v="115.80841815079043"/>
    <n v="617.77354302575441"/>
    <n v="0"/>
    <n v="0"/>
    <n v="0"/>
    <n v="0"/>
    <n v="0"/>
    <n v="0"/>
    <n v="0"/>
    <n v="0"/>
    <n v="2674.33368665741"/>
    <n v="0"/>
    <n v="0"/>
    <n v="0"/>
    <n v="283.24139264247151"/>
    <n v="0"/>
    <n v="-2642.8704196006584"/>
    <m/>
    <n v="0"/>
    <n v="0"/>
    <n v="0"/>
    <n v="0"/>
    <n v="-344.52834590885504"/>
    <n v="-46.010907254681172"/>
    <n v="0"/>
    <n v="0"/>
    <m/>
    <m/>
    <m/>
    <n v="88770.982330810075"/>
    <n v="0"/>
    <n v="0"/>
    <n v="-29461.588250000015"/>
    <n v="2674.5918999999994"/>
    <n v="0"/>
    <n v="0"/>
    <n v="-27448.069842128782"/>
    <n v="0"/>
    <n v="0"/>
    <n v="0"/>
    <n v="0"/>
    <n v="0"/>
    <n v="0"/>
    <n v="0"/>
    <n v="0"/>
    <n v="0"/>
    <n v="0"/>
    <n v="0"/>
    <n v="0"/>
    <n v="14604.60215423006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5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840.49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31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6"/>
    <s v="Regular"/>
    <s v="Azul"/>
    <s v="A3"/>
    <s v="Industrial"/>
    <s v="Não se aplica"/>
    <s v="Não se aplica"/>
    <s v="Não se aplica"/>
    <s v="Ponta"/>
    <s v="CATIVO"/>
    <x v="6"/>
    <n v="2477"/>
    <n v="2477"/>
    <n v="97.435000000000002"/>
    <n v="97.435000000000002"/>
    <n v="97.435000000000002"/>
    <n v="97.435000000000002"/>
    <n v="28.46"/>
    <n v="75.12"/>
    <n v="128.11000000000001"/>
    <n v="70495.42"/>
    <n v="19801.715050000003"/>
    <n v="90297.135050000012"/>
    <n v="73806.053599999999"/>
    <n v="0"/>
    <n v="3996.2725365435131"/>
    <n v="0"/>
    <n v="0"/>
    <n v="0"/>
    <n v="0"/>
    <n v="56951.103369710334"/>
    <n v="12482.499808437706"/>
    <n v="0"/>
    <n v="0"/>
    <n v="0"/>
    <n v="0"/>
    <n v="0"/>
    <n v="921.13591500542327"/>
    <m/>
    <n v="23.847800846310772"/>
    <n v="2039.2421690755602"/>
    <n v="11495.603863067072"/>
    <n v="0"/>
    <n v="0"/>
    <n v="0"/>
    <n v="0"/>
    <n v="0"/>
    <n v="0"/>
    <n v="0"/>
    <n v="0"/>
    <n v="0"/>
    <n v="0"/>
    <m/>
    <n v="0"/>
    <n v="0"/>
    <n v="0"/>
    <n v="0"/>
    <n v="0"/>
    <n v="289.12675319604159"/>
    <n v="0"/>
    <n v="0"/>
    <n v="0"/>
    <n v="0"/>
    <n v="0"/>
    <m/>
    <m/>
    <m/>
    <m/>
    <m/>
    <m/>
    <m/>
    <m/>
    <m/>
    <n v="12771.626561633748"/>
    <m/>
    <m/>
    <m/>
    <m/>
    <m/>
    <m/>
    <m/>
    <m/>
    <m/>
    <m/>
    <m/>
    <m/>
    <n v="73807.076400000005"/>
    <n v="-16490.088649999991"/>
    <m/>
    <m/>
    <m/>
    <m/>
    <n v="-17062.050550000004"/>
    <n v="570.96909999999855"/>
    <n v="31"/>
    <n v="1117.7689802033346"/>
    <n v="148.85613420187406"/>
    <n v="839.1309170249333"/>
    <n v="0"/>
    <n v="0"/>
    <n v="0"/>
    <n v="0"/>
    <n v="0"/>
    <n v="0"/>
    <n v="0"/>
    <n v="0"/>
    <n v="570.9139768838977"/>
    <n v="0"/>
    <n v="0"/>
    <n v="0"/>
    <n v="13.223833929411001"/>
    <n v="0"/>
    <n v="-378.01214498568606"/>
    <m/>
    <n v="0"/>
    <n v="0"/>
    <n v="0"/>
    <n v="0"/>
    <n v="-73.549553331133325"/>
    <n v="-2.7941835199661575"/>
    <n v="0"/>
    <n v="0"/>
    <m/>
    <m/>
    <n v="56951.103369710334"/>
    <n v="0"/>
    <n v="0"/>
    <n v="0"/>
    <n v="-17062.05055"/>
    <n v="570.96909999999843"/>
    <n v="0"/>
    <n v="0"/>
    <n v="-17609.333836734506"/>
    <n v="0"/>
    <n v="0"/>
    <n v="0"/>
    <n v="0"/>
    <n v="0"/>
    <n v="0"/>
    <n v="0"/>
    <n v="0"/>
    <n v="0"/>
    <n v="0"/>
    <n v="0"/>
    <n v="0"/>
    <n v="2088.909447106830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7"/>
    <s v="Regular"/>
    <s v="Azul"/>
    <s v="A3"/>
    <s v="Industrial"/>
    <s v="Não se aplica"/>
    <s v="Não se aplica"/>
    <s v="Não se aplica"/>
    <s v="Fora ponta"/>
    <s v="CATIVO"/>
    <x v="6"/>
    <n v="2500"/>
    <n v="2500"/>
    <n v="954.22400000000005"/>
    <n v="954.22400000000005"/>
    <n v="954.22400000000005"/>
    <n v="954.22400000000005"/>
    <n v="9.92"/>
    <n v="75.12"/>
    <n v="128.11000000000001"/>
    <n v="24800"/>
    <n v="193926.94352000003"/>
    <n v="218726.94352000003"/>
    <n v="217096.06144000002"/>
    <n v="0"/>
    <n v="39137.262430447961"/>
    <n v="0"/>
    <n v="0"/>
    <n v="0"/>
    <n v="0"/>
    <n v="12300.546167828574"/>
    <n v="122246.63516402381"/>
    <n v="0"/>
    <n v="0"/>
    <n v="0"/>
    <n v="0"/>
    <n v="0"/>
    <n v="9021.0909566391456"/>
    <m/>
    <n v="233.55204920993535"/>
    <n v="1858.1087599355999"/>
    <n v="10633.863386614099"/>
    <n v="0"/>
    <n v="0"/>
    <n v="0"/>
    <n v="0"/>
    <n v="0"/>
    <n v="0"/>
    <n v="0"/>
    <n v="0"/>
    <n v="0"/>
    <n v="0"/>
    <m/>
    <n v="0"/>
    <n v="0"/>
    <n v="0"/>
    <n v="0"/>
    <n v="0"/>
    <n v="2831.5460249575576"/>
    <n v="0"/>
    <n v="0"/>
    <n v="0"/>
    <n v="0"/>
    <n v="0"/>
    <m/>
    <m/>
    <m/>
    <m/>
    <m/>
    <m/>
    <m/>
    <m/>
    <m/>
    <n v="125078.18118898137"/>
    <m/>
    <m/>
    <m/>
    <m/>
    <m/>
    <m/>
    <m/>
    <m/>
    <m/>
    <m/>
    <m/>
    <m/>
    <n v="217095.24320000003"/>
    <n v="-1631.7303200000024"/>
    <m/>
    <m/>
    <m/>
    <m/>
    <n v="-7222.6347200000018"/>
    <n v="5591.7526399999861"/>
    <n v="31"/>
    <n v="2182.8733928232105"/>
    <n v="135.63415425841004"/>
    <n v="776.22747281642478"/>
    <n v="0"/>
    <n v="0"/>
    <n v="0"/>
    <n v="0"/>
    <n v="0"/>
    <n v="0"/>
    <n v="0"/>
    <n v="0"/>
    <n v="5591.2127949716378"/>
    <n v="0"/>
    <n v="0"/>
    <n v="0"/>
    <n v="129.50684771856413"/>
    <n v="0"/>
    <n v="-3702.0399346930935"/>
    <m/>
    <n v="0"/>
    <n v="0"/>
    <n v="0"/>
    <n v="0"/>
    <n v="-720.30326861854155"/>
    <n v="-27.364673630175901"/>
    <n v="0"/>
    <n v="0"/>
    <m/>
    <m/>
    <n v="12300.546167828574"/>
    <n v="0"/>
    <n v="0"/>
    <n v="0"/>
    <n v="-7222.6347200000018"/>
    <n v="5591.752639999977"/>
    <n v="0"/>
    <n v="0"/>
    <n v="-3803.3402520285745"/>
    <n v="0"/>
    <n v="0"/>
    <n v="0"/>
    <n v="0"/>
    <n v="0"/>
    <n v="0"/>
    <n v="0"/>
    <n v="0"/>
    <n v="0"/>
    <n v="0"/>
    <n v="0"/>
    <n v="0"/>
    <n v="20457.61305748518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88"/>
    <s v="Regular"/>
    <s v="Azul"/>
    <s v="A3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9870.1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89"/>
    <s v="Regular"/>
    <s v="Azul"/>
    <s v="A4"/>
    <s v="Industrial"/>
    <s v="Não se aplica"/>
    <s v="Não se aplica"/>
    <s v="Não se aplica"/>
    <s v="Ponta"/>
    <s v="CATIVO"/>
    <x v="6"/>
    <n v="6176"/>
    <n v="6176"/>
    <n v="373.58699999999999"/>
    <n v="373.58699999999999"/>
    <n v="373.58699999999999"/>
    <n v="373.58699999999999"/>
    <n v="52.19"/>
    <n v="96.28"/>
    <n v="128.11000000000001"/>
    <n v="322325.44"/>
    <n v="83829.186929999996"/>
    <n v="406154.62693000003"/>
    <n v="319475.22368000005"/>
    <n v="0"/>
    <n v="19896.482955807875"/>
    <n v="0"/>
    <n v="0"/>
    <n v="0"/>
    <n v="0"/>
    <n v="288627.00096055516"/>
    <n v="47860.621500844834"/>
    <n v="0"/>
    <n v="0"/>
    <n v="0"/>
    <n v="0"/>
    <n v="0"/>
    <n v="3531.8356142980556"/>
    <m/>
    <n v="183.65561303729626"/>
    <n v="5333.7766235725221"/>
    <n v="28374.298386829785"/>
    <n v="0"/>
    <n v="0"/>
    <n v="0"/>
    <n v="0"/>
    <n v="0"/>
    <n v="0"/>
    <n v="0"/>
    <n v="0"/>
    <n v="0"/>
    <n v="0"/>
    <m/>
    <n v="0"/>
    <n v="0"/>
    <n v="0"/>
    <n v="0"/>
    <n v="0"/>
    <n v="1957.078579392125"/>
    <n v="0"/>
    <n v="0"/>
    <n v="0"/>
    <n v="0"/>
    <n v="0"/>
    <m/>
    <m/>
    <m/>
    <m/>
    <m/>
    <m/>
    <m/>
    <m/>
    <m/>
    <n v="49817.700080236958"/>
    <m/>
    <m/>
    <m/>
    <m/>
    <m/>
    <m/>
    <m/>
    <m/>
    <m/>
    <m/>
    <m/>
    <m/>
    <n v="319475.89760000003"/>
    <n v="-86678.75933000003"/>
    <m/>
    <m/>
    <m/>
    <m/>
    <n v="-88868.623069999987"/>
    <n v="2189.2198199999943"/>
    <n v="31"/>
    <n v="2553.5126179850922"/>
    <n v="389.34334573968408"/>
    <n v="2071.2048978805797"/>
    <n v="0"/>
    <n v="0"/>
    <n v="0"/>
    <n v="0"/>
    <n v="0"/>
    <n v="0"/>
    <n v="0"/>
    <n v="0"/>
    <n v="2189.0084659734712"/>
    <n v="0"/>
    <n v="0"/>
    <n v="0"/>
    <n v="89.51119823608451"/>
    <n v="0"/>
    <n v="-1882.0318511863334"/>
    <m/>
    <n v="0"/>
    <n v="0"/>
    <n v="0"/>
    <n v="0"/>
    <n v="-282.00499800193074"/>
    <n v="-21.518440656446614"/>
    <n v="0"/>
    <n v="0"/>
    <m/>
    <m/>
    <n v="288627.00096055516"/>
    <n v="0"/>
    <n v="0"/>
    <n v="0"/>
    <n v="-88868.623069999972"/>
    <n v="2189.2198199999912"/>
    <n v="0"/>
    <n v="0"/>
    <n v="-89243.735651890602"/>
    <n v="0"/>
    <n v="0"/>
    <n v="0"/>
    <n v="0"/>
    <n v="0"/>
    <n v="0"/>
    <n v="0"/>
    <n v="0"/>
    <n v="0"/>
    <n v="0"/>
    <n v="0"/>
    <n v="0"/>
    <n v="10400.179374786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0"/>
    <s v="Regular"/>
    <s v="Azul"/>
    <s v="A4"/>
    <s v="Industrial"/>
    <s v="Não se aplica"/>
    <s v="Não se aplica"/>
    <s v="Não se aplica"/>
    <s v="Fora ponta"/>
    <s v="CATIVO"/>
    <x v="6"/>
    <n v="6633"/>
    <n v="6633"/>
    <n v="3365.5079999999998"/>
    <n v="3365.5079999999998"/>
    <n v="3365.5079999999998"/>
    <n v="3365.5079999999998"/>
    <n v="18.12"/>
    <n v="96.28"/>
    <n v="128.11000000000001"/>
    <n v="120189.96"/>
    <n v="755186.34012000007"/>
    <n v="875376.30012000003"/>
    <n v="851874.56712000002"/>
    <n v="0"/>
    <n v="179240.10353581639"/>
    <n v="0"/>
    <n v="0"/>
    <n v="0"/>
    <n v="0"/>
    <n v="86619.937863207117"/>
    <n v="431158.75163232471"/>
    <n v="0"/>
    <n v="0"/>
    <n v="0"/>
    <n v="0"/>
    <n v="0"/>
    <n v="31817.009196264917"/>
    <m/>
    <n v="1654.4859294405983"/>
    <n v="5272.3754425968509"/>
    <n v="28265.342457323921"/>
    <n v="0"/>
    <n v="0"/>
    <n v="0"/>
    <n v="0"/>
    <n v="0"/>
    <n v="0"/>
    <n v="0"/>
    <n v="0"/>
    <n v="0"/>
    <n v="0"/>
    <m/>
    <n v="0"/>
    <n v="0"/>
    <n v="0"/>
    <n v="0"/>
    <n v="0"/>
    <n v="17630.60174891747"/>
    <n v="0"/>
    <n v="0"/>
    <n v="0"/>
    <n v="0"/>
    <n v="0"/>
    <m/>
    <m/>
    <m/>
    <m/>
    <m/>
    <m/>
    <m/>
    <m/>
    <m/>
    <n v="448789.3533812422"/>
    <m/>
    <m/>
    <m/>
    <m/>
    <m/>
    <m/>
    <m/>
    <m/>
    <m/>
    <m/>
    <m/>
    <m/>
    <n v="851875.01640000008"/>
    <n v="-23501.313719999976"/>
    <m/>
    <m/>
    <m/>
    <m/>
    <n v="-43223.609880000004"/>
    <n v="19721.876879999949"/>
    <n v="31"/>
    <n v="3285.594775116886"/>
    <n v="384.86131679085065"/>
    <n v="2063.2515715368318"/>
    <n v="0"/>
    <n v="0"/>
    <n v="0"/>
    <n v="0"/>
    <n v="0"/>
    <n v="0"/>
    <n v="0"/>
    <n v="0"/>
    <n v="19719.972869241843"/>
    <n v="0"/>
    <n v="0"/>
    <n v="0"/>
    <n v="806.37349199283926"/>
    <n v="0"/>
    <n v="-16954.533352130587"/>
    <m/>
    <n v="0"/>
    <n v="0"/>
    <n v="0"/>
    <n v="0"/>
    <n v="-2540.479397879164"/>
    <n v="-193.85172443579768"/>
    <n v="0"/>
    <n v="0"/>
    <m/>
    <m/>
    <n v="86619.937863207117"/>
    <n v="0"/>
    <n v="0"/>
    <n v="0"/>
    <n v="-43223.609880000062"/>
    <n v="19721.876879999996"/>
    <n v="0"/>
    <n v="0"/>
    <n v="-26782.964903216824"/>
    <n v="0"/>
    <n v="0"/>
    <n v="0"/>
    <n v="0"/>
    <n v="0"/>
    <n v="0"/>
    <n v="0"/>
    <n v="0"/>
    <n v="0"/>
    <n v="0"/>
    <n v="0"/>
    <n v="0"/>
    <n v="93691.39420611559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1"/>
    <s v="Regular"/>
    <s v="Azul"/>
    <s v="A4"/>
    <s v="Industr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292"/>
    <s v="Regular"/>
    <s v="Verde"/>
    <s v="A4"/>
    <s v="Industrial"/>
    <s v="Não se aplica"/>
    <s v="Não se aplica"/>
    <s v="Não se aplica"/>
    <s v="Ponta"/>
    <s v="CATIVO"/>
    <x v="6"/>
    <n v="0"/>
    <n v="0"/>
    <n v="860.54499999999996"/>
    <n v="860.54499999999996"/>
    <n v="860.54499999999996"/>
    <n v="860.54499999999996"/>
    <m/>
    <n v="1351.49"/>
    <n v="128.11000000000001"/>
    <m/>
    <n v="1273262.382"/>
    <n v="1273262.382"/>
    <n v="982664.94094999996"/>
    <n v="0"/>
    <n v="45830.87453579939"/>
    <n v="0"/>
    <n v="0"/>
    <n v="0"/>
    <n v="0"/>
    <n v="967204.93243372522"/>
    <n v="110245.32044595909"/>
    <n v="0"/>
    <n v="0"/>
    <n v="0"/>
    <n v="0"/>
    <n v="0"/>
    <n v="8135.4637037855182"/>
    <m/>
    <n v="423.04448367095245"/>
    <n v="17875.696065287044"/>
    <n v="95083.404836494621"/>
    <n v="0"/>
    <n v="0"/>
    <n v="0"/>
    <n v="0"/>
    <n v="0"/>
    <n v="0"/>
    <n v="0"/>
    <n v="0"/>
    <n v="0"/>
    <n v="0"/>
    <m/>
    <n v="0"/>
    <n v="0"/>
    <n v="0"/>
    <n v="0"/>
    <n v="0"/>
    <n v="4508.0642155722662"/>
    <n v="0"/>
    <n v="0"/>
    <n v="0"/>
    <n v="0"/>
    <n v="0"/>
    <m/>
    <m/>
    <m/>
    <m/>
    <m/>
    <m/>
    <m/>
    <m/>
    <m/>
    <n v="114753.38466153135"/>
    <m/>
    <m/>
    <m/>
    <m/>
    <m/>
    <m/>
    <m/>
    <m/>
    <m/>
    <m/>
    <m/>
    <m/>
    <n v="982670.65049999999"/>
    <n v="-290591.76150000002"/>
    <m/>
    <m/>
    <m/>
    <m/>
    <n v="-295640.23474999995"/>
    <n v="5042.7936999999874"/>
    <n v="31"/>
    <n v="8459.6813703017542"/>
    <n v="1304.8509160893409"/>
    <n v="6940.6901668421488"/>
    <n v="0"/>
    <n v="0"/>
    <n v="0"/>
    <n v="0"/>
    <n v="0"/>
    <n v="0"/>
    <n v="0"/>
    <n v="0"/>
    <n v="5042.3068531590834"/>
    <n v="0"/>
    <n v="0"/>
    <n v="0"/>
    <n v="206.18601312698593"/>
    <n v="0"/>
    <n v="-4335.1966192055479"/>
    <m/>
    <n v="0"/>
    <n v="0"/>
    <n v="0"/>
    <n v="0"/>
    <n v="-649.58896055154946"/>
    <n v="-49.566999158701606"/>
    <n v="0"/>
    <n v="0"/>
    <m/>
    <m/>
    <m/>
    <n v="967204.93243372522"/>
    <n v="0"/>
    <n v="0"/>
    <n v="-295640.23474999995"/>
    <n v="5042.7936999999802"/>
    <n v="0"/>
    <n v="0"/>
    <n v="-299060.65968899487"/>
    <n v="0"/>
    <n v="0"/>
    <n v="0"/>
    <n v="0"/>
    <n v="0"/>
    <n v="0"/>
    <n v="0"/>
    <n v="0"/>
    <n v="0"/>
    <n v="0"/>
    <n v="0"/>
    <n v="0"/>
    <n v="23956.4609048921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3"/>
    <s v="Regular"/>
    <s v="Verde"/>
    <s v="A4"/>
    <s v="Industrial"/>
    <s v="Não se aplica"/>
    <s v="Não se aplica"/>
    <s v="Não se aplica"/>
    <s v="Fora ponta"/>
    <s v="CATIVO"/>
    <x v="6"/>
    <n v="0"/>
    <n v="0"/>
    <n v="14615.763000000001"/>
    <n v="14615.763000000001"/>
    <n v="14615.763000000001"/>
    <n v="14615.763000000001"/>
    <m/>
    <n v="96.28"/>
    <n v="128.11000000000001"/>
    <m/>
    <n v="3279631.0595700005"/>
    <n v="3279631.0595700005"/>
    <n v="3283285.0003200001"/>
    <n v="0"/>
    <n v="778405.77808014571"/>
    <n v="0"/>
    <n v="0"/>
    <n v="0"/>
    <n v="0"/>
    <n v="0"/>
    <n v="1872440.6922324719"/>
    <n v="0"/>
    <n v="0"/>
    <n v="0"/>
    <n v="0"/>
    <n v="0"/>
    <n v="138175.23707607546"/>
    <m/>
    <n v="7185.11863039354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566.359880755976"/>
    <n v="0"/>
    <n v="0"/>
    <n v="0"/>
    <n v="0"/>
    <n v="0"/>
    <m/>
    <m/>
    <m/>
    <m/>
    <m/>
    <m/>
    <m/>
    <m/>
    <m/>
    <n v="1949007.0521132278"/>
    <m/>
    <m/>
    <m/>
    <m/>
    <m/>
    <m/>
    <m/>
    <m/>
    <m/>
    <m/>
    <m/>
    <m/>
    <n v="3283284.3264000001"/>
    <n v="3653.2368300003"/>
    <m/>
    <m/>
    <m/>
    <m/>
    <n v="-81994.430429999993"/>
    <n v="85648.371179999784"/>
    <n v="31"/>
    <n v="3637.0250120046549"/>
    <n v="0"/>
    <n v="0"/>
    <n v="0"/>
    <n v="0"/>
    <n v="0"/>
    <n v="0"/>
    <n v="0"/>
    <n v="0"/>
    <n v="0"/>
    <n v="0"/>
    <n v="85640.102422358934"/>
    <n v="0"/>
    <n v="0"/>
    <n v="0"/>
    <n v="3501.9271528844256"/>
    <n v="0"/>
    <n v="-73630.323044941993"/>
    <m/>
    <n v="0"/>
    <n v="0"/>
    <n v="0"/>
    <n v="0"/>
    <n v="-11032.82024163501"/>
    <n v="-841.86127666162974"/>
    <n v="0"/>
    <n v="0"/>
    <m/>
    <m/>
    <m/>
    <n v="0"/>
    <n v="0"/>
    <n v="0"/>
    <n v="-81994.430429999949"/>
    <n v="85648.371179999784"/>
    <n v="0"/>
    <n v="0"/>
    <n v="0"/>
    <n v="0"/>
    <n v="0"/>
    <n v="0"/>
    <n v="0"/>
    <n v="0"/>
    <n v="0"/>
    <n v="0"/>
    <n v="0"/>
    <n v="0"/>
    <n v="0"/>
    <n v="0"/>
    <n v="0"/>
    <n v="406883.9571488639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4"/>
    <s v="Regular"/>
    <s v="Verde"/>
    <s v="A4"/>
    <s v="Industrial"/>
    <s v="Não se aplica"/>
    <s v="Não se aplica"/>
    <s v="Não se aplica"/>
    <s v="Não se aplica"/>
    <s v="CATIVO"/>
    <x v="6"/>
    <n v="51344"/>
    <n v="51344"/>
    <n v="0"/>
    <n v="0"/>
    <n v="0"/>
    <n v="0"/>
    <n v="18.12"/>
    <m/>
    <m/>
    <n v="930353.28"/>
    <m/>
    <n v="930353.28"/>
    <n v="741920.79999999993"/>
    <n v="0"/>
    <n v="0"/>
    <n v="0"/>
    <n v="0"/>
    <n v="0"/>
    <n v="0"/>
    <n v="670498.12899871939"/>
    <m/>
    <m/>
    <m/>
    <n v="0"/>
    <n v="0"/>
    <n v="0"/>
    <n v="0"/>
    <m/>
    <n v="0"/>
    <n v="40811.826432186448"/>
    <n v="218793.26747004967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04335.89"/>
    <n v="98"/>
    <m/>
    <m/>
    <m/>
    <m/>
    <m/>
    <m/>
    <m/>
    <m/>
    <m/>
    <n v="0"/>
    <m/>
    <m/>
    <m/>
    <m/>
    <m/>
    <m/>
    <m/>
    <m/>
    <m/>
    <m/>
    <m/>
    <m/>
    <n v="741920.79999999993"/>
    <n v="-188432.51000000013"/>
    <m/>
    <m/>
    <m/>
    <m/>
    <n v="-188432.4800000001"/>
    <n v="0"/>
    <n v="31"/>
    <n v="18950.084145680157"/>
    <n v="2979.0923336815104"/>
    <n v="15970.991811998654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70498.12899871939"/>
    <m/>
    <n v="0"/>
    <n v="0"/>
    <n v="-188432.4800000001"/>
    <m/>
    <n v="0"/>
    <m/>
    <n v="-207318.64163889101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295"/>
    <s v="Regular"/>
    <s v="Convencional"/>
    <s v="B3"/>
    <s v="Comercial"/>
    <s v="Não se aplica"/>
    <s v="Não se aplica"/>
    <s v="Não se aplica"/>
    <s v="Não se aplica"/>
    <s v="CATIVO"/>
    <x v="6"/>
    <n v="0"/>
    <n v="0"/>
    <n v="1348.3889999999999"/>
    <n v="1348.3889999999999"/>
    <n v="1348.3889999999999"/>
    <n v="1348.3889999999999"/>
    <m/>
    <n v="333.61"/>
    <n v="128.11000000000001"/>
    <m/>
    <n v="622578.16908000002"/>
    <n v="622578.16908000002"/>
    <n v="543441.21866999997"/>
    <n v="0"/>
    <n v="82543.049048043074"/>
    <n v="0"/>
    <n v="0"/>
    <n v="0"/>
    <n v="0"/>
    <n v="262256.53428142954"/>
    <n v="172743.52577820607"/>
    <n v="0"/>
    <n v="0"/>
    <n v="0"/>
    <n v="0"/>
    <n v="0"/>
    <n v="12747.467904739033"/>
    <m/>
    <n v="1160.1375885398845"/>
    <n v="4687.027358871158"/>
    <n v="25002.685849470505"/>
    <n v="0"/>
    <n v="0"/>
    <n v="0"/>
    <n v="0"/>
    <n v="0"/>
    <n v="0"/>
    <n v="0"/>
    <n v="0"/>
    <n v="0"/>
    <n v="0"/>
    <m/>
    <n v="0"/>
    <n v="0"/>
    <n v="0"/>
    <n v="0"/>
    <n v="0"/>
    <n v="18295.44198448669"/>
    <n v="0"/>
    <n v="0"/>
    <n v="0"/>
    <n v="243229.44"/>
    <n v="1666"/>
    <m/>
    <m/>
    <m/>
    <m/>
    <m/>
    <m/>
    <m/>
    <m/>
    <m/>
    <n v="191038.96776269274"/>
    <m/>
    <m/>
    <m/>
    <m/>
    <m/>
    <m/>
    <m/>
    <m/>
    <m/>
    <m/>
    <m/>
    <m/>
    <n v="543441.62170000002"/>
    <n v="-79136.577380000032"/>
    <m/>
    <m/>
    <m/>
    <m/>
    <n v="-87038.509950000007"/>
    <n v="7901.5595399999793"/>
    <n v="31"/>
    <n v="1943.1861691708909"/>
    <n v="342.13335920582358"/>
    <n v="1825.0913092403935"/>
    <n v="0"/>
    <n v="0"/>
    <n v="0"/>
    <n v="0"/>
    <n v="0"/>
    <n v="0"/>
    <n v="0"/>
    <n v="0"/>
    <n v="7900.7966990968562"/>
    <n v="0"/>
    <n v="0"/>
    <n v="0"/>
    <n v="836.78139014666522"/>
    <n v="0"/>
    <n v="-7807.8446199509344"/>
    <m/>
    <n v="0"/>
    <n v="0"/>
    <n v="0"/>
    <n v="0"/>
    <n v="-1017.8417269627316"/>
    <n v="-135.93024160518871"/>
    <n v="0"/>
    <n v="0"/>
    <m/>
    <m/>
    <m/>
    <n v="262256.53428142954"/>
    <n v="0"/>
    <n v="0"/>
    <n v="-87038.509950000036"/>
    <n v="7901.5595399999875"/>
    <n v="0"/>
    <n v="0"/>
    <n v="-81089.962964315782"/>
    <n v="0"/>
    <n v="0"/>
    <n v="0"/>
    <n v="0"/>
    <n v="0"/>
    <n v="0"/>
    <n v="0"/>
    <n v="0"/>
    <n v="0"/>
    <n v="0"/>
    <n v="0"/>
    <n v="0"/>
    <n v="43146.44543702578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6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.5609999999999999"/>
    <n v="1.5609999999999999"/>
    <n v="1.5609999999999999"/>
    <n v="1.5609999999999999"/>
    <m/>
    <n v="333.61"/>
    <n v="128.11000000000001"/>
    <m/>
    <n v="720.74492000000009"/>
    <n v="720.74492000000009"/>
    <n v="629.12982999999997"/>
    <n v="0"/>
    <n v="95.558254749923989"/>
    <n v="0"/>
    <n v="0"/>
    <n v="0"/>
    <n v="0"/>
    <n v="303.60856549060509"/>
    <n v="199.98134346971065"/>
    <n v="0"/>
    <n v="0"/>
    <n v="0"/>
    <n v="0"/>
    <n v="0"/>
    <n v="14.757460494929601"/>
    <m/>
    <n v="1.3430655216786551"/>
    <n v="5.4260674828983904"/>
    <n v="28.945054143146717"/>
    <n v="0"/>
    <n v="0"/>
    <n v="0"/>
    <n v="0"/>
    <n v="0"/>
    <n v="0"/>
    <n v="0"/>
    <n v="0"/>
    <n v="0"/>
    <n v="0"/>
    <m/>
    <n v="0"/>
    <n v="0"/>
    <n v="0"/>
    <n v="0"/>
    <n v="0"/>
    <n v="21.180226876505017"/>
    <n v="0"/>
    <n v="0"/>
    <n v="0"/>
    <n v="1325.82"/>
    <n v="7"/>
    <m/>
    <m/>
    <m/>
    <m/>
    <m/>
    <m/>
    <m/>
    <m/>
    <m/>
    <n v="221.16157034621568"/>
    <m/>
    <m/>
    <m/>
    <m/>
    <m/>
    <m/>
    <m/>
    <m/>
    <m/>
    <m/>
    <m/>
    <m/>
    <n v="628.72680000000003"/>
    <n v="-92.04812000000004"/>
    <m/>
    <m/>
    <m/>
    <m/>
    <n v="-100.76255000000002"/>
    <n v="9.1474599999999757"/>
    <n v="31"/>
    <n v="2.2495834733712741"/>
    <n v="0.39608019178463483"/>
    <n v="2.1128676767047629"/>
    <n v="0"/>
    <n v="0"/>
    <n v="0"/>
    <n v="0"/>
    <n v="0"/>
    <n v="0"/>
    <n v="0"/>
    <n v="0"/>
    <n v="9.1465768760277513"/>
    <n v="0"/>
    <n v="0"/>
    <n v="0"/>
    <n v="0.96872323195972498"/>
    <n v="0"/>
    <n v="-9.0389683182994247"/>
    <m/>
    <n v="0"/>
    <n v="0"/>
    <n v="0"/>
    <n v="0"/>
    <n v="-1.1783327628665194"/>
    <n v="-0.15736342193958874"/>
    <n v="0"/>
    <n v="0"/>
    <m/>
    <m/>
    <m/>
    <n v="303.60856549060509"/>
    <n v="0"/>
    <n v="0"/>
    <n v="-100.76255000000003"/>
    <n v="9.1474599999999668"/>
    <n v="0"/>
    <n v="0"/>
    <n v="-93.876049261227223"/>
    <n v="0"/>
    <n v="0"/>
    <n v="0"/>
    <n v="0"/>
    <n v="0"/>
    <n v="0"/>
    <n v="0"/>
    <n v="0"/>
    <n v="0"/>
    <n v="0"/>
    <n v="0"/>
    <n v="0"/>
    <n v="49.94968167731808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7"/>
    <s v="Regular"/>
    <s v="Verde"/>
    <s v="A4"/>
    <s v="Comercial"/>
    <s v="Não se aplica"/>
    <s v="Não se aplica"/>
    <s v="Não se aplica"/>
    <s v="Ponta"/>
    <s v="CATIVO"/>
    <x v="6"/>
    <n v="0"/>
    <n v="0"/>
    <n v="40.914999999999999"/>
    <n v="40.914999999999999"/>
    <n v="40.914999999999999"/>
    <n v="40.914999999999999"/>
    <m/>
    <n v="1351.49"/>
    <n v="128.11000000000001"/>
    <m/>
    <n v="60537.834000000003"/>
    <n v="60537.834000000003"/>
    <n v="46721.247650000005"/>
    <n v="0"/>
    <n v="2179.0495925631221"/>
    <n v="0"/>
    <n v="0"/>
    <n v="0"/>
    <n v="0"/>
    <n v="45986.194574979658"/>
    <n v="5241.6634644863616"/>
    <n v="0"/>
    <n v="0"/>
    <n v="0"/>
    <n v="0"/>
    <n v="0"/>
    <n v="386.80428965409652"/>
    <m/>
    <n v="20.11384070489866"/>
    <n v="849.90802864605507"/>
    <n v="4520.7833511149065"/>
    <n v="0"/>
    <n v="0"/>
    <n v="0"/>
    <n v="0"/>
    <n v="0"/>
    <n v="0"/>
    <n v="0"/>
    <n v="0"/>
    <n v="0"/>
    <n v="0"/>
    <m/>
    <n v="0"/>
    <n v="0"/>
    <n v="0"/>
    <n v="0"/>
    <n v="0"/>
    <n v="214.33794558115991"/>
    <n v="0"/>
    <n v="0"/>
    <n v="0"/>
    <n v="0"/>
    <n v="0"/>
    <m/>
    <m/>
    <m/>
    <m/>
    <m/>
    <m/>
    <m/>
    <m/>
    <m/>
    <n v="5456.0014100675216"/>
    <m/>
    <m/>
    <m/>
    <m/>
    <m/>
    <m/>
    <m/>
    <m/>
    <m/>
    <m/>
    <m/>
    <m/>
    <n v="46726.957200000004"/>
    <n v="-13810.906800000004"/>
    <m/>
    <m/>
    <m/>
    <m/>
    <n v="-14056.348249999997"/>
    <n v="239.7618999999994"/>
    <n v="31"/>
    <n v="402.21936478150383"/>
    <n v="62.039725094905293"/>
    <n v="329.99824317885395"/>
    <n v="0"/>
    <n v="0"/>
    <n v="0"/>
    <n v="0"/>
    <n v="0"/>
    <n v="0"/>
    <n v="0"/>
    <n v="0"/>
    <n v="239.73875264745493"/>
    <n v="0"/>
    <n v="0"/>
    <n v="0"/>
    <n v="9.8032069526761063"/>
    <n v="0"/>
    <n v="-206.11887777489255"/>
    <m/>
    <n v="0"/>
    <n v="0"/>
    <n v="0"/>
    <n v="0"/>
    <n v="-30.884999995313024"/>
    <n v="-2.3566853221833526"/>
    <n v="0"/>
    <n v="0"/>
    <m/>
    <m/>
    <m/>
    <n v="45986.194574979658"/>
    <n v="0"/>
    <n v="0"/>
    <n v="-14056.348249999995"/>
    <n v="239.76189999999951"/>
    <n v="0"/>
    <n v="0"/>
    <n v="-14218.973895816289"/>
    <n v="0"/>
    <n v="0"/>
    <n v="0"/>
    <n v="0"/>
    <n v="0"/>
    <n v="0"/>
    <n v="0"/>
    <n v="0"/>
    <n v="0"/>
    <n v="0"/>
    <n v="0"/>
    <n v="0"/>
    <n v="1139.020734445801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8"/>
    <s v="Regular"/>
    <s v="Verde"/>
    <s v="A4"/>
    <s v="Comercial"/>
    <s v="Não se aplica"/>
    <s v="Não se aplica"/>
    <s v="Não se aplica"/>
    <s v="Fora ponta"/>
    <s v="CATIVO"/>
    <x v="6"/>
    <n v="0"/>
    <n v="0"/>
    <n v="461.18900000000002"/>
    <n v="461.18900000000002"/>
    <n v="461.18900000000002"/>
    <n v="461.18900000000002"/>
    <m/>
    <n v="96.28"/>
    <n v="128.11000000000001"/>
    <m/>
    <n v="103486.19971000002"/>
    <n v="103486.19971000002"/>
    <n v="103601.49696"/>
    <n v="0"/>
    <n v="24561.987108507732"/>
    <n v="0"/>
    <n v="0"/>
    <n v="0"/>
    <n v="0"/>
    <n v="0"/>
    <n v="59083.405389783722"/>
    <n v="0"/>
    <n v="0"/>
    <n v="0"/>
    <n v="0"/>
    <n v="0"/>
    <n v="4360.0118181909602"/>
    <m/>
    <n v="226.7208134144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5.9917581481013"/>
    <n v="0"/>
    <n v="0"/>
    <n v="0"/>
    <n v="0"/>
    <n v="0"/>
    <m/>
    <m/>
    <m/>
    <m/>
    <m/>
    <m/>
    <m/>
    <m/>
    <m/>
    <n v="61499.397147931821"/>
    <m/>
    <m/>
    <m/>
    <m/>
    <m/>
    <m/>
    <m/>
    <m/>
    <m/>
    <m/>
    <m/>
    <m/>
    <n v="103601.72159999999"/>
    <n v="115.49188999997568"/>
    <m/>
    <m/>
    <m/>
    <m/>
    <n v="-2587.2702899999999"/>
    <n v="2702.5675399999932"/>
    <n v="31"/>
    <n v="114.76348708318255"/>
    <n v="0"/>
    <n v="0"/>
    <n v="0"/>
    <n v="0"/>
    <n v="0"/>
    <n v="0"/>
    <n v="0"/>
    <n v="0"/>
    <n v="0"/>
    <n v="0"/>
    <n v="2702.3066258029285"/>
    <n v="0"/>
    <n v="0"/>
    <n v="0"/>
    <n v="110.50057952579118"/>
    <n v="0"/>
    <n v="-2323.3474061377237"/>
    <m/>
    <n v="0"/>
    <n v="0"/>
    <n v="0"/>
    <n v="0"/>
    <n v="-348.13203624192647"/>
    <n v="-26.564275865878528"/>
    <n v="0"/>
    <n v="0"/>
    <m/>
    <m/>
    <m/>
    <n v="0"/>
    <n v="0"/>
    <n v="0"/>
    <n v="-2587.2702900000004"/>
    <n v="2702.5675399999891"/>
    <n v="0"/>
    <n v="0"/>
    <n v="0"/>
    <n v="0"/>
    <n v="0"/>
    <n v="0"/>
    <n v="0"/>
    <n v="0"/>
    <n v="0"/>
    <n v="0"/>
    <n v="0"/>
    <n v="0"/>
    <n v="0"/>
    <n v="0"/>
    <n v="0"/>
    <n v="12838.9058657784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299"/>
    <s v="Regular"/>
    <s v="Verde"/>
    <s v="A4"/>
    <s v="Comercial"/>
    <s v="Não se aplica"/>
    <s v="Não se aplica"/>
    <s v="Não se aplica"/>
    <s v="Não se aplica"/>
    <s v="CATIVO"/>
    <x v="6"/>
    <n v="1724"/>
    <n v="1724"/>
    <n v="0"/>
    <n v="0"/>
    <n v="0"/>
    <n v="0"/>
    <n v="18.12"/>
    <m/>
    <m/>
    <n v="31238.880000000001"/>
    <m/>
    <n v="31238.880000000001"/>
    <n v="24911.8"/>
    <n v="0"/>
    <n v="0"/>
    <n v="0"/>
    <n v="0"/>
    <n v="0"/>
    <n v="0"/>
    <n v="22513.609660209415"/>
    <m/>
    <m/>
    <m/>
    <n v="0"/>
    <n v="0"/>
    <n v="0"/>
    <n v="0"/>
    <m/>
    <n v="0"/>
    <n v="1370.3565902362386"/>
    <n v="7346.5174727011063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076.34"/>
    <n v="17"/>
    <m/>
    <m/>
    <m/>
    <m/>
    <m/>
    <m/>
    <m/>
    <m/>
    <m/>
    <n v="0"/>
    <m/>
    <m/>
    <m/>
    <m/>
    <m/>
    <m/>
    <m/>
    <m/>
    <m/>
    <m/>
    <m/>
    <m/>
    <n v="24911.8"/>
    <n v="-6327.1099999999969"/>
    <m/>
    <m/>
    <m/>
    <m/>
    <n v="-6327.0800000000027"/>
    <n v="0"/>
    <n v="31"/>
    <n v="636.29528410627609"/>
    <n v="100.03028948400834"/>
    <n v="536.2649946222673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513.609660209415"/>
    <m/>
    <n v="0"/>
    <n v="0"/>
    <n v="-6327.0800000000017"/>
    <m/>
    <n v="0"/>
    <m/>
    <n v="-6961.228930068715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00"/>
    <s v="Regular"/>
    <s v="Convencional"/>
    <s v="B2"/>
    <s v="Rural"/>
    <s v="Não se aplica"/>
    <s v="Não se aplica"/>
    <s v="Não se aplica"/>
    <s v="Não se aplica"/>
    <s v="CATIVO"/>
    <x v="6"/>
    <n v="0"/>
    <n v="0"/>
    <n v="1390.1510000000001"/>
    <n v="1390.1510000000001"/>
    <n v="1390.1510000000001"/>
    <n v="1390.1510000000001"/>
    <m/>
    <n v="333.61"/>
    <n v="128.11000000000001"/>
    <m/>
    <n v="641860.5197200001"/>
    <n v="641860.5197200001"/>
    <n v="560272.55753000011"/>
    <n v="0"/>
    <n v="85099.553746868405"/>
    <n v="0"/>
    <n v="0"/>
    <n v="0"/>
    <n v="0"/>
    <n v="270379.0845133441"/>
    <n v="178093.69929901458"/>
    <n v="0"/>
    <n v="0"/>
    <n v="0"/>
    <n v="0"/>
    <n v="0"/>
    <n v="13142.279605693069"/>
    <m/>
    <n v="1196.0691082812966"/>
    <n v="4832.192913144575"/>
    <n v="25777.063396636488"/>
    <n v="0"/>
    <n v="0"/>
    <n v="0"/>
    <n v="0"/>
    <n v="0"/>
    <n v="0"/>
    <n v="0"/>
    <n v="0"/>
    <n v="0"/>
    <n v="0"/>
    <m/>
    <n v="0"/>
    <n v="0"/>
    <n v="0"/>
    <n v="0"/>
    <n v="0"/>
    <n v="18862.084287380098"/>
    <n v="0"/>
    <n v="0"/>
    <n v="0"/>
    <n v="156771.93"/>
    <n v="2353"/>
    <m/>
    <m/>
    <m/>
    <m/>
    <m/>
    <n v="67241.603869999992"/>
    <m/>
    <m/>
    <m/>
    <n v="196955.78358639468"/>
    <m/>
    <m/>
    <m/>
    <m/>
    <m/>
    <m/>
    <m/>
    <m/>
    <m/>
    <m/>
    <m/>
    <m/>
    <n v="493030.59900000005"/>
    <n v="-71815.585319999955"/>
    <m/>
    <m/>
    <m/>
    <m/>
    <n v="-89734.24705000002"/>
    <n v="8146.2848599999797"/>
    <n v="31"/>
    <n v="2003.3700929472107"/>
    <n v="352.72983644433134"/>
    <n v="1881.6176256494546"/>
    <n v="0"/>
    <n v="0"/>
    <n v="0"/>
    <n v="0"/>
    <n v="0"/>
    <n v="0"/>
    <n v="0"/>
    <n v="0"/>
    <n v="8145.4983925604611"/>
    <n v="0"/>
    <n v="0"/>
    <n v="0"/>
    <n v="862.69799463936215"/>
    <n v="0"/>
    <n v="-8049.6674225831084"/>
    <m/>
    <n v="0"/>
    <n v="0"/>
    <n v="0"/>
    <n v="0"/>
    <n v="-1049.3660913719759"/>
    <n v="-140.14024239124979"/>
    <n v="0"/>
    <n v="0"/>
    <m/>
    <m/>
    <m/>
    <n v="270379.0845133441"/>
    <n v="0"/>
    <n v="0"/>
    <n v="-89734.247050000005"/>
    <n v="8146.2848599999852"/>
    <n v="0"/>
    <n v="0"/>
    <n v="-83601.463008676656"/>
    <n v="0"/>
    <n v="0"/>
    <n v="0"/>
    <n v="0"/>
    <n v="0"/>
    <n v="0"/>
    <n v="0"/>
    <n v="0"/>
    <n v="0"/>
    <n v="0"/>
    <n v="0"/>
    <n v="0"/>
    <n v="44482.76741409699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1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70.018000000000001"/>
    <n v="70.018000000000001"/>
    <n v="70.018000000000001"/>
    <n v="70.018000000000001"/>
    <m/>
    <n v="333.61"/>
    <n v="128.11000000000001"/>
    <m/>
    <n v="32328.710960000004"/>
    <n v="32328.710960000004"/>
    <n v="28219.35454"/>
    <n v="0"/>
    <n v="4286.225420294797"/>
    <n v="0"/>
    <n v="0"/>
    <n v="0"/>
    <n v="0"/>
    <n v="13618.234810071228"/>
    <n v="8970.0792485984621"/>
    <n v="0"/>
    <n v="0"/>
    <n v="0"/>
    <n v="0"/>
    <n v="0"/>
    <n v="661.93969822804672"/>
    <m/>
    <n v="60.242640420817473"/>
    <n v="243.38398015219701"/>
    <n v="1298.3182581645401"/>
    <n v="0"/>
    <n v="0"/>
    <n v="0"/>
    <n v="0"/>
    <n v="0"/>
    <n v="0"/>
    <n v="0"/>
    <n v="0"/>
    <n v="0"/>
    <n v="0"/>
    <m/>
    <n v="0"/>
    <n v="0"/>
    <n v="0"/>
    <n v="0"/>
    <n v="0"/>
    <n v="950.03018926273444"/>
    <n v="0"/>
    <n v="0"/>
    <n v="0"/>
    <n v="14625.56"/>
    <n v="25"/>
    <m/>
    <m/>
    <m/>
    <m/>
    <m/>
    <n v="3386.7706599999992"/>
    <m/>
    <m/>
    <m/>
    <n v="9920.1094378611961"/>
    <m/>
    <m/>
    <m/>
    <m/>
    <m/>
    <m/>
    <m/>
    <m/>
    <m/>
    <m/>
    <m/>
    <m/>
    <n v="24833.2932"/>
    <n v="-3616.4505599999939"/>
    <m/>
    <m/>
    <m/>
    <m/>
    <n v="-4519.661900000001"/>
    <n v="410.30547999999897"/>
    <n v="31"/>
    <n v="100.9041227665075"/>
    <n v="17.76601080613483"/>
    <n v="94.771793073359277"/>
    <n v="0"/>
    <n v="0"/>
    <n v="0"/>
    <n v="0"/>
    <n v="0"/>
    <n v="0"/>
    <n v="0"/>
    <n v="0"/>
    <n v="410.26586784478786"/>
    <n v="0"/>
    <n v="0"/>
    <n v="0"/>
    <n v="43.451674090554775"/>
    <n v="0"/>
    <n v="-405.43913114073575"/>
    <m/>
    <n v="0"/>
    <n v="0"/>
    <n v="0"/>
    <n v="0"/>
    <n v="-52.853621646629108"/>
    <n v="-7.0584702609648389"/>
    <n v="0"/>
    <n v="0"/>
    <m/>
    <m/>
    <m/>
    <n v="13618.234810071228"/>
    <n v="0"/>
    <n v="0"/>
    <n v="-4519.6619000000028"/>
    <n v="410.30547999999908"/>
    <n v="0"/>
    <n v="0"/>
    <n v="-4210.7707989574683"/>
    <n v="0"/>
    <n v="0"/>
    <n v="0"/>
    <n v="0"/>
    <n v="0"/>
    <n v="0"/>
    <n v="0"/>
    <n v="0"/>
    <n v="0"/>
    <n v="0"/>
    <n v="0"/>
    <n v="0"/>
    <n v="2240.472012608877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2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271.21300000000002"/>
    <n v="271.21300000000002"/>
    <n v="271.21300000000002"/>
    <n v="271.21300000000002"/>
    <m/>
    <n v="333.61"/>
    <n v="128.11000000000001"/>
    <m/>
    <n v="125224.46636000002"/>
    <n v="125224.46636000002"/>
    <n v="109306.97539000001"/>
    <n v="0"/>
    <n v="16602.588690256973"/>
    <n v="0"/>
    <n v="0"/>
    <n v="0"/>
    <n v="0"/>
    <n v="52749.8974198613"/>
    <n v="34745.381234113156"/>
    <n v="0"/>
    <n v="0"/>
    <n v="0"/>
    <n v="0"/>
    <n v="0"/>
    <n v="2564.0071321020773"/>
    <m/>
    <n v="233.34838522167399"/>
    <n v="942.74185793678498"/>
    <n v="5029.0038240392387"/>
    <n v="0"/>
    <n v="0"/>
    <n v="0"/>
    <n v="0"/>
    <n v="0"/>
    <n v="0"/>
    <n v="0"/>
    <n v="0"/>
    <n v="0"/>
    <n v="0"/>
    <m/>
    <n v="0"/>
    <n v="0"/>
    <n v="0"/>
    <n v="0"/>
    <n v="0"/>
    <n v="3679.91855980625"/>
    <n v="0"/>
    <n v="0"/>
    <n v="0"/>
    <n v="40873.25"/>
    <n v="210"/>
    <m/>
    <m/>
    <m/>
    <m/>
    <m/>
    <m/>
    <m/>
    <m/>
    <m/>
    <n v="38425.299793919403"/>
    <m/>
    <m/>
    <m/>
    <m/>
    <m/>
    <m/>
    <m/>
    <m/>
    <m/>
    <m/>
    <m/>
    <m/>
    <n v="109305.76629999999"/>
    <n v="-15918.730060000016"/>
    <m/>
    <m/>
    <m/>
    <m/>
    <n v="-17506.799150000006"/>
    <n v="1589.3081799999961"/>
    <n v="31"/>
    <n v="390.84963649165002"/>
    <n v="68.816205672316528"/>
    <n v="367.09620832935798"/>
    <n v="0"/>
    <n v="0"/>
    <n v="0"/>
    <n v="0"/>
    <n v="0"/>
    <n v="0"/>
    <n v="0"/>
    <n v="0"/>
    <n v="1589.1547432915613"/>
    <n v="0"/>
    <n v="0"/>
    <n v="0"/>
    <n v="168.30899033279502"/>
    <n v="0"/>
    <n v="-1570.4584974445461"/>
    <m/>
    <n v="0"/>
    <n v="0"/>
    <n v="0"/>
    <n v="0"/>
    <n v="-204.72720282851833"/>
    <n v="-27.340810861307915"/>
    <n v="0"/>
    <n v="0"/>
    <m/>
    <m/>
    <m/>
    <n v="52749.8974198613"/>
    <n v="0"/>
    <n v="0"/>
    <n v="-17506.799150000006"/>
    <n v="1589.3081799999927"/>
    <n v="0"/>
    <n v="0"/>
    <n v="-16310.317071290985"/>
    <n v="0"/>
    <n v="0"/>
    <n v="0"/>
    <n v="0"/>
    <n v="0"/>
    <n v="0"/>
    <n v="0"/>
    <n v="0"/>
    <n v="0"/>
    <n v="0"/>
    <n v="0"/>
    <n v="0"/>
    <n v="8678.41320739940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3"/>
    <s v="Regular"/>
    <s v="Verde"/>
    <s v="A4"/>
    <s v="Poder público"/>
    <s v="Não se aplica"/>
    <s v="Não se aplica"/>
    <s v="Não se aplica"/>
    <s v="Ponta"/>
    <s v="CATIVO"/>
    <x v="6"/>
    <n v="0"/>
    <n v="0"/>
    <n v="2.1339999999999999"/>
    <n v="2.1339999999999999"/>
    <n v="2.1339999999999999"/>
    <n v="2.1339999999999999"/>
    <m/>
    <n v="1351.49"/>
    <n v="128.11000000000001"/>
    <m/>
    <n v="3157.4663999999998"/>
    <n v="3157.4663999999998"/>
    <n v="2436.8359399999999"/>
    <n v="0"/>
    <n v="113.65249494145675"/>
    <n v="0"/>
    <n v="0"/>
    <n v="0"/>
    <n v="0"/>
    <n v="2398.4978424295878"/>
    <n v="273.3889730713405"/>
    <n v="0"/>
    <n v="0"/>
    <n v="0"/>
    <n v="0"/>
    <n v="0"/>
    <n v="20.174516781665453"/>
    <m/>
    <n v="1.0490757928450138"/>
    <n v="44.328577126498388"/>
    <n v="235.79009339555691"/>
    <n v="0"/>
    <n v="0"/>
    <n v="0"/>
    <n v="0"/>
    <n v="0"/>
    <n v="0"/>
    <n v="0"/>
    <n v="0"/>
    <n v="0"/>
    <n v="0"/>
    <m/>
    <n v="0"/>
    <n v="0"/>
    <n v="0"/>
    <n v="0"/>
    <n v="0"/>
    <n v="11.179205080537585"/>
    <n v="0"/>
    <n v="0"/>
    <n v="0"/>
    <n v="0"/>
    <n v="0"/>
    <m/>
    <m/>
    <m/>
    <m/>
    <m/>
    <m/>
    <m/>
    <m/>
    <m/>
    <n v="284.5681781518781"/>
    <m/>
    <m/>
    <m/>
    <m/>
    <m/>
    <m/>
    <m/>
    <m/>
    <m/>
    <m/>
    <m/>
    <m/>
    <n v="2432.2683000000002"/>
    <n v="-725.22810000000027"/>
    <m/>
    <m/>
    <m/>
    <m/>
    <n v="-733.13569999999982"/>
    <n v="12.505239999999969"/>
    <n v="31"/>
    <n v="20.978519478033036"/>
    <n v="3.2358003996707296"/>
    <n v="17.211688890227862"/>
    <n v="0"/>
    <n v="0"/>
    <n v="0"/>
    <n v="0"/>
    <n v="0"/>
    <n v="0"/>
    <n v="0"/>
    <n v="0"/>
    <n v="12.504032705601048"/>
    <n v="0"/>
    <n v="0"/>
    <n v="0"/>
    <n v="0.51130498929514268"/>
    <n v="0"/>
    <n v="-10.750523895188095"/>
    <m/>
    <n v="0"/>
    <n v="0"/>
    <n v="0"/>
    <n v="0"/>
    <n v="-1.6108661857509006"/>
    <n v="-0.12291742582278575"/>
    <n v="0"/>
    <n v="0"/>
    <m/>
    <m/>
    <m/>
    <n v="2398.4978424295878"/>
    <n v="0"/>
    <n v="0"/>
    <n v="-733.13569999999982"/>
    <n v="12.505239999999958"/>
    <n v="0"/>
    <n v="0"/>
    <n v="-741.61775128124054"/>
    <n v="0"/>
    <n v="0"/>
    <n v="0"/>
    <n v="0"/>
    <n v="0"/>
    <n v="0"/>
    <n v="0"/>
    <n v="0"/>
    <n v="0"/>
    <n v="0"/>
    <n v="0"/>
    <n v="0"/>
    <n v="59.40780269601221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4"/>
    <s v="Regular"/>
    <s v="Verde"/>
    <s v="A4"/>
    <s v="Poder público"/>
    <s v="Não se aplica"/>
    <s v="Não se aplica"/>
    <s v="Não se aplica"/>
    <s v="Fora ponta"/>
    <s v="CATIVO"/>
    <x v="6"/>
    <n v="0"/>
    <n v="0"/>
    <n v="28.777000000000001"/>
    <n v="28.777000000000001"/>
    <n v="28.777000000000001"/>
    <n v="28.777000000000001"/>
    <m/>
    <n v="96.28"/>
    <n v="128.11000000000001"/>
    <m/>
    <n v="6457.2710300000008"/>
    <n v="6457.2710300000008"/>
    <n v="6464.4652800000003"/>
    <n v="0"/>
    <n v="1532.6044268651833"/>
    <n v="0"/>
    <n v="0"/>
    <n v="0"/>
    <n v="0"/>
    <n v="0"/>
    <n v="3686.6515829774912"/>
    <n v="0"/>
    <n v="0"/>
    <n v="0"/>
    <n v="0"/>
    <n v="0"/>
    <n v="272.05345333926277"/>
    <m/>
    <n v="14.146791982521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0.75163289720248"/>
    <n v="0"/>
    <n v="0"/>
    <n v="0"/>
    <n v="0"/>
    <n v="0"/>
    <m/>
    <m/>
    <m/>
    <m/>
    <m/>
    <m/>
    <m/>
    <m/>
    <m/>
    <n v="3837.4032158746936"/>
    <m/>
    <m/>
    <m/>
    <m/>
    <m/>
    <m/>
    <m/>
    <m/>
    <m/>
    <m/>
    <m/>
    <m/>
    <n v="6465.1392000000005"/>
    <n v="7.8381699999990815"/>
    <m/>
    <m/>
    <m/>
    <m/>
    <n v="-161.43896999999998"/>
    <n v="168.63321999999957"/>
    <n v="31"/>
    <n v="7.160944575418398"/>
    <n v="0"/>
    <n v="0"/>
    <n v="0"/>
    <n v="0"/>
    <n v="0"/>
    <n v="0"/>
    <n v="0"/>
    <n v="0"/>
    <n v="0"/>
    <n v="0"/>
    <n v="168.61693962937306"/>
    <n v="0"/>
    <n v="0"/>
    <n v="0"/>
    <n v="6.8949501766383889"/>
    <n v="0"/>
    <n v="-144.97086510394934"/>
    <m/>
    <n v="0"/>
    <n v="0"/>
    <n v="0"/>
    <n v="0"/>
    <n v="-21.72253806342718"/>
    <n v="-1.6575420632157023"/>
    <n v="0"/>
    <n v="0"/>
    <m/>
    <m/>
    <m/>
    <n v="0"/>
    <n v="0"/>
    <n v="0"/>
    <n v="-161.43897000000015"/>
    <n v="168.63321999999971"/>
    <n v="0"/>
    <n v="0"/>
    <n v="0"/>
    <n v="0"/>
    <n v="0"/>
    <n v="0"/>
    <n v="0"/>
    <n v="0"/>
    <n v="0"/>
    <n v="0"/>
    <n v="0"/>
    <n v="0"/>
    <n v="0"/>
    <n v="0"/>
    <n v="0"/>
    <n v="801.1144977428040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5"/>
    <s v="Regular"/>
    <s v="Verde"/>
    <s v="A4"/>
    <s v="Poder público"/>
    <s v="Não se aplica"/>
    <s v="Não se aplica"/>
    <s v="Não se aplica"/>
    <s v="Não se aplica"/>
    <s v="CATIVO"/>
    <x v="6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41.69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1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06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880.73500000000001"/>
    <n v="880.73500000000001"/>
    <n v="880.73500000000001"/>
    <n v="880.73500000000001"/>
    <m/>
    <n v="183.49"/>
    <n v="70.459999999999994"/>
    <m/>
    <n v="223662.65325"/>
    <n v="223662.65325"/>
    <n v="195223.72010000001"/>
    <n v="0"/>
    <n v="29653.315005410557"/>
    <n v="0"/>
    <n v="0"/>
    <n v="0"/>
    <n v="0"/>
    <n v="94214.785048080113"/>
    <n v="62057.535360306174"/>
    <n v="0"/>
    <n v="0"/>
    <n v="0"/>
    <n v="0"/>
    <n v="0"/>
    <n v="4579.4853189948735"/>
    <m/>
    <n v="416.77555844305408"/>
    <n v="1683.7989426667432"/>
    <n v="8982.131482011755"/>
    <n v="0"/>
    <n v="0"/>
    <n v="0"/>
    <n v="0"/>
    <n v="0"/>
    <n v="0"/>
    <n v="0"/>
    <n v="0"/>
    <n v="0"/>
    <n v="0"/>
    <m/>
    <n v="0"/>
    <n v="0"/>
    <n v="0"/>
    <n v="0"/>
    <n v="0"/>
    <n v="6572.5764990027046"/>
    <n v="0"/>
    <n v="0"/>
    <n v="0"/>
    <n v="106762.57"/>
    <n v="13"/>
    <m/>
    <m/>
    <m/>
    <m/>
    <m/>
    <m/>
    <m/>
    <m/>
    <m/>
    <n v="68630.111859308876"/>
    <m/>
    <m/>
    <m/>
    <m/>
    <m/>
    <m/>
    <m/>
    <m/>
    <m/>
    <m/>
    <m/>
    <m/>
    <n v="195224.8284"/>
    <n v="-28437.854850000032"/>
    <m/>
    <m/>
    <m/>
    <m/>
    <n v="-31274.899850000016"/>
    <n v="2835.9667000000118"/>
    <n v="31"/>
    <n v="698.08314877045632"/>
    <n v="122.91026793164178"/>
    <n v="655.65796430715454"/>
    <n v="0"/>
    <n v="0"/>
    <n v="0"/>
    <n v="0"/>
    <n v="0"/>
    <n v="0"/>
    <n v="0"/>
    <n v="0"/>
    <n v="2838.3348569502632"/>
    <n v="0"/>
    <n v="0"/>
    <n v="0"/>
    <n v="300.61092289243788"/>
    <n v="0"/>
    <n v="-2804.9421326070878"/>
    <m/>
    <n v="0"/>
    <n v="0"/>
    <n v="0"/>
    <n v="0"/>
    <n v="-365.65624487301193"/>
    <n v="-48.832485830928874"/>
    <n v="0"/>
    <n v="0"/>
    <m/>
    <m/>
    <m/>
    <n v="94214.785048080113"/>
    <n v="0"/>
    <n v="0"/>
    <n v="-31274.899850000016"/>
    <n v="2835.9667000000118"/>
    <n v="0"/>
    <n v="0"/>
    <n v="-29131.298677353079"/>
    <n v="0"/>
    <n v="0"/>
    <n v="0"/>
    <n v="0"/>
    <n v="0"/>
    <n v="0"/>
    <n v="0"/>
    <n v="0"/>
    <n v="0"/>
    <n v="0"/>
    <n v="0"/>
    <n v="0"/>
    <n v="15500.21658593212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7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73.941999999999993"/>
    <n v="69.505480000000006"/>
    <n v="73.941999999999993"/>
    <n v="69.505480000000006"/>
    <m/>
    <n v="333.61"/>
    <n v="128.11000000000001"/>
    <m/>
    <n v="34140.500240000001"/>
    <n v="34140.500240000001"/>
    <n v="29800.844259999998"/>
    <n v="0"/>
    <n v="4526.4372022542466"/>
    <n v="0"/>
    <n v="0"/>
    <n v="0"/>
    <n v="0"/>
    <n v="14381.437892060423"/>
    <n v="9472.7869947708805"/>
    <n v="0"/>
    <n v="0"/>
    <n v="0"/>
    <n v="0"/>
    <n v="0"/>
    <n v="699.03660724925339"/>
    <m/>
    <n v="63.618802564998788"/>
    <n v="257.02388329306393"/>
    <n v="1371.0795601874147"/>
    <n v="0"/>
    <n v="0"/>
    <n v="0"/>
    <n v="0"/>
    <n v="0"/>
    <n v="0"/>
    <n v="0"/>
    <n v="0"/>
    <n v="0"/>
    <n v="0"/>
    <m/>
    <n v="0"/>
    <n v="0"/>
    <n v="0"/>
    <n v="0"/>
    <n v="0"/>
    <n v="1003.2724764269916"/>
    <n v="0"/>
    <n v="0"/>
    <n v="0"/>
    <n v="12837.32"/>
    <n v="28"/>
    <m/>
    <m/>
    <m/>
    <m/>
    <n v="1788.0506555999948"/>
    <m/>
    <m/>
    <m/>
    <m/>
    <n v="10476.059471197872"/>
    <m/>
    <m/>
    <m/>
    <m/>
    <m/>
    <m/>
    <m/>
    <m/>
    <m/>
    <m/>
    <m/>
    <m/>
    <n v="28014.615300000001"/>
    <n v="-4077.4849256000016"/>
    <m/>
    <m/>
    <m/>
    <m/>
    <n v="-4772.9561000000003"/>
    <n v="433.30011999999886"/>
    <n v="31"/>
    <n v="106.55906546317783"/>
    <n v="18.761666586123908"/>
    <n v="100.08306326130901"/>
    <n v="0"/>
    <n v="0"/>
    <n v="0"/>
    <n v="0"/>
    <n v="0"/>
    <n v="0"/>
    <n v="0"/>
    <n v="0"/>
    <n v="433.25828787139289"/>
    <n v="0"/>
    <n v="0"/>
    <n v="0"/>
    <n v="45.886824610868757"/>
    <n v="0"/>
    <n v="-428.16104765643468"/>
    <m/>
    <n v="0"/>
    <n v="0"/>
    <n v="0"/>
    <n v="0"/>
    <n v="-55.815682992873917"/>
    <n v="-7.4540462172050397"/>
    <n v="0"/>
    <n v="0"/>
    <m/>
    <m/>
    <m/>
    <n v="14381.437892060423"/>
    <n v="0"/>
    <n v="0"/>
    <n v="-4772.9561000000031"/>
    <n v="433.30011999999988"/>
    <n v="0"/>
    <n v="0"/>
    <n v="-4446.7538978050379"/>
    <n v="0"/>
    <n v="0"/>
    <n v="0"/>
    <n v="0"/>
    <n v="0"/>
    <n v="0"/>
    <n v="0"/>
    <n v="0"/>
    <n v="0"/>
    <n v="0"/>
    <n v="0"/>
    <n v="0"/>
    <n v="2366.034184871398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8"/>
    <s v="Regular"/>
    <s v="Azul"/>
    <s v="A4"/>
    <s v="Serviço público"/>
    <s v="Água, esgoto e saneamento"/>
    <s v="Não se aplica"/>
    <s v="Não se aplica"/>
    <s v="Ponta"/>
    <s v="CATIVO"/>
    <x v="6"/>
    <n v="415"/>
    <n v="390.1"/>
    <n v="21.170999999999999"/>
    <n v="19.900739999999999"/>
    <n v="21.170999999999999"/>
    <n v="19.900739999999999"/>
    <n v="52.19"/>
    <n v="96.28"/>
    <n v="128.11000000000001"/>
    <n v="21658.85"/>
    <n v="4750.5606900000002"/>
    <n v="26409.410690000001"/>
    <n v="20583.953439999997"/>
    <n v="0"/>
    <n v="1127.5243535171419"/>
    <n v="0"/>
    <n v="0"/>
    <n v="0"/>
    <n v="0"/>
    <n v="19394.463309363731"/>
    <n v="2712.238963867549"/>
    <n v="0"/>
    <n v="0"/>
    <n v="0"/>
    <n v="0"/>
    <n v="0"/>
    <n v="200.14746709683189"/>
    <m/>
    <n v="10.407677418145168"/>
    <n v="358.40629837801117"/>
    <n v="1906.6278870683873"/>
    <n v="0"/>
    <n v="0"/>
    <n v="0"/>
    <n v="0"/>
    <n v="0"/>
    <n v="0"/>
    <n v="0"/>
    <n v="0"/>
    <n v="0"/>
    <n v="0"/>
    <m/>
    <n v="0"/>
    <n v="0"/>
    <n v="0"/>
    <n v="0"/>
    <n v="0"/>
    <n v="110.90672481727329"/>
    <n v="0"/>
    <n v="0"/>
    <n v="0"/>
    <n v="0"/>
    <n v="0"/>
    <m/>
    <m/>
    <m/>
    <m/>
    <n v="1235.0372063999994"/>
    <m/>
    <m/>
    <m/>
    <m/>
    <n v="2823.1456886848223"/>
    <m/>
    <m/>
    <m/>
    <m/>
    <m/>
    <m/>
    <m/>
    <m/>
    <m/>
    <m/>
    <m/>
    <m/>
    <n v="19348.75"/>
    <n v="-5476.1260485999956"/>
    <m/>
    <m/>
    <m/>
    <m/>
    <n v="-5949.5193099999988"/>
    <n v="124.06205999999969"/>
    <n v="31"/>
    <n v="170.60625283547597"/>
    <n v="26.162158109127006"/>
    <n v="139.17584725071924"/>
    <n v="0"/>
    <n v="0"/>
    <n v="0"/>
    <n v="0"/>
    <n v="0"/>
    <n v="0"/>
    <n v="0"/>
    <n v="0"/>
    <n v="124.05008266648565"/>
    <n v="0"/>
    <n v="0"/>
    <n v="0"/>
    <n v="5.0725576046707914"/>
    <n v="0"/>
    <n v="-106.65386194237442"/>
    <m/>
    <n v="0"/>
    <n v="0"/>
    <n v="0"/>
    <n v="0"/>
    <n v="-15.981090917775191"/>
    <n v="-1.2194399353768492"/>
    <n v="0"/>
    <n v="0"/>
    <m/>
    <m/>
    <n v="19394.463309363731"/>
    <n v="0"/>
    <n v="0"/>
    <n v="0"/>
    <n v="-5949.5193099999997"/>
    <n v="124.06205999999975"/>
    <n v="0"/>
    <n v="0"/>
    <n v="-5996.785993447962"/>
    <n v="0"/>
    <n v="0"/>
    <n v="0"/>
    <n v="0"/>
    <n v="0"/>
    <n v="0"/>
    <n v="0"/>
    <n v="0"/>
    <n v="0"/>
    <n v="0"/>
    <n v="0"/>
    <n v="0"/>
    <n v="589.3732853220593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09"/>
    <s v="Regular"/>
    <s v="Azul"/>
    <s v="A4"/>
    <s v="Serviço público"/>
    <s v="Água, esgoto e saneamento"/>
    <s v="Não se aplica"/>
    <s v="Não se aplica"/>
    <s v="Fora ponta"/>
    <s v="CATIVO"/>
    <x v="6"/>
    <n v="447"/>
    <n v="420.18"/>
    <n v="160.24100000000001"/>
    <n v="150.62654000000001"/>
    <n v="160.24100000000001"/>
    <n v="150.62654000000001"/>
    <n v="18.12"/>
    <n v="96.28"/>
    <n v="128.11000000000001"/>
    <n v="8099.64"/>
    <n v="35956.477990000007"/>
    <n v="44056.117990000006"/>
    <n v="42455.688240000003"/>
    <n v="0"/>
    <n v="8534.1093917122653"/>
    <n v="0"/>
    <n v="0"/>
    <n v="0"/>
    <n v="0"/>
    <n v="5837.3454281401446"/>
    <n v="20528.64219021775"/>
    <n v="0"/>
    <n v="0"/>
    <n v="0"/>
    <n v="0"/>
    <n v="0"/>
    <n v="1514.894444053821"/>
    <m/>
    <n v="78.774580188040247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839.4409565653342"/>
    <n v="0"/>
    <n v="0"/>
    <n v="0"/>
    <n v="0"/>
    <n v="0"/>
    <m/>
    <m/>
    <m/>
    <m/>
    <n v="2547.3412944000015"/>
    <m/>
    <m/>
    <m/>
    <m/>
    <n v="21368.083146783083"/>
    <m/>
    <m/>
    <m/>
    <m/>
    <m/>
    <m/>
    <m/>
    <m/>
    <m/>
    <m/>
    <m/>
    <m/>
    <n v="39909.124199999998"/>
    <n v="-1503.6567106000002"/>
    <m/>
    <m/>
    <m/>
    <m/>
    <n v="-2539.4420100000007"/>
    <n v="939.0122599999977"/>
    <n v="31"/>
    <n v="204.8539067403035"/>
    <n v="25.935927725842078"/>
    <n v="139.04318596064581"/>
    <n v="0"/>
    <n v="0"/>
    <n v="0"/>
    <n v="0"/>
    <n v="0"/>
    <n v="0"/>
    <n v="0"/>
    <n v="0"/>
    <n v="938.92160486326975"/>
    <n v="0"/>
    <n v="0"/>
    <n v="0"/>
    <n v="38.39363767087309"/>
    <n v="0"/>
    <n v="-807.25149929186318"/>
    <m/>
    <n v="0"/>
    <n v="0"/>
    <n v="0"/>
    <n v="0"/>
    <n v="-120.95914173894539"/>
    <n v="-9.2298084495168808"/>
    <n v="0"/>
    <n v="0"/>
    <m/>
    <m/>
    <n v="5837.3454281401446"/>
    <n v="0"/>
    <n v="0"/>
    <n v="0"/>
    <n v="-2539.4420100000025"/>
    <n v="939.01225999999951"/>
    <n v="0"/>
    <n v="0"/>
    <n v="-1804.9126054180488"/>
    <n v="0"/>
    <n v="0"/>
    <n v="0"/>
    <n v="0"/>
    <n v="0"/>
    <n v="0"/>
    <n v="0"/>
    <n v="0"/>
    <n v="0"/>
    <n v="0"/>
    <n v="0"/>
    <n v="0"/>
    <n v="4460.90239541316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0"/>
    <s v="Regular"/>
    <s v="Azul"/>
    <s v="A4"/>
    <s v="Serviço público"/>
    <s v="Água, esgoto e saneamento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023.66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11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.0189999999999999"/>
    <n v="1.0189999999999999"/>
    <n v="1.0189999999999999"/>
    <n v="1.0189999999999999"/>
    <m/>
    <n v="333.61"/>
    <n v="128.11000000000001"/>
    <m/>
    <n v="470.49267999999995"/>
    <n v="470.49267999999995"/>
    <n v="410.68756999999994"/>
    <n v="0"/>
    <n v="62.379155406901049"/>
    <n v="0"/>
    <n v="0"/>
    <n v="0"/>
    <n v="0"/>
    <n v="198.19162603134308"/>
    <n v="130.54515630726146"/>
    <n v="0"/>
    <n v="0"/>
    <n v="0"/>
    <n v="0"/>
    <n v="0"/>
    <n v="9.6334735710014492"/>
    <m/>
    <n v="0.87673527648337568"/>
    <n v="3.5420645516165661"/>
    <n v="18.894945657826074"/>
    <n v="0"/>
    <n v="0"/>
    <n v="0"/>
    <n v="0"/>
    <n v="0"/>
    <n v="0"/>
    <n v="0"/>
    <n v="0"/>
    <n v="0"/>
    <n v="0"/>
    <m/>
    <n v="0"/>
    <n v="0"/>
    <n v="0"/>
    <n v="0"/>
    <n v="0"/>
    <n v="13.826169882869067"/>
    <n v="0"/>
    <n v="0"/>
    <n v="0"/>
    <n v="185.1"/>
    <n v="3"/>
    <m/>
    <m/>
    <m/>
    <m/>
    <m/>
    <m/>
    <m/>
    <m/>
    <m/>
    <n v="144.37132619013053"/>
    <m/>
    <m/>
    <m/>
    <m/>
    <m/>
    <m/>
    <m/>
    <m/>
    <m/>
    <m/>
    <m/>
    <m/>
    <n v="411.09059999999999"/>
    <n v="-59.432079999999928"/>
    <m/>
    <m/>
    <m/>
    <m/>
    <n v="-65.776450000000011"/>
    <n v="5.9713399999999845"/>
    <n v="31"/>
    <n v="1.4684981161854012"/>
    <n v="0.25855587151091752"/>
    <n v="1.3792518658309767"/>
    <n v="0"/>
    <n v="0"/>
    <n v="0"/>
    <n v="0"/>
    <n v="0"/>
    <n v="0"/>
    <n v="0"/>
    <n v="0"/>
    <n v="5.9707635084383526"/>
    <n v="0"/>
    <n v="0"/>
    <n v="0"/>
    <n v="0.63236961778792988"/>
    <n v="0"/>
    <n v="-5.9005180758149294"/>
    <m/>
    <n v="0"/>
    <n v="0"/>
    <n v="0"/>
    <n v="0"/>
    <n v="-0.76919992656052649"/>
    <n v="-0.1027247450073292"/>
    <n v="0"/>
    <n v="0"/>
    <m/>
    <m/>
    <m/>
    <n v="198.19162603134308"/>
    <n v="0"/>
    <n v="0"/>
    <n v="-65.776450000000011"/>
    <n v="5.9713399999999695"/>
    <n v="0"/>
    <n v="0"/>
    <n v="-61.281034078917685"/>
    <n v="0"/>
    <n v="0"/>
    <n v="0"/>
    <n v="0"/>
    <n v="0"/>
    <n v="0"/>
    <n v="0"/>
    <n v="0"/>
    <n v="0"/>
    <n v="0"/>
    <n v="0"/>
    <n v="0"/>
    <n v="32.60648662984440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2"/>
    <s v="Regular"/>
    <s v="Verde"/>
    <s v="A4"/>
    <s v="Consumo próprio"/>
    <s v="Não se aplica"/>
    <s v="Não se aplica"/>
    <s v="Não se aplica"/>
    <s v="Ponta"/>
    <s v="CATIVO"/>
    <x v="6"/>
    <n v="0"/>
    <n v="0"/>
    <n v="1.284"/>
    <n v="1.284"/>
    <n v="1.284"/>
    <n v="1.284"/>
    <m/>
    <n v="1351.49"/>
    <n v="128.11000000000001"/>
    <m/>
    <n v="1899.8064000000002"/>
    <n v="1899.8064000000002"/>
    <n v="1466.21244"/>
    <n v="0"/>
    <n v="68.383225634878386"/>
    <n v="0"/>
    <n v="0"/>
    <n v="0"/>
    <n v="0"/>
    <n v="1443.144906129143"/>
    <n v="164.49458360993498"/>
    <n v="0"/>
    <n v="0"/>
    <n v="0"/>
    <n v="0"/>
    <n v="0"/>
    <n v="12.138743930486617"/>
    <m/>
    <n v="0.6312152380567001"/>
    <n v="26.671927380704748"/>
    <n v="141.87182751635197"/>
    <n v="0"/>
    <n v="0"/>
    <n v="0"/>
    <n v="0"/>
    <n v="0"/>
    <n v="0"/>
    <n v="0"/>
    <n v="0"/>
    <n v="0"/>
    <n v="0"/>
    <m/>
    <n v="0"/>
    <n v="0"/>
    <n v="0"/>
    <n v="0"/>
    <n v="0"/>
    <n v="6.7263820634537295"/>
    <n v="0"/>
    <n v="0"/>
    <n v="0"/>
    <n v="0"/>
    <n v="0"/>
    <m/>
    <m/>
    <m/>
    <m/>
    <m/>
    <m/>
    <m/>
    <m/>
    <m/>
    <n v="171.22096567338872"/>
    <m/>
    <m/>
    <m/>
    <m/>
    <m/>
    <m/>
    <m/>
    <m/>
    <m/>
    <m/>
    <m/>
    <m/>
    <n v="1461.6448000000003"/>
    <n v="-438.19159999999988"/>
    <m/>
    <m/>
    <m/>
    <m/>
    <n v="-441.11819999999994"/>
    <n v="7.5242399999999812"/>
    <n v="31"/>
    <n v="12.622501879003892"/>
    <n v="1.9469389471308425"/>
    <n v="10.356048985497921"/>
    <n v="0"/>
    <n v="0"/>
    <n v="0"/>
    <n v="0"/>
    <n v="0"/>
    <n v="0"/>
    <n v="0"/>
    <n v="0"/>
    <n v="7.523513586687784"/>
    <n v="0"/>
    <n v="0"/>
    <n v="0"/>
    <n v="0.30764555119726555"/>
    <n v="0"/>
    <n v="-6.4684501787354804"/>
    <m/>
    <n v="0"/>
    <n v="0"/>
    <n v="0"/>
    <n v="0"/>
    <n v="-0.9692371989241586"/>
    <n v="-7.3957813850261012E-2"/>
    <n v="0"/>
    <n v="0"/>
    <m/>
    <m/>
    <m/>
    <n v="1443.144906129143"/>
    <n v="0"/>
    <n v="0"/>
    <n v="-441.11820000000012"/>
    <n v="7.5242399999999918"/>
    <n v="0"/>
    <n v="0"/>
    <n v="-446.22173975872215"/>
    <n v="0"/>
    <n v="0"/>
    <n v="0"/>
    <n v="0"/>
    <n v="0"/>
    <n v="0"/>
    <n v="0"/>
    <n v="0"/>
    <n v="0"/>
    <n v="0"/>
    <n v="0"/>
    <n v="0"/>
    <n v="35.744900966110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3"/>
    <s v="Regular"/>
    <s v="Verde"/>
    <s v="A4"/>
    <s v="Consumo próprio"/>
    <s v="Não se aplica"/>
    <s v="Não se aplica"/>
    <s v="Não se aplica"/>
    <s v="Fora ponta"/>
    <s v="CATIVO"/>
    <x v="6"/>
    <n v="0"/>
    <n v="0"/>
    <n v="17.056999999999999"/>
    <n v="17.056999999999999"/>
    <n v="17.056999999999999"/>
    <n v="17.056999999999999"/>
    <m/>
    <n v="96.28"/>
    <n v="128.11000000000001"/>
    <m/>
    <n v="3827.4202299999997"/>
    <n v="3827.4202299999997"/>
    <n v="3831.6844799999999"/>
    <n v="0"/>
    <n v="908.42109007330259"/>
    <n v="0"/>
    <n v="0"/>
    <n v="0"/>
    <n v="0"/>
    <n v="0"/>
    <n v="2185.1901188743459"/>
    <n v="0"/>
    <n v="0"/>
    <n v="0"/>
    <n v="0"/>
    <n v="0"/>
    <n v="161.25432649712633"/>
    <m/>
    <n v="8.38523233296972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355061414587425"/>
    <n v="0"/>
    <n v="0"/>
    <n v="0"/>
    <n v="0"/>
    <n v="0"/>
    <m/>
    <m/>
    <m/>
    <m/>
    <m/>
    <m/>
    <m/>
    <m/>
    <m/>
    <n v="2274.5451802889334"/>
    <m/>
    <m/>
    <m/>
    <m/>
    <m/>
    <m/>
    <m/>
    <m/>
    <m/>
    <m/>
    <m/>
    <m/>
    <n v="3832.3583999999996"/>
    <n v="4.9081699999992452"/>
    <m/>
    <m/>
    <m/>
    <m/>
    <n v="-95.689769999999982"/>
    <n v="99.954019999999744"/>
    <n v="31"/>
    <n v="4.2445088655153995"/>
    <n v="0"/>
    <n v="0"/>
    <n v="0"/>
    <n v="0"/>
    <n v="0"/>
    <n v="0"/>
    <n v="0"/>
    <n v="0"/>
    <n v="0"/>
    <n v="0"/>
    <n v="99.944370130945572"/>
    <n v="0"/>
    <n v="0"/>
    <n v="0"/>
    <n v="4.0868459242770712"/>
    <n v="0"/>
    <n v="-85.928625154743827"/>
    <m/>
    <n v="0"/>
    <n v="0"/>
    <n v="0"/>
    <n v="0"/>
    <n v="-12.875606621533763"/>
    <n v="-0.98247541342982991"/>
    <n v="0"/>
    <n v="0"/>
    <m/>
    <m/>
    <m/>
    <n v="0"/>
    <n v="0"/>
    <n v="0"/>
    <n v="-95.689769999999953"/>
    <n v="99.954019999999673"/>
    <n v="0"/>
    <n v="0"/>
    <n v="0"/>
    <n v="0"/>
    <n v="0"/>
    <n v="0"/>
    <n v="0"/>
    <n v="0"/>
    <n v="0"/>
    <n v="0"/>
    <n v="0"/>
    <n v="0"/>
    <n v="0"/>
    <n v="0"/>
    <n v="0"/>
    <n v="474.8448409493347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4"/>
    <s v="Regular"/>
    <s v="Verde"/>
    <s v="A4"/>
    <s v="Consumo próprio"/>
    <s v="Não se aplica"/>
    <s v="Não se aplica"/>
    <s v="Não se aplica"/>
    <s v="Não se aplica"/>
    <s v="CATIVO"/>
    <x v="6"/>
    <n v="96"/>
    <n v="96"/>
    <n v="0"/>
    <n v="0"/>
    <n v="0"/>
    <n v="0"/>
    <n v="18.12"/>
    <m/>
    <m/>
    <n v="1739.52"/>
    <m/>
    <n v="1739.52"/>
    <n v="1387.1999999999998"/>
    <n v="0"/>
    <n v="0"/>
    <n v="0"/>
    <n v="0"/>
    <n v="0"/>
    <n v="0"/>
    <n v="1253.6580785267424"/>
    <m/>
    <m/>
    <m/>
    <n v="0"/>
    <n v="0"/>
    <n v="0"/>
    <n v="0"/>
    <m/>
    <n v="0"/>
    <n v="76.307559549117698"/>
    <n v="409.08681982558369"/>
    <n v="0"/>
    <n v="0"/>
    <m/>
    <m/>
    <n v="0"/>
    <n v="0"/>
    <n v="0"/>
    <m/>
    <m/>
    <n v="0"/>
    <m/>
    <n v="0"/>
    <n v="0"/>
    <n v="0"/>
    <n v="0"/>
    <m/>
    <n v="0"/>
    <n v="0"/>
    <n v="0"/>
    <n v="0"/>
    <n v="3096.49"/>
    <n v="1"/>
    <m/>
    <m/>
    <m/>
    <m/>
    <m/>
    <m/>
    <m/>
    <m/>
    <m/>
    <n v="0"/>
    <m/>
    <m/>
    <m/>
    <m/>
    <m/>
    <m/>
    <m/>
    <m/>
    <m/>
    <m/>
    <m/>
    <m/>
    <n v="1387.1999999999998"/>
    <n v="-352.35000000000014"/>
    <m/>
    <m/>
    <m/>
    <m/>
    <n v="-352.32000000000016"/>
    <n v="0"/>
    <n v="31"/>
    <n v="35.431755959514192"/>
    <n v="5.5701321290399051"/>
    <n v="29.861623830474286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53.6580785267424"/>
    <m/>
    <n v="0"/>
    <n v="0"/>
    <n v="-352.32000000000016"/>
    <m/>
    <n v="0"/>
    <m/>
    <n v="-387.63223740521858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15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44.49"/>
    <n v="12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16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710000000000000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17"/>
    <s v="Regular"/>
    <s v="Convencional"/>
    <s v="B2"/>
    <s v="Rural"/>
    <s v="Agropecuária rural"/>
    <s v="IRRIG./AQUIC."/>
    <s v="Não se aplica"/>
    <s v="Não se aplica"/>
    <s v="CATIVO"/>
    <x v="6"/>
    <n v="0"/>
    <n v="0"/>
    <n v="23.201000000000001"/>
    <n v="23.201000000000001"/>
    <n v="23.201000000000001"/>
    <n v="23.201000000000001"/>
    <m/>
    <n v="333.61"/>
    <n v="128.11000000000001"/>
    <m/>
    <n v="10712.365720000002"/>
    <n v="10712.365720000002"/>
    <n v="9350.6990299999998"/>
    <n v="0"/>
    <n v="1420.2735864529061"/>
    <n v="0"/>
    <n v="0"/>
    <n v="0"/>
    <n v="0"/>
    <n v="4512.5062959305114"/>
    <n v="2972.3043881106705"/>
    <n v="0"/>
    <n v="0"/>
    <n v="0"/>
    <n v="0"/>
    <n v="0"/>
    <n v="219.33878343552959"/>
    <m/>
    <n v="19.961859813239254"/>
    <n v="80.647143927434698"/>
    <n v="430.20768813270149"/>
    <n v="0"/>
    <n v="0"/>
    <n v="0"/>
    <n v="0"/>
    <n v="0"/>
    <n v="0"/>
    <n v="0"/>
    <n v="0"/>
    <n v="0"/>
    <n v="0"/>
    <m/>
    <n v="0"/>
    <n v="0"/>
    <n v="0"/>
    <n v="0"/>
    <n v="0"/>
    <n v="314.7997717884644"/>
    <n v="0"/>
    <n v="0"/>
    <n v="0"/>
    <n v="0"/>
    <n v="0"/>
    <m/>
    <m/>
    <m/>
    <m/>
    <m/>
    <n v="1122.2323699999997"/>
    <m/>
    <m/>
    <m/>
    <n v="3287.1041598991351"/>
    <m/>
    <m/>
    <m/>
    <m/>
    <m/>
    <m/>
    <m/>
    <m/>
    <m/>
    <m/>
    <m/>
    <m/>
    <n v="8228.112000000001"/>
    <n v="-1198.9483199999995"/>
    <m/>
    <m/>
    <m/>
    <m/>
    <n v="-1497.6245500000002"/>
    <n v="135.95785999999967"/>
    <n v="31"/>
    <n v="33.435353085003953"/>
    <n v="5.8869036064031377"/>
    <n v="31.403358723399833"/>
    <n v="0"/>
    <n v="0"/>
    <n v="0"/>
    <n v="0"/>
    <n v="0"/>
    <n v="0"/>
    <n v="0"/>
    <n v="0"/>
    <n v="135.94473420930217"/>
    <n v="0"/>
    <n v="0"/>
    <n v="0"/>
    <n v="14.398044653874194"/>
    <n v="0"/>
    <n v="-134.34535807358407"/>
    <m/>
    <n v="0"/>
    <n v="0"/>
    <n v="0"/>
    <n v="0"/>
    <n v="-17.513451909843752"/>
    <n v="-2.3388781245486179"/>
    <n v="0"/>
    <n v="0"/>
    <m/>
    <m/>
    <m/>
    <n v="4512.5062959305114"/>
    <n v="0"/>
    <n v="0"/>
    <n v="-1497.6245499999995"/>
    <n v="135.95785999999953"/>
    <n v="0"/>
    <n v="0"/>
    <n v="-1395.2711203777912"/>
    <n v="0"/>
    <n v="0"/>
    <n v="0"/>
    <n v="0"/>
    <n v="0"/>
    <n v="0"/>
    <n v="0"/>
    <n v="0"/>
    <n v="0"/>
    <n v="0"/>
    <n v="0"/>
    <n v="0"/>
    <n v="742.3975429823553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8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1"/>
    <n v="0.1"/>
    <n v="0.1"/>
    <n v="0.1"/>
    <m/>
    <n v="333.61"/>
    <n v="128.11000000000001"/>
    <m/>
    <n v="46.172000000000004"/>
    <n v="46.172000000000004"/>
    <n v="40.303000000000004"/>
    <n v="0"/>
    <n v="6.12160504483818"/>
    <n v="0"/>
    <n v="0"/>
    <n v="0"/>
    <n v="0"/>
    <n v="19.449619826432102"/>
    <n v="12.8111046425183"/>
    <n v="0"/>
    <n v="0"/>
    <n v="0"/>
    <n v="0"/>
    <n v="0"/>
    <n v="0.9453850413151571"/>
    <m/>
    <n v="8.603879062643531E-2"/>
    <n v="0.34760201684166503"/>
    <n v="1.8542635581772402"/>
    <n v="0"/>
    <n v="0"/>
    <n v="0"/>
    <n v="0"/>
    <n v="0"/>
    <n v="0"/>
    <n v="0"/>
    <n v="0"/>
    <n v="0"/>
    <n v="0"/>
    <m/>
    <n v="0"/>
    <n v="0"/>
    <n v="0"/>
    <n v="0"/>
    <n v="0"/>
    <n v="1.3568370836966701"/>
    <n v="0"/>
    <n v="0"/>
    <n v="0"/>
    <n v="0"/>
    <n v="0"/>
    <m/>
    <m/>
    <m/>
    <m/>
    <m/>
    <n v="4.8369999999999989"/>
    <m/>
    <m/>
    <m/>
    <n v="14.16794172621497"/>
    <m/>
    <m/>
    <m/>
    <m/>
    <m/>
    <m/>
    <m/>
    <m/>
    <m/>
    <m/>
    <m/>
    <m/>
    <n v="35.466000000000008"/>
    <n v="-5.1959999999999908"/>
    <m/>
    <m/>
    <m/>
    <m/>
    <n v="-6.4550000000000018"/>
    <n v="0.58599999999999852"/>
    <n v="31"/>
    <n v="0.14411168951771458"/>
    <n v="2.5373490825408962E-2"/>
    <n v="0.13535347064092007"/>
    <n v="0"/>
    <n v="0"/>
    <n v="0"/>
    <n v="0"/>
    <n v="0"/>
    <n v="0"/>
    <n v="0"/>
    <n v="0"/>
    <n v="0.5859434257545022"/>
    <n v="0"/>
    <n v="0"/>
    <n v="0"/>
    <n v="6.2057862393320118E-2"/>
    <n v="0"/>
    <n v="-0.57904986023698957"/>
    <m/>
    <n v="0"/>
    <n v="0"/>
    <n v="0"/>
    <n v="0"/>
    <n v="-7.5485763156087016E-2"/>
    <n v="-1.0080936703368903E-2"/>
    <n v="0"/>
    <n v="0"/>
    <m/>
    <m/>
    <m/>
    <n v="19.449619826432102"/>
    <n v="0"/>
    <n v="0"/>
    <n v="-6.4550000000000018"/>
    <n v="0.58599999999999852"/>
    <n v="0"/>
    <n v="0"/>
    <n v="-6.0138404395405018"/>
    <n v="0"/>
    <n v="0"/>
    <n v="0"/>
    <n v="0"/>
    <n v="0"/>
    <n v="0"/>
    <n v="0"/>
    <n v="0"/>
    <n v="0"/>
    <n v="0"/>
    <n v="0"/>
    <n v="0"/>
    <n v="3.1998514847737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19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14.337"/>
    <n v="5.7347999999999999"/>
    <n v="14.337"/>
    <n v="5.7347999999999999"/>
    <m/>
    <n v="333.61"/>
    <n v="128.11000000000001"/>
    <m/>
    <n v="6619.6796400000003"/>
    <n v="6619.6796400000003"/>
    <n v="5778.2411099999999"/>
    <n v="0"/>
    <n v="877.65451527844982"/>
    <n v="0"/>
    <n v="0"/>
    <n v="0"/>
    <n v="0"/>
    <n v="2788.4919945155702"/>
    <n v="1836.7280725978485"/>
    <n v="0"/>
    <n v="0"/>
    <n v="0"/>
    <n v="0"/>
    <n v="0"/>
    <n v="135.53985337335408"/>
    <m/>
    <n v="12.33538141211203"/>
    <n v="49.835701154589508"/>
    <n v="265.84576633587091"/>
    <n v="0"/>
    <n v="0"/>
    <n v="0"/>
    <n v="0"/>
    <n v="0"/>
    <n v="0"/>
    <n v="0"/>
    <n v="0"/>
    <n v="0"/>
    <n v="0"/>
    <m/>
    <n v="0"/>
    <n v="0"/>
    <n v="0"/>
    <n v="0"/>
    <n v="0"/>
    <n v="194.52973268959158"/>
    <n v="0"/>
    <n v="0"/>
    <n v="0"/>
    <n v="0"/>
    <n v="0"/>
    <m/>
    <m/>
    <m/>
    <m/>
    <m/>
    <m/>
    <n v="3744.3369419999999"/>
    <m/>
    <m/>
    <n v="2031.2578052874401"/>
    <m/>
    <m/>
    <m/>
    <m/>
    <m/>
    <m/>
    <m/>
    <m/>
    <m/>
    <m/>
    <m/>
    <m/>
    <n v="2032.2018000000003"/>
    <n v="-297.99213599999985"/>
    <m/>
    <m/>
    <m/>
    <m/>
    <n v="-925.45335000000011"/>
    <n v="84.014819999999787"/>
    <n v="31"/>
    <n v="20.661292926153692"/>
    <n v="3.63779737963889"/>
    <n v="19.405627085788694"/>
    <n v="0"/>
    <n v="0"/>
    <n v="0"/>
    <n v="0"/>
    <n v="0"/>
    <n v="0"/>
    <n v="0"/>
    <n v="0"/>
    <n v="84.00670895042299"/>
    <n v="0"/>
    <n v="0"/>
    <n v="0"/>
    <n v="8.8972357313302837"/>
    <n v="0"/>
    <n v="-83.018378462177225"/>
    <m/>
    <n v="0"/>
    <n v="0"/>
    <n v="0"/>
    <n v="0"/>
    <n v="-10.822393863688205"/>
    <n v="-1.4453038951620005"/>
    <n v="0"/>
    <n v="0"/>
    <m/>
    <m/>
    <m/>
    <n v="2788.4919945155702"/>
    <n v="0"/>
    <n v="0"/>
    <n v="-925.45335000000068"/>
    <n v="84.014819999999645"/>
    <n v="0"/>
    <n v="0"/>
    <n v="-862.20430381692177"/>
    <n v="0"/>
    <n v="0"/>
    <n v="0"/>
    <n v="0"/>
    <n v="0"/>
    <n v="0"/>
    <n v="0"/>
    <n v="0"/>
    <n v="0"/>
    <n v="0"/>
    <n v="0"/>
    <n v="0"/>
    <n v="458.7627073720111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0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7.5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21"/>
    <s v="Regular"/>
    <s v="Convencional"/>
    <s v="B2"/>
    <s v="Rural"/>
    <s v="Aquicultura"/>
    <s v="IRRIG./AQUIC."/>
    <s v="Não se aplica"/>
    <s v="Não se aplica"/>
    <s v="CATIVO"/>
    <x v="6"/>
    <n v="0"/>
    <n v="0"/>
    <n v="1.677"/>
    <n v="1.677"/>
    <n v="1.677"/>
    <n v="1.677"/>
    <m/>
    <n v="333.61"/>
    <n v="128.11000000000001"/>
    <m/>
    <n v="774.30444000000011"/>
    <n v="774.30444000000011"/>
    <n v="675.88130999999998"/>
    <n v="0"/>
    <n v="102.65931660193628"/>
    <n v="0"/>
    <n v="0"/>
    <n v="0"/>
    <n v="0"/>
    <n v="326.17012448926636"/>
    <n v="214.84222485503187"/>
    <n v="0"/>
    <n v="0"/>
    <n v="0"/>
    <n v="0"/>
    <n v="0"/>
    <n v="15.854107142855185"/>
    <m/>
    <n v="1.4428705188053201"/>
    <n v="5.8292858224347226"/>
    <n v="31.095999870632319"/>
    <n v="0"/>
    <n v="0"/>
    <n v="0"/>
    <n v="0"/>
    <n v="0"/>
    <n v="0"/>
    <n v="0"/>
    <n v="0"/>
    <n v="0"/>
    <n v="0"/>
    <m/>
    <n v="0"/>
    <n v="0"/>
    <n v="0"/>
    <n v="0"/>
    <n v="0"/>
    <n v="22.754157893593156"/>
    <n v="0"/>
    <n v="0"/>
    <n v="0"/>
    <n v="0"/>
    <n v="0"/>
    <m/>
    <m/>
    <m/>
    <m/>
    <m/>
    <n v="81.116489999999985"/>
    <m/>
    <m/>
    <m/>
    <n v="237.59638274862502"/>
    <m/>
    <m/>
    <m/>
    <m/>
    <m/>
    <m/>
    <m/>
    <m/>
    <m/>
    <m/>
    <m/>
    <m/>
    <n v="595.8288"/>
    <n v="-85.599839999999972"/>
    <m/>
    <m/>
    <m/>
    <m/>
    <n v="-108.25035000000003"/>
    <n v="9.8272199999999756"/>
    <n v="31"/>
    <n v="2.4167530332118758"/>
    <n v="0.42551344114210821"/>
    <n v="2.2698777026482233"/>
    <n v="0"/>
    <n v="0"/>
    <n v="0"/>
    <n v="0"/>
    <n v="0"/>
    <n v="0"/>
    <n v="0"/>
    <n v="0"/>
    <n v="9.8262712499030158"/>
    <n v="0"/>
    <n v="0"/>
    <n v="0"/>
    <n v="1.040710352335978"/>
    <n v="0"/>
    <n v="-9.7106661561743266"/>
    <m/>
    <n v="0"/>
    <n v="0"/>
    <n v="0"/>
    <n v="0"/>
    <n v="-1.2658962481275804"/>
    <n v="-0.1690573085154965"/>
    <n v="0"/>
    <n v="0"/>
    <m/>
    <m/>
    <m/>
    <n v="326.17012448926636"/>
    <n v="0"/>
    <n v="0"/>
    <n v="-108.25035000000003"/>
    <n v="9.8272199999999543"/>
    <n v="0"/>
    <n v="0"/>
    <n v="-100.85210417109423"/>
    <n v="0"/>
    <n v="0"/>
    <n v="0"/>
    <n v="0"/>
    <n v="0"/>
    <n v="0"/>
    <n v="0"/>
    <n v="0"/>
    <n v="0"/>
    <n v="0"/>
    <n v="0"/>
    <n v="0"/>
    <n v="53.66150939965562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2"/>
    <s v="Regular"/>
    <s v="Convencional"/>
    <s v="B2"/>
    <s v="Rural"/>
    <s v="Aquicultura"/>
    <s v="IRRIG./AQUIC. PR"/>
    <s v="Não se aplica"/>
    <s v="Não se aplica"/>
    <s v="CATIVO"/>
    <x v="6"/>
    <n v="0"/>
    <n v="0"/>
    <n v="3.2210000000000001"/>
    <n v="1.2884"/>
    <n v="3.2210000000000001"/>
    <n v="1.2884"/>
    <m/>
    <n v="333.61"/>
    <n v="128.11000000000001"/>
    <m/>
    <n v="1487.20012"/>
    <n v="1487.20012"/>
    <n v="1298.1596300000001"/>
    <n v="0"/>
    <n v="197.17689849423778"/>
    <n v="0"/>
    <n v="0"/>
    <n v="0"/>
    <n v="0"/>
    <n v="626.47225460937796"/>
    <n v="412.64568053551443"/>
    <n v="0"/>
    <n v="0"/>
    <n v="0"/>
    <n v="0"/>
    <n v="0"/>
    <n v="30.45085218076121"/>
    <m/>
    <n v="2.7713094460774812"/>
    <n v="11.19626096247003"/>
    <n v="59.725829208888904"/>
    <n v="0"/>
    <n v="0"/>
    <n v="0"/>
    <n v="0"/>
    <n v="0"/>
    <n v="0"/>
    <n v="0"/>
    <n v="0"/>
    <n v="0"/>
    <n v="0"/>
    <m/>
    <n v="0"/>
    <n v="0"/>
    <n v="0"/>
    <n v="0"/>
    <n v="0"/>
    <n v="43.703722465869745"/>
    <n v="0"/>
    <n v="0"/>
    <n v="0"/>
    <n v="0"/>
    <n v="0"/>
    <m/>
    <m/>
    <m/>
    <m/>
    <m/>
    <m/>
    <n v="841.21568600000001"/>
    <m/>
    <m/>
    <n v="456.34940300138419"/>
    <m/>
    <m/>
    <m/>
    <m/>
    <m/>
    <m/>
    <m/>
    <m/>
    <m/>
    <m/>
    <m/>
    <m/>
    <n v="457.51140000000004"/>
    <n v="-66.02128799999997"/>
    <m/>
    <m/>
    <m/>
    <m/>
    <n v="-207.91555000000005"/>
    <n v="18.875059999999952"/>
    <n v="31"/>
    <n v="4.6418375193654811"/>
    <n v="0.81728013948642442"/>
    <n v="4.3597352893440373"/>
    <n v="0"/>
    <n v="0"/>
    <n v="0"/>
    <n v="0"/>
    <n v="0"/>
    <n v="0"/>
    <n v="0"/>
    <n v="0"/>
    <n v="18.873237743552522"/>
    <n v="0"/>
    <n v="0"/>
    <n v="0"/>
    <n v="1.9988837476888364"/>
    <n v="0"/>
    <n v="-18.651195998233447"/>
    <m/>
    <n v="0"/>
    <n v="0"/>
    <n v="0"/>
    <n v="0"/>
    <n v="-2.4313964312575642"/>
    <n v="-0.3247069712155124"/>
    <n v="0"/>
    <n v="0"/>
    <m/>
    <m/>
    <m/>
    <n v="626.47225460937796"/>
    <n v="0"/>
    <n v="0"/>
    <n v="-207.91554999999994"/>
    <n v="18.875059999999962"/>
    <n v="0"/>
    <n v="0"/>
    <n v="-193.70580055759956"/>
    <n v="0"/>
    <n v="0"/>
    <n v="0"/>
    <n v="0"/>
    <n v="0"/>
    <n v="0"/>
    <n v="0"/>
    <n v="0"/>
    <n v="0"/>
    <n v="0"/>
    <n v="0"/>
    <n v="0"/>
    <n v="103.0672163245621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3"/>
    <s v="Regular"/>
    <s v="Convencional"/>
    <s v="B1"/>
    <s v="Residencial"/>
    <s v="Residencial"/>
    <s v="Não se aplica"/>
    <s v="Não se aplica"/>
    <s v="Não se aplica"/>
    <s v="CATIVO"/>
    <x v="7"/>
    <n v="0"/>
    <n v="0"/>
    <n v="4741.5280000000002"/>
    <n v="4741.5280000000002"/>
    <n v="4741.5280000000002"/>
    <n v="4741.5280000000002"/>
    <m/>
    <n v="333.61"/>
    <n v="128.11000000000001"/>
    <m/>
    <n v="2189258.3081600005"/>
    <n v="2189258.3081600005"/>
    <n v="1910978.02984"/>
    <n v="0"/>
    <n v="290257.61725041486"/>
    <n v="0"/>
    <n v="0"/>
    <n v="0"/>
    <n v="0"/>
    <n v="922209.16996382957"/>
    <n v="607442.11373430514"/>
    <n v="0"/>
    <n v="0"/>
    <n v="0"/>
    <n v="0"/>
    <n v="0"/>
    <n v="44825.696441769745"/>
    <m/>
    <n v="4079.5533484138055"/>
    <n v="16481.646957112262"/>
    <n v="87920.42580477013"/>
    <n v="0"/>
    <n v="0"/>
    <n v="0"/>
    <n v="0"/>
    <n v="0"/>
    <n v="0"/>
    <n v="0"/>
    <n v="0"/>
    <n v="0"/>
    <n v="0"/>
    <m/>
    <n v="0"/>
    <n v="0"/>
    <n v="0"/>
    <n v="0"/>
    <n v="0"/>
    <n v="64334.810237861049"/>
    <n v="0"/>
    <n v="0"/>
    <n v="0"/>
    <n v="543418.75"/>
    <n v="20577"/>
    <m/>
    <m/>
    <m/>
    <m/>
    <m/>
    <m/>
    <m/>
    <m/>
    <m/>
    <n v="671776.92397216614"/>
    <m/>
    <m/>
    <m/>
    <m/>
    <m/>
    <m/>
    <m/>
    <m/>
    <m/>
    <m/>
    <m/>
    <m/>
    <n v="1910978.8358999998"/>
    <n v="-278279.50225999998"/>
    <m/>
    <m/>
    <m/>
    <m/>
    <n v="-306065.63240000006"/>
    <n v="27785.354079999932"/>
    <n v="30"/>
    <n v="6833.0961097551044"/>
    <n v="1203.0911720641998"/>
    <n v="6417.8227094110043"/>
    <n v="0"/>
    <n v="0"/>
    <n v="0"/>
    <n v="0"/>
    <n v="0"/>
    <n v="0"/>
    <n v="0"/>
    <n v="0"/>
    <n v="27782.671596308821"/>
    <n v="0"/>
    <n v="0"/>
    <n v="0"/>
    <n v="2942.490921580742"/>
    <n v="0"/>
    <n v="-27455.811257097754"/>
    <m/>
    <n v="0"/>
    <n v="0"/>
    <n v="0"/>
    <n v="0"/>
    <n v="-3579.1785960595516"/>
    <n v="-477.99043645251368"/>
    <n v="0"/>
    <n v="0"/>
    <m/>
    <m/>
    <m/>
    <n v="922209.16996382957"/>
    <n v="0"/>
    <n v="0"/>
    <n v="-306065.6324"/>
    <n v="27785.354079999845"/>
    <n v="0"/>
    <n v="0"/>
    <n v="-285147.92831613601"/>
    <n v="0"/>
    <n v="0"/>
    <n v="0"/>
    <n v="0"/>
    <n v="0"/>
    <n v="0"/>
    <n v="0"/>
    <n v="0"/>
    <n v="0"/>
    <n v="0"/>
    <n v="0"/>
    <n v="0"/>
    <n v="151721.8541089626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4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46400000000000002"/>
    <n v="-0.46400000000000002"/>
    <n v="-0.46400000000000002"/>
    <n v="-0.46400000000000002"/>
    <m/>
    <n v="333.61"/>
    <n v="128.11000000000001"/>
    <m/>
    <n v="-214.23808000000002"/>
    <n v="-214.23808000000002"/>
    <n v="-187.00592"/>
    <n v="0"/>
    <n v="-28.404247408049155"/>
    <n v="0"/>
    <n v="0"/>
    <n v="0"/>
    <n v="0"/>
    <n v="-90.246235994644948"/>
    <n v="-59.443525541284913"/>
    <n v="0"/>
    <n v="0"/>
    <n v="0"/>
    <n v="0"/>
    <n v="0"/>
    <n v="-4.3865865917023292"/>
    <m/>
    <n v="-0.3992199885066598"/>
    <n v="-1.6128733581453256"/>
    <n v="-8.6037829099423941"/>
    <n v="0"/>
    <n v="0"/>
    <n v="0"/>
    <n v="0"/>
    <n v="0"/>
    <n v="0"/>
    <n v="0"/>
    <n v="0"/>
    <n v="0"/>
    <n v="0"/>
    <m/>
    <n v="0"/>
    <n v="0"/>
    <n v="0"/>
    <n v="0"/>
    <n v="0"/>
    <n v="-6.2957240683525493"/>
    <n v="0"/>
    <n v="0"/>
    <n v="0"/>
    <n v="-90.41"/>
    <n v="0"/>
    <m/>
    <m/>
    <m/>
    <m/>
    <m/>
    <m/>
    <m/>
    <m/>
    <m/>
    <n v="-65.739249609637469"/>
    <m/>
    <m/>
    <m/>
    <m/>
    <m/>
    <m/>
    <m/>
    <m/>
    <m/>
    <m/>
    <m/>
    <m/>
    <n v="-185.3938"/>
    <n v="28.814280000000053"/>
    <m/>
    <m/>
    <m/>
    <m/>
    <n v="29.951200000000007"/>
    <n v="-2.7190399999999935"/>
    <n v="30"/>
    <n v="-0.66867823936213711"/>
    <n v="-0.11773299742989773"/>
    <n v="-0.62804010377386987"/>
    <n v="0"/>
    <n v="0"/>
    <n v="0"/>
    <n v="0"/>
    <n v="0"/>
    <n v="0"/>
    <n v="0"/>
    <n v="0"/>
    <n v="-2.7187774955008877"/>
    <n v="0"/>
    <n v="0"/>
    <n v="0"/>
    <n v="-0.28794848150500485"/>
    <n v="0"/>
    <n v="2.6867913514996324"/>
    <m/>
    <n v="0"/>
    <n v="0"/>
    <n v="0"/>
    <n v="0"/>
    <n v="0.35025394104424379"/>
    <n v="4.6775546303631677E-2"/>
    <n v="0"/>
    <n v="0"/>
    <m/>
    <m/>
    <m/>
    <n v="-90.246235994644948"/>
    <n v="0"/>
    <n v="0"/>
    <n v="29.951199999999986"/>
    <n v="-2.7190399999999926"/>
    <n v="0"/>
    <n v="0"/>
    <n v="27.904219639467925"/>
    <n v="0"/>
    <n v="0"/>
    <n v="0"/>
    <n v="0"/>
    <n v="0"/>
    <n v="0"/>
    <n v="0"/>
    <n v="0"/>
    <n v="0"/>
    <n v="0"/>
    <n v="0"/>
    <n v="0"/>
    <n v="-14.8473108893501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5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9.015000000000001"/>
    <n v="19.015000000000001"/>
    <n v="19.015000000000001"/>
    <n v="19.015000000000001"/>
    <m/>
    <n v="333.61"/>
    <n v="128.11000000000001"/>
    <m/>
    <n v="8779.6058000000012"/>
    <n v="8779.6058000000012"/>
    <n v="7663.6154500000002"/>
    <n v="0"/>
    <n v="1164.02319927598"/>
    <n v="0"/>
    <n v="0"/>
    <n v="0"/>
    <n v="0"/>
    <n v="3698.3452099960641"/>
    <n v="2436.0315477748545"/>
    <n v="0"/>
    <n v="0"/>
    <n v="0"/>
    <n v="0"/>
    <n v="0"/>
    <n v="179.76496560607711"/>
    <m/>
    <n v="16.360276037616675"/>
    <n v="66.096523502442608"/>
    <n v="352.5882155874022"/>
    <n v="0"/>
    <n v="0"/>
    <n v="0"/>
    <n v="0"/>
    <n v="0"/>
    <n v="0"/>
    <n v="0"/>
    <n v="0"/>
    <n v="0"/>
    <n v="0"/>
    <m/>
    <n v="0"/>
    <n v="0"/>
    <n v="0"/>
    <n v="0"/>
    <n v="0"/>
    <n v="258.0025714649218"/>
    <n v="0"/>
    <n v="0"/>
    <n v="0"/>
    <n v="4667.6400000000003"/>
    <n v="63"/>
    <m/>
    <m/>
    <m/>
    <m/>
    <m/>
    <m/>
    <m/>
    <m/>
    <m/>
    <n v="2694.0341192397764"/>
    <m/>
    <m/>
    <m/>
    <m/>
    <m/>
    <m/>
    <m/>
    <m/>
    <m/>
    <m/>
    <m/>
    <m/>
    <n v="7665.6306000000004"/>
    <n v="-1114.0052000000014"/>
    <m/>
    <m/>
    <m/>
    <m/>
    <n v="-1227.4182500000002"/>
    <n v="111.42789999999972"/>
    <n v="30"/>
    <n v="27.402837761792398"/>
    <n v="4.8247692804515196"/>
    <n v="25.737462442370941"/>
    <n v="0"/>
    <n v="0"/>
    <n v="0"/>
    <n v="0"/>
    <n v="0"/>
    <n v="0"/>
    <n v="0"/>
    <n v="0"/>
    <n v="111.41714240721876"/>
    <n v="0"/>
    <n v="0"/>
    <n v="0"/>
    <n v="11.800302534089838"/>
    <n v="0"/>
    <n v="-110.10633092406374"/>
    <m/>
    <n v="0"/>
    <n v="0"/>
    <n v="0"/>
    <n v="0"/>
    <n v="-14.353617864129944"/>
    <n v="-1.9168901141455983"/>
    <n v="0"/>
    <n v="0"/>
    <m/>
    <m/>
    <m/>
    <n v="3698.3452099960641"/>
    <n v="0"/>
    <n v="0"/>
    <n v="-1227.4182500000006"/>
    <n v="111.42789999999968"/>
    <n v="0"/>
    <n v="0"/>
    <n v="-1143.5317595786264"/>
    <n v="0"/>
    <n v="0"/>
    <n v="0"/>
    <n v="0"/>
    <n v="0"/>
    <n v="0"/>
    <n v="0"/>
    <n v="0"/>
    <n v="0"/>
    <n v="0"/>
    <n v="0"/>
    <n v="0"/>
    <n v="608.4517598297267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6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1.99"/>
    <n v="21.99"/>
    <n v="21.99"/>
    <n v="21.99"/>
    <m/>
    <n v="230.94"/>
    <n v="128.11000000000001"/>
    <m/>
    <n v="7895.5094999999992"/>
    <n v="7895.5094999999992"/>
    <n v="6748.7309999999998"/>
    <n v="0"/>
    <n v="0"/>
    <n v="0"/>
    <n v="0"/>
    <n v="0"/>
    <n v="0"/>
    <n v="4276.9713998324187"/>
    <n v="2817.1619108897739"/>
    <n v="0"/>
    <n v="0"/>
    <n v="0"/>
    <n v="0"/>
    <n v="0"/>
    <n v="0"/>
    <m/>
    <n v="18.919930058753121"/>
    <n v="76.437683503482134"/>
    <n v="407.75255644317508"/>
    <n v="0"/>
    <n v="0"/>
    <n v="0"/>
    <n v="0"/>
    <n v="0"/>
    <n v="0"/>
    <n v="0"/>
    <n v="0"/>
    <n v="0"/>
    <n v="0"/>
    <m/>
    <n v="0"/>
    <n v="0"/>
    <n v="0"/>
    <n v="0"/>
    <n v="0"/>
    <n v="298.36847470489772"/>
    <n v="0"/>
    <n v="0"/>
    <n v="0"/>
    <n v="315.2"/>
    <n v="17"/>
    <m/>
    <m/>
    <m/>
    <m/>
    <m/>
    <m/>
    <m/>
    <n v="4386.5652"/>
    <m/>
    <n v="3115.5303855946718"/>
    <m/>
    <m/>
    <m/>
    <m/>
    <m/>
    <m/>
    <m/>
    <m/>
    <m/>
    <m/>
    <m/>
    <m/>
    <n v="2362.1657999999998"/>
    <n v="-401.34750000000031"/>
    <m/>
    <m/>
    <m/>
    <m/>
    <n v="-1275.6398999999997"/>
    <n v="128.86139999999966"/>
    <n v="30"/>
    <n v="175.62254410908099"/>
    <n v="5.5796306325074312"/>
    <n v="29.764228193938266"/>
    <n v="0"/>
    <n v="0"/>
    <n v="0"/>
    <n v="0"/>
    <n v="0"/>
    <n v="0"/>
    <n v="0"/>
    <n v="0"/>
    <n v="128.84895932341487"/>
    <n v="0"/>
    <n v="0"/>
    <n v="0"/>
    <n v="13.646523940291047"/>
    <n v="0"/>
    <n v="0"/>
    <m/>
    <n v="0"/>
    <n v="0"/>
    <n v="0"/>
    <n v="0"/>
    <n v="0"/>
    <n v="-2.2167979810708189"/>
    <n v="0"/>
    <n v="0"/>
    <m/>
    <m/>
    <m/>
    <n v="4276.9713998324187"/>
    <n v="0"/>
    <n v="0"/>
    <n v="-1275.6398999999992"/>
    <n v="128.86139999999978"/>
    <n v="0"/>
    <n v="0"/>
    <n v="-1322.4435126549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7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47.735999999999997"/>
    <n v="47.735999999999997"/>
    <n v="47.735999999999997"/>
    <n v="47.735999999999997"/>
    <m/>
    <n v="230.94"/>
    <n v="128.11000000000001"/>
    <m/>
    <n v="17139.610799999999"/>
    <n v="17139.610799999999"/>
    <n v="14650.178399999999"/>
    <n v="0"/>
    <n v="0"/>
    <n v="0"/>
    <n v="0"/>
    <n v="0"/>
    <n v="0"/>
    <n v="9284.4705203456269"/>
    <n v="6115.5089121525352"/>
    <n v="0"/>
    <n v="0"/>
    <n v="0"/>
    <n v="0"/>
    <n v="0"/>
    <n v="0"/>
    <m/>
    <n v="41.071477093435156"/>
    <n v="165.93129875953719"/>
    <n v="885.15125213148735"/>
    <n v="0"/>
    <n v="0"/>
    <n v="0"/>
    <n v="0"/>
    <n v="0"/>
    <n v="0"/>
    <n v="0"/>
    <n v="0"/>
    <n v="0"/>
    <n v="0"/>
    <m/>
    <n v="0"/>
    <n v="0"/>
    <n v="0"/>
    <n v="0"/>
    <n v="0"/>
    <n v="647.69975027344231"/>
    <n v="0"/>
    <n v="0"/>
    <n v="0"/>
    <n v="1200.25"/>
    <n v="101"/>
    <m/>
    <m/>
    <m/>
    <m/>
    <m/>
    <m/>
    <m/>
    <n v="5860.0713599999999"/>
    <m/>
    <n v="6763.2086624259773"/>
    <m/>
    <m/>
    <m/>
    <m/>
    <m/>
    <m/>
    <m/>
    <m/>
    <m/>
    <m/>
    <m/>
    <m/>
    <n v="8790.8436000000002"/>
    <n v="-1493.4302399999997"/>
    <m/>
    <m/>
    <m/>
    <m/>
    <n v="-2769.1653599999995"/>
    <n v="279.73295999999925"/>
    <n v="30"/>
    <n v="381.24228129109179"/>
    <n v="12.11228958041724"/>
    <n v="64.612332745149502"/>
    <n v="0"/>
    <n v="0"/>
    <n v="0"/>
    <n v="0"/>
    <n v="0"/>
    <n v="0"/>
    <n v="0"/>
    <n v="0"/>
    <n v="279.70595371816853"/>
    <n v="0"/>
    <n v="0"/>
    <n v="0"/>
    <n v="29.623941192075335"/>
    <n v="0"/>
    <n v="0"/>
    <m/>
    <n v="0"/>
    <n v="0"/>
    <n v="0"/>
    <n v="0"/>
    <n v="0"/>
    <n v="-4.8122359447201859"/>
    <n v="0"/>
    <n v="0"/>
    <m/>
    <m/>
    <m/>
    <n v="9284.4705203456269"/>
    <n v="0"/>
    <n v="0"/>
    <n v="-2769.1653599999991"/>
    <n v="279.73295999999937"/>
    <n v="0"/>
    <n v="0"/>
    <n v="-2870.766872219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8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54.87"/>
    <n v="54.87"/>
    <n v="54.87"/>
    <n v="54.87"/>
    <m/>
    <n v="230.94"/>
    <n v="128.11000000000001"/>
    <m/>
    <n v="19701.073499999999"/>
    <n v="19701.073499999999"/>
    <n v="16839.602999999999"/>
    <n v="0"/>
    <n v="0"/>
    <n v="0"/>
    <n v="0"/>
    <n v="0"/>
    <n v="0"/>
    <n v="10672.006398763293"/>
    <n v="7029.4531173497908"/>
    <n v="0"/>
    <n v="0"/>
    <n v="0"/>
    <n v="0"/>
    <n v="0"/>
    <n v="0"/>
    <m/>
    <n v="47.209484416725047"/>
    <n v="190.72922664102157"/>
    <n v="1017.4344143718516"/>
    <n v="0"/>
    <n v="0"/>
    <n v="0"/>
    <n v="0"/>
    <n v="0"/>
    <n v="0"/>
    <n v="0"/>
    <n v="0"/>
    <n v="0"/>
    <n v="0"/>
    <m/>
    <n v="0"/>
    <n v="0"/>
    <n v="0"/>
    <n v="0"/>
    <n v="0"/>
    <n v="744.49650782436277"/>
    <n v="0"/>
    <n v="0"/>
    <n v="0"/>
    <n v="3521.3"/>
    <n v="331"/>
    <m/>
    <m/>
    <m/>
    <m/>
    <m/>
    <m/>
    <m/>
    <n v="1683.9603000000013"/>
    <m/>
    <n v="7773.9496251741539"/>
    <m/>
    <m/>
    <m/>
    <m/>
    <m/>
    <m/>
    <m/>
    <m/>
    <m/>
    <m/>
    <m/>
    <m/>
    <n v="15155.642699999997"/>
    <n v="-2575.627800000002"/>
    <m/>
    <m/>
    <m/>
    <m/>
    <n v="-3183.0086999999994"/>
    <n v="321.53819999999916"/>
    <n v="30"/>
    <n v="438.21778059414646"/>
    <n v="13.922434415901932"/>
    <n v="74.268449340672873"/>
    <n v="0"/>
    <n v="0"/>
    <n v="0"/>
    <n v="0"/>
    <n v="0"/>
    <n v="0"/>
    <n v="0"/>
    <n v="0"/>
    <n v="321.50715771149498"/>
    <n v="0"/>
    <n v="0"/>
    <n v="0"/>
    <n v="34.051149095214782"/>
    <n v="0"/>
    <n v="0"/>
    <m/>
    <n v="0"/>
    <n v="0"/>
    <n v="0"/>
    <n v="0"/>
    <n v="0"/>
    <n v="-5.5314099691385152"/>
    <n v="0"/>
    <n v="0"/>
    <m/>
    <m/>
    <m/>
    <n v="10672.006398763293"/>
    <n v="0"/>
    <n v="0"/>
    <n v="-3183.0087000000003"/>
    <n v="321.53819999999996"/>
    <n v="0"/>
    <n v="0"/>
    <n v="-3299.7942491758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29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28.201000000000001"/>
    <n v="28.201000000000001"/>
    <n v="28.201000000000001"/>
    <n v="28.201000000000001"/>
    <m/>
    <n v="230.94"/>
    <n v="128.11000000000001"/>
    <m/>
    <n v="10125.56905"/>
    <n v="10125.56905"/>
    <n v="8654.8868999999995"/>
    <n v="0"/>
    <n v="0"/>
    <n v="0"/>
    <n v="0"/>
    <n v="0"/>
    <n v="0"/>
    <n v="5484.9872872521173"/>
    <n v="3612.8596202365857"/>
    <n v="0"/>
    <n v="0"/>
    <n v="0"/>
    <n v="0"/>
    <n v="0"/>
    <n v="0"/>
    <m/>
    <n v="24.263799344561019"/>
    <n v="98.027244769517949"/>
    <n v="522.9208660415635"/>
    <n v="0"/>
    <n v="0"/>
    <n v="0"/>
    <n v="0"/>
    <n v="0"/>
    <n v="0"/>
    <n v="0"/>
    <n v="0"/>
    <n v="0"/>
    <n v="0"/>
    <m/>
    <n v="0"/>
    <n v="0"/>
    <n v="0"/>
    <n v="0"/>
    <n v="0"/>
    <n v="382.64162597329789"/>
    <n v="0"/>
    <n v="0"/>
    <n v="0"/>
    <n v="2883.46"/>
    <n v="284"/>
    <m/>
    <m/>
    <m/>
    <m/>
    <m/>
    <m/>
    <m/>
    <m/>
    <m/>
    <n v="3995.5012462098834"/>
    <m/>
    <m/>
    <m/>
    <m/>
    <m/>
    <m/>
    <m/>
    <m/>
    <m/>
    <m/>
    <m/>
    <m/>
    <n v="8654.58"/>
    <n v="-1471.0190500000008"/>
    <m/>
    <m/>
    <m/>
    <m/>
    <n v="-1635.9400099999998"/>
    <n v="165.2578599999996"/>
    <n v="30"/>
    <n v="225.22652871396986"/>
    <n v="7.1555781476735945"/>
    <n v="38.17103225544588"/>
    <n v="0"/>
    <n v="0"/>
    <n v="0"/>
    <n v="0"/>
    <n v="0"/>
    <n v="0"/>
    <n v="0"/>
    <n v="0"/>
    <n v="165.24190549702689"/>
    <n v="0"/>
    <n v="0"/>
    <n v="0"/>
    <n v="17.500937773540215"/>
    <n v="0"/>
    <n v="0"/>
    <m/>
    <n v="0"/>
    <n v="0"/>
    <n v="0"/>
    <n v="0"/>
    <n v="0"/>
    <n v="-2.8429249597170632"/>
    <n v="0"/>
    <n v="0"/>
    <m/>
    <m/>
    <m/>
    <n v="5484.9872872521173"/>
    <n v="0"/>
    <n v="0"/>
    <n v="-1635.9400100000003"/>
    <n v="165.25785999999971"/>
    <n v="0"/>
    <n v="0"/>
    <n v="-1695.9631423548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0"/>
    <s v="Regular"/>
    <s v="Convencional"/>
    <s v="B3"/>
    <s v="Industrial"/>
    <s v="Não se aplica"/>
    <s v="Não se aplica"/>
    <s v="Não se aplica"/>
    <s v="Não se aplica"/>
    <s v="CATIVO"/>
    <x v="7"/>
    <n v="0"/>
    <n v="0"/>
    <n v="439.601"/>
    <n v="439.601"/>
    <n v="439.601"/>
    <n v="439.601"/>
    <m/>
    <n v="333.61"/>
    <n v="128.11000000000001"/>
    <m/>
    <n v="202972.57372000001"/>
    <n v="202972.57372000001"/>
    <n v="177172.39103"/>
    <n v="0"/>
    <n v="26910.636993159089"/>
    <n v="0"/>
    <n v="0"/>
    <n v="0"/>
    <n v="0"/>
    <n v="85500.723253193777"/>
    <n v="56317.744119556868"/>
    <n v="0"/>
    <n v="0"/>
    <n v="0"/>
    <n v="0"/>
    <n v="0"/>
    <n v="4155.9220954718439"/>
    <m/>
    <n v="378.22738398171583"/>
    <n v="1528.0619420561277"/>
    <n v="8151.3611443827294"/>
    <n v="0"/>
    <n v="0"/>
    <n v="0"/>
    <n v="0"/>
    <n v="0"/>
    <n v="0"/>
    <n v="0"/>
    <n v="0"/>
    <n v="0"/>
    <n v="0"/>
    <m/>
    <n v="0"/>
    <n v="0"/>
    <n v="0"/>
    <n v="0"/>
    <n v="0"/>
    <n v="5964.6693883013986"/>
    <n v="0"/>
    <n v="0"/>
    <n v="0"/>
    <n v="77263.41"/>
    <n v="229"/>
    <m/>
    <m/>
    <m/>
    <m/>
    <m/>
    <m/>
    <m/>
    <m/>
    <m/>
    <n v="62282.413507858269"/>
    <m/>
    <m/>
    <m/>
    <m/>
    <m/>
    <m/>
    <m/>
    <m/>
    <m/>
    <m/>
    <m/>
    <m/>
    <n v="177171.98800000001"/>
    <n v="-25800.615720000031"/>
    <m/>
    <m/>
    <m/>
    <m/>
    <n v="-28376.244550000007"/>
    <n v="2576.0618599999934"/>
    <n v="30"/>
    <n v="633.51642823673319"/>
    <n v="111.54211940340633"/>
    <n v="595.01521047219012"/>
    <n v="0"/>
    <n v="0"/>
    <n v="0"/>
    <n v="0"/>
    <n v="0"/>
    <n v="0"/>
    <n v="0"/>
    <n v="0"/>
    <n v="2575.8131590510457"/>
    <n v="0"/>
    <n v="0"/>
    <n v="0"/>
    <n v="272.80698365965873"/>
    <n v="0"/>
    <n v="-2545.5089761004128"/>
    <m/>
    <n v="0"/>
    <n v="0"/>
    <n v="0"/>
    <n v="0"/>
    <n v="-331.83616969179047"/>
    <n v="-44.315898557376727"/>
    <n v="0"/>
    <n v="0"/>
    <m/>
    <m/>
    <m/>
    <n v="85500.723253193777"/>
    <n v="0"/>
    <n v="0"/>
    <n v="-28376.244550000003"/>
    <n v="2576.0618599999943"/>
    <n v="0"/>
    <n v="0"/>
    <n v="-26436.902710624439"/>
    <n v="0"/>
    <n v="0"/>
    <n v="0"/>
    <n v="0"/>
    <n v="0"/>
    <n v="0"/>
    <n v="0"/>
    <n v="0"/>
    <n v="0"/>
    <n v="0"/>
    <n v="0"/>
    <n v="0"/>
    <n v="14066.57912558020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1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9140000000000001"/>
    <n v="2.9140000000000001"/>
    <n v="2.9140000000000001"/>
    <n v="2.9140000000000001"/>
    <m/>
    <n v="333.61"/>
    <n v="128.11000000000001"/>
    <m/>
    <n v="1345.4520800000003"/>
    <n v="1345.4520800000003"/>
    <n v="1174.4294199999999"/>
    <n v="0"/>
    <n v="178.38357100658459"/>
    <n v="0"/>
    <n v="0"/>
    <n v="0"/>
    <n v="0"/>
    <n v="566.76192174223149"/>
    <n v="373.31558928298324"/>
    <n v="0"/>
    <n v="0"/>
    <n v="0"/>
    <n v="0"/>
    <n v="0"/>
    <n v="27.548520103923678"/>
    <m/>
    <n v="2.5071703588543248"/>
    <n v="10.129122770766118"/>
    <n v="54.033240085284781"/>
    <n v="0"/>
    <n v="0"/>
    <n v="0"/>
    <n v="0"/>
    <n v="0"/>
    <n v="0"/>
    <n v="0"/>
    <n v="0"/>
    <n v="0"/>
    <n v="0"/>
    <m/>
    <n v="0"/>
    <n v="0"/>
    <n v="0"/>
    <n v="0"/>
    <n v="0"/>
    <n v="39.538232618920965"/>
    <n v="0"/>
    <n v="0"/>
    <n v="0"/>
    <n v="1574.67"/>
    <n v="2"/>
    <m/>
    <m/>
    <m/>
    <m/>
    <m/>
    <m/>
    <m/>
    <m/>
    <m/>
    <n v="412.85382190190421"/>
    <m/>
    <m/>
    <m/>
    <m/>
    <m/>
    <m/>
    <m/>
    <m/>
    <m/>
    <m/>
    <m/>
    <m/>
    <n v="1172.8173000000002"/>
    <n v="-172.66478000000006"/>
    <m/>
    <m/>
    <m/>
    <m/>
    <n v="-188.09870000000004"/>
    <n v="17.076039999999956"/>
    <n v="30"/>
    <n v="4.1994146325461088"/>
    <n v="0.73938352265241924"/>
    <n v="3.9442001344764037"/>
    <n v="0"/>
    <n v="0"/>
    <n v="0"/>
    <n v="0"/>
    <n v="0"/>
    <n v="0"/>
    <n v="0"/>
    <n v="0"/>
    <n v="17.074391426486216"/>
    <n v="0"/>
    <n v="0"/>
    <n v="0"/>
    <n v="1.8083661101413497"/>
    <n v="0"/>
    <n v="-16.87351292730591"/>
    <m/>
    <n v="0"/>
    <n v="0"/>
    <n v="0"/>
    <n v="0"/>
    <n v="-2.199655138368378"/>
    <n v="-0.29375849553616984"/>
    <n v="0"/>
    <n v="0"/>
    <m/>
    <m/>
    <m/>
    <n v="566.76192174223149"/>
    <n v="0"/>
    <n v="0"/>
    <n v="-188.09870000000012"/>
    <n v="17.076039999999921"/>
    <n v="0"/>
    <n v="0"/>
    <n v="-175.24331040821028"/>
    <n v="0"/>
    <n v="0"/>
    <n v="0"/>
    <n v="0"/>
    <n v="0"/>
    <n v="0"/>
    <n v="0"/>
    <n v="0"/>
    <n v="0"/>
    <n v="0"/>
    <n v="0"/>
    <n v="0"/>
    <n v="93.24367226630678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2"/>
    <s v="Regular"/>
    <s v="Azul"/>
    <s v="A3"/>
    <s v="Industrial"/>
    <s v="Não se aplica"/>
    <s v="Não se aplica"/>
    <s v="Não se aplica"/>
    <s v="Ponta"/>
    <s v="CATIVO"/>
    <x v="7"/>
    <n v="2505"/>
    <n v="2505"/>
    <n v="82.11"/>
    <n v="82.11"/>
    <n v="82.11"/>
    <n v="82.11"/>
    <n v="28.46"/>
    <n v="75.12"/>
    <n v="128.11000000000001"/>
    <n v="71292.3"/>
    <n v="16687.2153"/>
    <n v="87979.515299999999"/>
    <n v="71280.171600000001"/>
    <n v="0"/>
    <n v="3367.7214345521411"/>
    <n v="0"/>
    <n v="0"/>
    <n v="0"/>
    <n v="0"/>
    <n v="57594.878458265797"/>
    <n v="10519.198021971775"/>
    <n v="0"/>
    <n v="0"/>
    <n v="0"/>
    <n v="0"/>
    <n v="0"/>
    <n v="776.2556574238755"/>
    <m/>
    <n v="20.096915148463872"/>
    <n v="2062.2937559686225"/>
    <n v="11625.550132007676"/>
    <n v="0"/>
    <n v="0"/>
    <n v="0"/>
    <n v="0"/>
    <n v="0"/>
    <n v="0"/>
    <n v="0"/>
    <n v="0"/>
    <n v="0"/>
    <n v="0"/>
    <m/>
    <n v="0"/>
    <n v="0"/>
    <n v="0"/>
    <n v="0"/>
    <n v="0"/>
    <n v="243.65164165779211"/>
    <n v="0"/>
    <n v="0"/>
    <n v="0"/>
    <n v="0"/>
    <n v="0"/>
    <m/>
    <m/>
    <m/>
    <m/>
    <m/>
    <m/>
    <m/>
    <m/>
    <m/>
    <n v="10762.849663629568"/>
    <m/>
    <m/>
    <m/>
    <m/>
    <m/>
    <m/>
    <m/>
    <m/>
    <m/>
    <m/>
    <m/>
    <m/>
    <n v="71280.171600000001"/>
    <n v="-16699.373699999982"/>
    <m/>
    <m/>
    <m/>
    <m/>
    <n v="-17180.508300000001"/>
    <n v="481.16459999999876"/>
    <n v="30"/>
    <n v="1108.5245171541319"/>
    <n v="150.53880346212964"/>
    <n v="848.61645020083051"/>
    <n v="0"/>
    <n v="0"/>
    <n v="0"/>
    <n v="0"/>
    <n v="0"/>
    <n v="0"/>
    <n v="0"/>
    <n v="0"/>
    <n v="481.11814688702179"/>
    <n v="0"/>
    <n v="0"/>
    <n v="0"/>
    <n v="11.143931892481532"/>
    <n v="0"/>
    <n v="-318.55675296120216"/>
    <m/>
    <n v="0"/>
    <n v="0"/>
    <n v="0"/>
    <n v="0"/>
    <n v="-61.981360127463063"/>
    <n v="-2.3547021996656348"/>
    <n v="0"/>
    <n v="0"/>
    <m/>
    <m/>
    <n v="57594.878458265797"/>
    <n v="0"/>
    <n v="0"/>
    <n v="0"/>
    <n v="-17180.508300000001"/>
    <n v="481.16460000000006"/>
    <n v="0"/>
    <n v="0"/>
    <n v="-17808.389689551848"/>
    <n v="0"/>
    <n v="0"/>
    <n v="0"/>
    <n v="0"/>
    <n v="0"/>
    <n v="0"/>
    <n v="0"/>
    <n v="0"/>
    <n v="0"/>
    <n v="0"/>
    <n v="0"/>
    <n v="0"/>
    <n v="1760.356696278974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3"/>
    <s v="Regular"/>
    <s v="Azul"/>
    <s v="A3"/>
    <s v="Industrial"/>
    <s v="Não se aplica"/>
    <s v="Não se aplica"/>
    <s v="Não se aplica"/>
    <s v="Fora ponta"/>
    <s v="CATIVO"/>
    <x v="7"/>
    <n v="2500"/>
    <n v="2500"/>
    <n v="879.77"/>
    <n v="879.77"/>
    <n v="879.77"/>
    <n v="879.77"/>
    <n v="9.92"/>
    <n v="75.12"/>
    <n v="128.11000000000001"/>
    <n v="24800"/>
    <n v="178795.65710000001"/>
    <n v="203595.65710000001"/>
    <n v="201865.7512"/>
    <n v="0"/>
    <n v="36083.549950991808"/>
    <n v="0"/>
    <n v="0"/>
    <n v="0"/>
    <n v="0"/>
    <n v="12300.546167828574"/>
    <n v="112708.25531348324"/>
    <n v="0"/>
    <n v="0"/>
    <n v="0"/>
    <n v="0"/>
    <n v="0"/>
    <n v="8317.2139779783574"/>
    <m/>
    <n v="215.32898599639583"/>
    <n v="1858.1087599355999"/>
    <n v="10633.863386614099"/>
    <n v="0"/>
    <n v="0"/>
    <n v="0"/>
    <n v="0"/>
    <n v="0"/>
    <n v="0"/>
    <n v="0"/>
    <n v="0"/>
    <n v="0"/>
    <n v="0"/>
    <m/>
    <n v="0"/>
    <n v="0"/>
    <n v="0"/>
    <n v="0"/>
    <n v="0"/>
    <n v="2610.61265109336"/>
    <n v="0"/>
    <n v="0"/>
    <n v="0"/>
    <n v="0"/>
    <n v="0"/>
    <m/>
    <m/>
    <m/>
    <m/>
    <m/>
    <m/>
    <m/>
    <m/>
    <m/>
    <n v="115318.8679645766"/>
    <m/>
    <m/>
    <m/>
    <m/>
    <m/>
    <m/>
    <m/>
    <m/>
    <m/>
    <m/>
    <m/>
    <m/>
    <n v="201865.7512"/>
    <n v="-1729.9359000000113"/>
    <m/>
    <m/>
    <m/>
    <m/>
    <n v="-6885.3581000000013"/>
    <n v="5155.452199999987"/>
    <n v="30"/>
    <n v="2083.7018041741685"/>
    <n v="135.63415425841004"/>
    <n v="776.22747281642478"/>
    <n v="0"/>
    <n v="0"/>
    <n v="0"/>
    <n v="0"/>
    <n v="0"/>
    <n v="0"/>
    <n v="0"/>
    <n v="0"/>
    <n v="5154.9544767603802"/>
    <n v="0"/>
    <n v="0"/>
    <n v="0"/>
    <n v="119.40198466750053"/>
    <n v="0"/>
    <n v="-3413.1856601227228"/>
    <m/>
    <n v="0"/>
    <n v="0"/>
    <n v="0"/>
    <n v="0"/>
    <n v="-664.10109851830748"/>
    <n v="-25.229525687490423"/>
    <n v="0"/>
    <n v="0"/>
    <m/>
    <m/>
    <n v="12300.546167828574"/>
    <n v="0"/>
    <n v="0"/>
    <n v="0"/>
    <n v="-6885.3581000000122"/>
    <n v="5155.4521999999852"/>
    <n v="0"/>
    <n v="0"/>
    <n v="-3803.3402520285745"/>
    <n v="0"/>
    <n v="0"/>
    <n v="0"/>
    <n v="0"/>
    <n v="0"/>
    <n v="0"/>
    <n v="0"/>
    <n v="0"/>
    <n v="0"/>
    <n v="0"/>
    <n v="0"/>
    <n v="0"/>
    <n v="18861.39338308796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4"/>
    <s v="Regular"/>
    <s v="Azul"/>
    <s v="A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7343.4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35"/>
    <s v="Regular"/>
    <s v="Azul"/>
    <s v="A4"/>
    <s v="Industrial"/>
    <s v="Não se aplica"/>
    <s v="Não se aplica"/>
    <s v="Não se aplica"/>
    <s v="Ponta"/>
    <s v="CATIVO"/>
    <x v="7"/>
    <n v="6169"/>
    <n v="6169"/>
    <n v="298.16000000000003"/>
    <n v="298.16000000000003"/>
    <n v="298.16000000000003"/>
    <n v="298.16000000000003"/>
    <n v="52.19"/>
    <n v="96.28"/>
    <n v="128.11000000000001"/>
    <n v="321960.11"/>
    <n v="66904.122400000007"/>
    <n v="388864.23240000004"/>
    <n v="302264.3224"/>
    <n v="0"/>
    <n v="15879.394513469892"/>
    <n v="0"/>
    <n v="0"/>
    <n v="0"/>
    <n v="0"/>
    <n v="288299.86543485505"/>
    <n v="38197.589602132561"/>
    <n v="0"/>
    <n v="0"/>
    <n v="0"/>
    <n v="0"/>
    <n v="0"/>
    <n v="2818.7600391852725"/>
    <m/>
    <n v="146.57565060668668"/>
    <n v="5327.7312161300015"/>
    <n v="28342.138398373208"/>
    <n v="0"/>
    <n v="0"/>
    <n v="0"/>
    <n v="0"/>
    <n v="0"/>
    <n v="0"/>
    <n v="0"/>
    <n v="0"/>
    <n v="0"/>
    <n v="0"/>
    <m/>
    <n v="0"/>
    <n v="0"/>
    <n v="0"/>
    <n v="0"/>
    <n v="0"/>
    <n v="1561.9455420867323"/>
    <n v="0"/>
    <n v="0"/>
    <n v="0"/>
    <n v="0"/>
    <n v="0"/>
    <m/>
    <m/>
    <m/>
    <m/>
    <m/>
    <m/>
    <m/>
    <m/>
    <m/>
    <n v="39759.535144219291"/>
    <m/>
    <m/>
    <m/>
    <m/>
    <m/>
    <m/>
    <m/>
    <m/>
    <m/>
    <m/>
    <m/>
    <m/>
    <n v="302264.3224"/>
    <n v="-86599.940000000061"/>
    <m/>
    <m/>
    <m/>
    <m/>
    <n v="-88347.127599999978"/>
    <n v="1747.2175999999956"/>
    <n v="30"/>
    <n v="2531.9543305513216"/>
    <n v="388.90205632579455"/>
    <n v="2068.8573534691241"/>
    <n v="0"/>
    <n v="0"/>
    <n v="0"/>
    <n v="0"/>
    <n v="0"/>
    <n v="0"/>
    <n v="0"/>
    <n v="0"/>
    <n v="1747.0489182296224"/>
    <n v="0"/>
    <n v="0"/>
    <n v="0"/>
    <n v="71.438938897956632"/>
    <n v="0"/>
    <n v="-1502.0507050558954"/>
    <m/>
    <n v="0"/>
    <n v="0"/>
    <n v="0"/>
    <n v="0"/>
    <n v="-225.06835142618911"/>
    <n v="-17.173879889091751"/>
    <n v="0"/>
    <n v="0"/>
    <m/>
    <m/>
    <n v="288299.86543485505"/>
    <n v="0"/>
    <n v="0"/>
    <n v="0"/>
    <n v="-88347.127600000007"/>
    <n v="1747.2175999999963"/>
    <n v="0"/>
    <n v="0"/>
    <n v="-89142.58504477219"/>
    <n v="0"/>
    <n v="0"/>
    <n v="0"/>
    <n v="0"/>
    <n v="0"/>
    <n v="0"/>
    <n v="0"/>
    <n v="0"/>
    <n v="0"/>
    <n v="0"/>
    <n v="0"/>
    <n v="0"/>
    <n v="8300.389152691193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6"/>
    <s v="Regular"/>
    <s v="Azul"/>
    <s v="A4"/>
    <s v="Industrial"/>
    <s v="Não se aplica"/>
    <s v="Não se aplica"/>
    <s v="Não se aplica"/>
    <s v="Fora ponta"/>
    <s v="CATIVO"/>
    <x v="7"/>
    <n v="6250"/>
    <n v="6250"/>
    <n v="2870.52"/>
    <n v="2870.52"/>
    <n v="2870.52"/>
    <n v="2870.52"/>
    <n v="18.12"/>
    <n v="96.28"/>
    <n v="128.11000000000001"/>
    <n v="113250"/>
    <n v="644115.98280000011"/>
    <n v="757365.98280000011"/>
    <n v="735146.1128"/>
    <n v="0"/>
    <n v="152878.05050578745"/>
    <n v="0"/>
    <n v="0"/>
    <n v="0"/>
    <n v="0"/>
    <n v="81618.364487418134"/>
    <n v="367745.32098441629"/>
    <n v="0"/>
    <n v="0"/>
    <n v="0"/>
    <n v="0"/>
    <n v="0"/>
    <n v="27137.466687959848"/>
    <m/>
    <n v="1411.1495055658245"/>
    <n v="4967.9400748123498"/>
    <n v="26633.256499061437"/>
    <n v="0"/>
    <n v="0"/>
    <n v="0"/>
    <n v="0"/>
    <n v="0"/>
    <n v="0"/>
    <n v="0"/>
    <n v="0"/>
    <n v="0"/>
    <n v="0"/>
    <m/>
    <n v="0"/>
    <n v="0"/>
    <n v="0"/>
    <n v="0"/>
    <n v="0"/>
    <n v="15037.550031764174"/>
    <n v="0"/>
    <n v="0"/>
    <n v="0"/>
    <n v="0"/>
    <n v="0"/>
    <m/>
    <m/>
    <m/>
    <m/>
    <m/>
    <m/>
    <m/>
    <m/>
    <m/>
    <n v="382782.87101618049"/>
    <m/>
    <m/>
    <m/>
    <m/>
    <m/>
    <m/>
    <m/>
    <m/>
    <m/>
    <m/>
    <m/>
    <m/>
    <n v="735146.1128"/>
    <n v="-22219.90000000014"/>
    <m/>
    <m/>
    <m/>
    <m/>
    <n v="-39041.117200000008"/>
    <n v="16821.247199999958"/>
    <n v="30"/>
    <n v="3021.0627126862528"/>
    <n v="362.63881048436906"/>
    <n v="1944.1161347965026"/>
    <n v="0"/>
    <n v="0"/>
    <n v="0"/>
    <n v="0"/>
    <n v="0"/>
    <n v="0"/>
    <n v="0"/>
    <n v="0"/>
    <n v="16819.623224968091"/>
    <n v="0"/>
    <n v="0"/>
    <n v="0"/>
    <n v="687.77469441026005"/>
    <n v="0"/>
    <n v="-14460.915581825364"/>
    <m/>
    <n v="0"/>
    <n v="0"/>
    <n v="0"/>
    <n v="0"/>
    <n v="-2166.8339285481125"/>
    <n v="-165.34064159926106"/>
    <n v="0"/>
    <n v="0"/>
    <m/>
    <m/>
    <n v="81618.364487418134"/>
    <n v="0"/>
    <n v="0"/>
    <n v="0"/>
    <n v="-39041.117200000037"/>
    <n v="16821.247199999925"/>
    <n v="0"/>
    <n v="0"/>
    <n v="-25236.473789402255"/>
    <n v="0"/>
    <n v="0"/>
    <n v="0"/>
    <n v="0"/>
    <n v="0"/>
    <n v="0"/>
    <n v="0"/>
    <n v="0"/>
    <n v="0"/>
    <n v="0"/>
    <n v="0"/>
    <n v="0"/>
    <n v="79911.56785143252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7"/>
    <s v="Regular"/>
    <s v="Azul"/>
    <s v="A4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38"/>
    <s v="Regular"/>
    <s v="Verde"/>
    <s v="A4"/>
    <s v="Industrial"/>
    <s v="Não se aplica"/>
    <s v="Não se aplica"/>
    <s v="Não se aplica"/>
    <s v="Ponta"/>
    <s v="CATIVO"/>
    <x v="7"/>
    <n v="0"/>
    <n v="0"/>
    <n v="770.42499999999995"/>
    <n v="770.42499999999995"/>
    <n v="770.42499999999995"/>
    <n v="770.42499999999995"/>
    <m/>
    <n v="1351.49"/>
    <n v="128.11000000000001"/>
    <m/>
    <n v="1139920.83"/>
    <n v="1139920.83"/>
    <n v="879756.01174999995"/>
    <n v="0"/>
    <n v="41031.26683002428"/>
    <n v="0"/>
    <n v="0"/>
    <n v="0"/>
    <n v="0"/>
    <n v="865915.04229325929"/>
    <n v="98699.952942121599"/>
    <n v="0"/>
    <n v="0"/>
    <n v="0"/>
    <n v="0"/>
    <n v="0"/>
    <n v="7283.4827045522989"/>
    <m/>
    <n v="378.74143285033733"/>
    <n v="16003.675741650664"/>
    <n v="85125.858811748796"/>
    <n v="0"/>
    <n v="0"/>
    <n v="0"/>
    <n v="0"/>
    <n v="0"/>
    <n v="0"/>
    <n v="0"/>
    <n v="0"/>
    <n v="0"/>
    <n v="0"/>
    <m/>
    <n v="0"/>
    <n v="0"/>
    <n v="0"/>
    <n v="0"/>
    <n v="0"/>
    <n v="4035.9602034550931"/>
    <n v="0"/>
    <n v="0"/>
    <n v="0"/>
    <n v="0"/>
    <n v="0"/>
    <m/>
    <m/>
    <m/>
    <m/>
    <m/>
    <m/>
    <m/>
    <m/>
    <m/>
    <n v="102735.91314557669"/>
    <m/>
    <m/>
    <m/>
    <m/>
    <m/>
    <m/>
    <m/>
    <m/>
    <m/>
    <m/>
    <m/>
    <m/>
    <n v="879761.72130000009"/>
    <n v="-260159.13870000001"/>
    <m/>
    <m/>
    <m/>
    <m/>
    <n v="-264679.50874999992"/>
    <n v="4514.6904999999888"/>
    <n v="30"/>
    <n v="7573.7468926258734"/>
    <n v="1168.2012759682857"/>
    <n v="6213.8310277665441"/>
    <n v="0"/>
    <n v="0"/>
    <n v="0"/>
    <n v="0"/>
    <n v="0"/>
    <n v="0"/>
    <n v="0"/>
    <n v="0"/>
    <n v="4514.2546378691186"/>
    <n v="0"/>
    <n v="0"/>
    <n v="0"/>
    <n v="184.593320701832"/>
    <n v="0"/>
    <n v="-3881.1960505858879"/>
    <m/>
    <n v="0"/>
    <n v="0"/>
    <n v="0"/>
    <n v="0"/>
    <n v="-581.56119079528435"/>
    <n v="-44.37612829874405"/>
    <n v="0"/>
    <n v="0"/>
    <m/>
    <m/>
    <m/>
    <n v="865915.04229325929"/>
    <n v="0"/>
    <n v="0"/>
    <n v="-264679.50875000004"/>
    <n v="4514.690499999997"/>
    <n v="0"/>
    <n v="0"/>
    <n v="-267741.7319732192"/>
    <n v="0"/>
    <n v="0"/>
    <n v="0"/>
    <n v="0"/>
    <n v="0"/>
    <n v="0"/>
    <n v="0"/>
    <n v="0"/>
    <n v="0"/>
    <n v="0"/>
    <n v="0"/>
    <n v="0"/>
    <n v="21447.63654736420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39"/>
    <s v="Regular"/>
    <s v="Verde"/>
    <s v="A4"/>
    <s v="Industrial"/>
    <s v="Não se aplica"/>
    <s v="Não se aplica"/>
    <s v="Não se aplica"/>
    <s v="Fora ponta"/>
    <s v="CATIVO"/>
    <x v="7"/>
    <n v="0"/>
    <n v="0"/>
    <n v="13316.296"/>
    <n v="13316.296"/>
    <n v="13316.296"/>
    <n v="13316.296"/>
    <m/>
    <n v="96.28"/>
    <n v="128.11000000000001"/>
    <m/>
    <n v="2988043.6594400005"/>
    <n v="2988043.6594400005"/>
    <n v="2991372.7334400001"/>
    <n v="0"/>
    <n v="709198.81151777925"/>
    <n v="0"/>
    <n v="0"/>
    <n v="0"/>
    <n v="0"/>
    <n v="0"/>
    <n v="1705964.6150674785"/>
    <n v="0"/>
    <n v="0"/>
    <n v="0"/>
    <n v="0"/>
    <n v="0"/>
    <n v="125890.27044124861"/>
    <m/>
    <n v="6546.29980504165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758.952154237268"/>
    <n v="0"/>
    <n v="0"/>
    <n v="0"/>
    <n v="0"/>
    <n v="0"/>
    <m/>
    <m/>
    <m/>
    <m/>
    <m/>
    <m/>
    <m/>
    <m/>
    <m/>
    <n v="1775723.5672217158"/>
    <m/>
    <m/>
    <m/>
    <m/>
    <m/>
    <m/>
    <m/>
    <m/>
    <m/>
    <m/>
    <m/>
    <m/>
    <n v="2991373.6319999998"/>
    <n v="3329.9425599998794"/>
    <m/>
    <m/>
    <m/>
    <m/>
    <n v="-74704.420559999999"/>
    <n v="78033.494559999803"/>
    <n v="30"/>
    <n v="3313.6622165571898"/>
    <n v="0"/>
    <n v="0"/>
    <n v="0"/>
    <n v="0"/>
    <n v="0"/>
    <n v="0"/>
    <n v="0"/>
    <n v="0"/>
    <n v="0"/>
    <n v="0"/>
    <n v="78025.960966009879"/>
    <n v="0"/>
    <n v="0"/>
    <n v="0"/>
    <n v="3190.5757187117852"/>
    <n v="0"/>
    <n v="-67083.954237768427"/>
    <m/>
    <n v="0"/>
    <n v="0"/>
    <n v="0"/>
    <n v="0"/>
    <n v="-10051.907659723482"/>
    <n v="-767.01257067209917"/>
    <n v="0"/>
    <n v="0"/>
    <m/>
    <m/>
    <m/>
    <n v="0"/>
    <n v="0"/>
    <n v="0"/>
    <n v="-74704.420559999999"/>
    <n v="78033.494559999788"/>
    <n v="0"/>
    <n v="0"/>
    <n v="0"/>
    <n v="0"/>
    <n v="0"/>
    <n v="0"/>
    <n v="0"/>
    <n v="0"/>
    <n v="0"/>
    <n v="0"/>
    <n v="0"/>
    <n v="0"/>
    <n v="0"/>
    <n v="0"/>
    <n v="0"/>
    <n v="370708.4748873930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0"/>
    <s v="Regular"/>
    <s v="Verde"/>
    <s v="A4"/>
    <s v="Industrial"/>
    <s v="Não se aplica"/>
    <s v="Não se aplica"/>
    <s v="Não se aplica"/>
    <s v="Não se aplica"/>
    <s v="CATIVO"/>
    <x v="7"/>
    <n v="51137"/>
    <n v="51137"/>
    <n v="0"/>
    <n v="0"/>
    <n v="0"/>
    <n v="0"/>
    <n v="18.12"/>
    <m/>
    <m/>
    <n v="926602.44000000006"/>
    <m/>
    <n v="926602.44000000006"/>
    <n v="738929.64999999991"/>
    <n v="0"/>
    <n v="0"/>
    <n v="0"/>
    <n v="0"/>
    <n v="0"/>
    <n v="0"/>
    <n v="667794.92876689613"/>
    <m/>
    <m/>
    <m/>
    <n v="0"/>
    <n v="0"/>
    <n v="0"/>
    <n v="0"/>
    <m/>
    <n v="0"/>
    <n v="40647.288256908665"/>
    <n v="217911.17401480075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79916.71"/>
    <n v="98"/>
    <m/>
    <m/>
    <m/>
    <m/>
    <m/>
    <m/>
    <m/>
    <m/>
    <m/>
    <n v="0"/>
    <m/>
    <m/>
    <m/>
    <m/>
    <m/>
    <m/>
    <m/>
    <m/>
    <m/>
    <m/>
    <m/>
    <m/>
    <n v="738929.64999999991"/>
    <n v="-187672.82000000018"/>
    <m/>
    <m/>
    <m/>
    <m/>
    <n v="-187672.7900000001"/>
    <n v="0"/>
    <n v="30"/>
    <n v="18873.684421892453"/>
    <n v="2967.0817362782691"/>
    <n v="15906.602685614198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7794.92876689613"/>
    <m/>
    <n v="0"/>
    <n v="0"/>
    <n v="-187672.79000000015"/>
    <m/>
    <n v="0"/>
    <m/>
    <n v="-206482.80962698604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41"/>
    <s v="Regular"/>
    <s v="Convencional"/>
    <s v="B3"/>
    <s v="Comercial"/>
    <s v="Não se aplica"/>
    <s v="Não se aplica"/>
    <s v="Não se aplica"/>
    <s v="Não se aplica"/>
    <s v="CATIVO"/>
    <x v="7"/>
    <n v="0"/>
    <n v="0"/>
    <n v="1182.068"/>
    <n v="1182.068"/>
    <n v="1182.068"/>
    <n v="1182.068"/>
    <m/>
    <n v="333.61"/>
    <n v="128.11000000000001"/>
    <m/>
    <n v="545784.43696000008"/>
    <n v="545784.43696000008"/>
    <n v="476408.86603999999"/>
    <n v="0"/>
    <n v="72361.53432141777"/>
    <n v="0"/>
    <n v="0"/>
    <n v="0"/>
    <n v="0"/>
    <n v="229907.7320899094"/>
    <n v="151435.9684257232"/>
    <n v="0"/>
    <n v="0"/>
    <n v="0"/>
    <n v="0"/>
    <n v="0"/>
    <n v="11175.094050173251"/>
    <m/>
    <n v="1017.0370115820913"/>
    <n v="4108.8922084399328"/>
    <n v="21918.656156874538"/>
    <n v="0"/>
    <n v="0"/>
    <n v="0"/>
    <n v="0"/>
    <n v="0"/>
    <n v="0"/>
    <n v="0"/>
    <n v="0"/>
    <n v="0"/>
    <n v="0"/>
    <m/>
    <n v="0"/>
    <n v="0"/>
    <n v="0"/>
    <n v="0"/>
    <n v="0"/>
    <n v="16038.736978511553"/>
    <n v="0"/>
    <n v="0"/>
    <n v="0"/>
    <n v="203830.57"/>
    <n v="1667"/>
    <m/>
    <m/>
    <m/>
    <m/>
    <m/>
    <m/>
    <m/>
    <m/>
    <m/>
    <n v="167474.70540423476"/>
    <m/>
    <m/>
    <m/>
    <m/>
    <m/>
    <m/>
    <m/>
    <m/>
    <m/>
    <m/>
    <m/>
    <m/>
    <n v="476409.67209999997"/>
    <n v="-69374.79486000014"/>
    <m/>
    <m/>
    <m/>
    <m/>
    <n v="-76302.489400000006"/>
    <n v="6926.9184799999821"/>
    <n v="30"/>
    <n v="1703.4981660481426"/>
    <n v="299.93191553009547"/>
    <n v="1599.9700633357097"/>
    <n v="0"/>
    <n v="0"/>
    <n v="0"/>
    <n v="0"/>
    <n v="0"/>
    <n v="0"/>
    <n v="0"/>
    <n v="0"/>
    <n v="6926.2497339477413"/>
    <n v="0"/>
    <n v="0"/>
    <n v="0"/>
    <n v="733.56613283547085"/>
    <n v="0"/>
    <n v="-6844.763101906181"/>
    <m/>
    <n v="0"/>
    <n v="0"/>
    <n v="0"/>
    <n v="0"/>
    <n v="-892.2930508238951"/>
    <n v="-119.16352687077881"/>
    <n v="0"/>
    <n v="0"/>
    <m/>
    <m/>
    <m/>
    <n v="229907.7320899094"/>
    <n v="0"/>
    <n v="0"/>
    <n v="-76302.48940000002"/>
    <n v="6926.918479999993"/>
    <n v="0"/>
    <n v="0"/>
    <n v="-71087.683406867611"/>
    <n v="0"/>
    <n v="0"/>
    <n v="0"/>
    <n v="0"/>
    <n v="0"/>
    <n v="0"/>
    <n v="0"/>
    <n v="0"/>
    <n v="0"/>
    <n v="0"/>
    <n v="0"/>
    <n v="0"/>
    <n v="37824.4204490352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2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2.09"/>
    <n v="2.09"/>
    <n v="2.09"/>
    <n v="2.09"/>
    <m/>
    <n v="333.61"/>
    <n v="128.11000000000001"/>
    <m/>
    <n v="964.99480000000005"/>
    <n v="964.99480000000005"/>
    <n v="842.33269999999993"/>
    <n v="0"/>
    <n v="127.94154543711795"/>
    <n v="0"/>
    <n v="0"/>
    <n v="0"/>
    <n v="0"/>
    <n v="406.49705437243091"/>
    <n v="267.75208702863245"/>
    <n v="0"/>
    <n v="0"/>
    <n v="0"/>
    <n v="0"/>
    <n v="0"/>
    <n v="19.75854736348678"/>
    <m/>
    <n v="1.7982107240924976"/>
    <n v="7.2648821519907978"/>
    <n v="38.754108365904315"/>
    <n v="0"/>
    <n v="0"/>
    <n v="0"/>
    <n v="0"/>
    <n v="0"/>
    <n v="0"/>
    <n v="0"/>
    <n v="0"/>
    <n v="0"/>
    <n v="0"/>
    <m/>
    <n v="0"/>
    <n v="0"/>
    <n v="0"/>
    <n v="0"/>
    <n v="0"/>
    <n v="28.357895049260403"/>
    <n v="0"/>
    <n v="0"/>
    <n v="0"/>
    <n v="1414.49"/>
    <n v="9"/>
    <m/>
    <m/>
    <m/>
    <m/>
    <m/>
    <m/>
    <m/>
    <m/>
    <m/>
    <n v="296.10998207789282"/>
    <m/>
    <m/>
    <m/>
    <m/>
    <m/>
    <m/>
    <m/>
    <m/>
    <m/>
    <m/>
    <m/>
    <m/>
    <n v="842.33269999999993"/>
    <n v="-122.6921000000001"/>
    <m/>
    <m/>
    <m/>
    <m/>
    <n v="-134.90950000000001"/>
    <n v="12.247399999999969"/>
    <n v="30"/>
    <n v="3.0119343109200827"/>
    <n v="0.53030595825104854"/>
    <n v="2.8288875363952286"/>
    <n v="0"/>
    <n v="0"/>
    <n v="0"/>
    <n v="0"/>
    <n v="0"/>
    <n v="0"/>
    <n v="0"/>
    <n v="0"/>
    <n v="12.246217598269084"/>
    <n v="0"/>
    <n v="0"/>
    <n v="0"/>
    <n v="1.2970093240203866"/>
    <n v="0"/>
    <n v="-12.102142078953094"/>
    <m/>
    <n v="0"/>
    <n v="0"/>
    <n v="0"/>
    <n v="0"/>
    <n v="-1.5776524499622191"/>
    <n v="-0.21069157710041009"/>
    <n v="0"/>
    <n v="0"/>
    <m/>
    <m/>
    <m/>
    <n v="406.49705437243091"/>
    <n v="0"/>
    <n v="0"/>
    <n v="-134.90950000000009"/>
    <n v="12.247399999999971"/>
    <n v="0"/>
    <n v="0"/>
    <n v="-125.68926518639648"/>
    <n v="0"/>
    <n v="0"/>
    <n v="0"/>
    <n v="0"/>
    <n v="0"/>
    <n v="0"/>
    <n v="0"/>
    <n v="0"/>
    <n v="0"/>
    <n v="0"/>
    <n v="0"/>
    <n v="0"/>
    <n v="66.8768960317711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3"/>
    <s v="Regular"/>
    <s v="Verde"/>
    <s v="A4"/>
    <s v="Comercial"/>
    <s v="Não se aplica"/>
    <s v="Não se aplica"/>
    <s v="Não se aplica"/>
    <s v="Ponta"/>
    <s v="CATIVO"/>
    <x v="7"/>
    <n v="0"/>
    <n v="0"/>
    <n v="33.695"/>
    <n v="33.695"/>
    <n v="33.695"/>
    <n v="33.695"/>
    <m/>
    <n v="1351.49"/>
    <n v="128.11000000000001"/>
    <m/>
    <n v="49855.122000000003"/>
    <n v="49855.122000000003"/>
    <n v="38476.657449999999"/>
    <n v="0"/>
    <n v="1794.5270932766566"/>
    <n v="0"/>
    <n v="0"/>
    <n v="0"/>
    <n v="0"/>
    <n v="37871.314339580582"/>
    <n v="4316.7017092965407"/>
    <n v="0"/>
    <n v="0"/>
    <n v="0"/>
    <n v="0"/>
    <n v="0"/>
    <n v="318.54748967114216"/>
    <m/>
    <n v="16.564483992461454"/>
    <n v="699.93036845237259"/>
    <n v="3723.0305515291893"/>
    <n v="0"/>
    <n v="0"/>
    <n v="0"/>
    <n v="0"/>
    <n v="0"/>
    <n v="0"/>
    <n v="0"/>
    <n v="0"/>
    <n v="0"/>
    <n v="0"/>
    <m/>
    <n v="0"/>
    <n v="0"/>
    <n v="0"/>
    <n v="0"/>
    <n v="0"/>
    <n v="176.51514301251825"/>
    <n v="0"/>
    <n v="0"/>
    <n v="0"/>
    <n v="0"/>
    <n v="0"/>
    <m/>
    <m/>
    <m/>
    <m/>
    <m/>
    <m/>
    <m/>
    <m/>
    <m/>
    <n v="4493.2168523090586"/>
    <m/>
    <m/>
    <m/>
    <m/>
    <m/>
    <m/>
    <m/>
    <m/>
    <m/>
    <m/>
    <m/>
    <m/>
    <n v="38482.366999999998"/>
    <n v="-11372.785000000011"/>
    <m/>
    <m/>
    <m/>
    <m/>
    <n v="-11575.917249999999"/>
    <n v="197.45269999999951"/>
    <n v="30"/>
    <n v="331.24236823445426"/>
    <n v="51.091984286272464"/>
    <n v="271.76563128220641"/>
    <n v="0"/>
    <n v="0"/>
    <n v="0"/>
    <n v="0"/>
    <n v="0"/>
    <n v="0"/>
    <n v="0"/>
    <n v="0"/>
    <n v="197.43363730797955"/>
    <n v="0"/>
    <n v="0"/>
    <n v="0"/>
    <n v="8.073299725538817"/>
    <n v="0"/>
    <n v="-169.74643985396574"/>
    <m/>
    <n v="0"/>
    <n v="0"/>
    <n v="0"/>
    <n v="0"/>
    <n v="-25.434927895443536"/>
    <n v="-1.9408166181343809"/>
    <n v="0"/>
    <n v="0"/>
    <m/>
    <m/>
    <m/>
    <n v="37871.314339580582"/>
    <n v="0"/>
    <n v="0"/>
    <n v="-11575.917249999999"/>
    <n v="197.45269999999982"/>
    <n v="0"/>
    <n v="0"/>
    <n v="-11709.84542147207"/>
    <n v="0"/>
    <n v="0"/>
    <n v="0"/>
    <n v="0"/>
    <n v="0"/>
    <n v="0"/>
    <n v="0"/>
    <n v="0"/>
    <n v="0"/>
    <n v="0"/>
    <n v="0"/>
    <n v="0"/>
    <n v="938.0252632812239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4"/>
    <s v="Regular"/>
    <s v="Verde"/>
    <s v="A4"/>
    <s v="Comercial"/>
    <s v="Não se aplica"/>
    <s v="Não se aplica"/>
    <s v="Não se aplica"/>
    <s v="Fora ponta"/>
    <s v="CATIVO"/>
    <x v="7"/>
    <n v="0"/>
    <n v="0"/>
    <n v="415.10899999999998"/>
    <n v="415.10899999999998"/>
    <n v="415.10899999999998"/>
    <n v="415.10899999999998"/>
    <m/>
    <n v="96.28"/>
    <n v="128.11000000000001"/>
    <m/>
    <n v="93146.308510000003"/>
    <n v="93146.308510000003"/>
    <n v="93250.085759999987"/>
    <n v="0"/>
    <n v="22107.860132452282"/>
    <n v="0"/>
    <n v="0"/>
    <n v="0"/>
    <n v="0"/>
    <n v="0"/>
    <n v="53180.048370511286"/>
    <n v="0"/>
    <n v="0"/>
    <n v="0"/>
    <n v="0"/>
    <n v="0"/>
    <n v="3924.3783911529354"/>
    <m/>
    <n v="204.067855338379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74.5963644690141"/>
    <n v="0"/>
    <n v="0"/>
    <n v="0"/>
    <n v="0"/>
    <n v="0"/>
    <m/>
    <m/>
    <m/>
    <m/>
    <m/>
    <m/>
    <m/>
    <m/>
    <m/>
    <n v="55354.644734980298"/>
    <m/>
    <m/>
    <m/>
    <m/>
    <m/>
    <m/>
    <m/>
    <m/>
    <m/>
    <m/>
    <m/>
    <m/>
    <n v="93250.310400000017"/>
    <n v="103.97189000001526"/>
    <m/>
    <m/>
    <m/>
    <m/>
    <n v="-2328.7614899999999"/>
    <n v="2432.5387399999936"/>
    <n v="30"/>
    <n v="103.2968183534831"/>
    <n v="0"/>
    <n v="0"/>
    <n v="0"/>
    <n v="0"/>
    <n v="0"/>
    <n v="0"/>
    <n v="0"/>
    <n v="0"/>
    <n v="0"/>
    <n v="0"/>
    <n v="2432.3038952152565"/>
    <n v="0"/>
    <n v="0"/>
    <n v="0"/>
    <n v="99.459841987496475"/>
    <n v="0"/>
    <n v="-2091.2086333681509"/>
    <m/>
    <n v="0"/>
    <n v="0"/>
    <n v="0"/>
    <n v="0"/>
    <n v="-313.34819657960134"/>
    <n v="-23.910088901532703"/>
    <n v="0"/>
    <n v="0"/>
    <m/>
    <m/>
    <m/>
    <n v="0"/>
    <n v="0"/>
    <n v="0"/>
    <n v="-2328.7614899999971"/>
    <n v="2432.538739999989"/>
    <n v="0"/>
    <n v="0"/>
    <n v="0"/>
    <n v="0"/>
    <n v="0"/>
    <n v="0"/>
    <n v="0"/>
    <n v="0"/>
    <n v="0"/>
    <n v="0"/>
    <n v="0"/>
    <n v="0"/>
    <n v="0"/>
    <n v="0"/>
    <n v="0"/>
    <n v="11556.0982049385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5"/>
    <s v="Regular"/>
    <s v="Verde"/>
    <s v="A4"/>
    <s v="Comercial"/>
    <s v="Não se aplica"/>
    <s v="Não se aplica"/>
    <s v="Não se aplica"/>
    <s v="Não se aplica"/>
    <s v="CATIVO"/>
    <x v="7"/>
    <n v="1710"/>
    <n v="1710"/>
    <n v="0"/>
    <n v="0"/>
    <n v="0"/>
    <n v="0"/>
    <n v="18.12"/>
    <m/>
    <m/>
    <n v="30985.200000000001"/>
    <m/>
    <n v="30985.200000000001"/>
    <n v="24709.5"/>
    <n v="0"/>
    <n v="0"/>
    <n v="0"/>
    <n v="0"/>
    <n v="0"/>
    <n v="0"/>
    <n v="22330.7845237576"/>
    <m/>
    <m/>
    <m/>
    <n v="0"/>
    <n v="0"/>
    <n v="0"/>
    <n v="0"/>
    <m/>
    <n v="0"/>
    <n v="1359.2284044686589"/>
    <n v="7286.8589781432092"/>
    <n v="0"/>
    <n v="0"/>
    <m/>
    <m/>
    <n v="0"/>
    <n v="0"/>
    <n v="0"/>
    <m/>
    <m/>
    <n v="0"/>
    <m/>
    <n v="0"/>
    <n v="0"/>
    <n v="0"/>
    <n v="0"/>
    <m/>
    <n v="0"/>
    <n v="0"/>
    <n v="0"/>
    <n v="0"/>
    <n v="56466.78"/>
    <n v="17"/>
    <m/>
    <m/>
    <m/>
    <m/>
    <m/>
    <m/>
    <m/>
    <m/>
    <m/>
    <n v="0"/>
    <m/>
    <m/>
    <m/>
    <m/>
    <m/>
    <m/>
    <m/>
    <m/>
    <m/>
    <m/>
    <m/>
    <m/>
    <n v="24709.5"/>
    <n v="-6275.7299999999959"/>
    <m/>
    <m/>
    <m/>
    <m/>
    <n v="-6275.7000000000025"/>
    <n v="0"/>
    <n v="30"/>
    <n v="631.12815302884701"/>
    <n v="99.217978548523433"/>
    <n v="531.91017448032289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330.7845237576"/>
    <m/>
    <n v="0"/>
    <n v="0"/>
    <n v="-6275.7000000000007"/>
    <m/>
    <n v="0"/>
    <m/>
    <n v="-6904.6992287804551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46"/>
    <s v="Regular"/>
    <s v="Convencional"/>
    <s v="B2"/>
    <s v="Rural"/>
    <s v="Não se aplica"/>
    <s v="Não se aplica"/>
    <s v="Não se aplica"/>
    <s v="Não se aplica"/>
    <s v="CATIVO"/>
    <x v="7"/>
    <n v="0"/>
    <n v="0"/>
    <n v="1138.578"/>
    <n v="1138.578"/>
    <n v="1138.578"/>
    <n v="1138.578"/>
    <m/>
    <n v="333.61"/>
    <n v="128.11000000000001"/>
    <m/>
    <n v="525704.23415999999"/>
    <n v="525704.23415999999"/>
    <n v="458881.09133999993"/>
    <n v="0"/>
    <n v="69699.248287417649"/>
    <n v="0"/>
    <n v="0"/>
    <n v="0"/>
    <n v="0"/>
    <n v="221449.09242739409"/>
    <n v="145864.419016692"/>
    <n v="0"/>
    <n v="0"/>
    <n v="0"/>
    <n v="0"/>
    <n v="0"/>
    <n v="10763.946095705289"/>
    <m/>
    <n v="979.61874153865449"/>
    <n v="3957.7200913154925"/>
    <n v="21112.236935423258"/>
    <n v="0"/>
    <n v="0"/>
    <n v="0"/>
    <n v="0"/>
    <n v="0"/>
    <n v="0"/>
    <n v="0"/>
    <n v="0"/>
    <n v="0"/>
    <n v="0"/>
    <m/>
    <n v="0"/>
    <n v="0"/>
    <n v="0"/>
    <n v="0"/>
    <n v="0"/>
    <n v="15448.648530811872"/>
    <n v="0"/>
    <n v="0"/>
    <n v="0"/>
    <n v="116838.62"/>
    <n v="2330"/>
    <m/>
    <m/>
    <m/>
    <m/>
    <m/>
    <n v="55073.017859999985"/>
    <m/>
    <m/>
    <m/>
    <n v="161313.06754750386"/>
    <m/>
    <m/>
    <m/>
    <m/>
    <m/>
    <m/>
    <m/>
    <m/>
    <m/>
    <m/>
    <m/>
    <m/>
    <n v="403808.78279999999"/>
    <n v="-58818.260160000005"/>
    <m/>
    <m/>
    <m/>
    <m/>
    <n v="-73495.209900000016"/>
    <n v="6672.0670799999834"/>
    <n v="30"/>
    <n v="1640.8239922768553"/>
    <n v="288.89698437012476"/>
    <n v="1541.1048389539719"/>
    <n v="0"/>
    <n v="0"/>
    <n v="0"/>
    <n v="0"/>
    <n v="0"/>
    <n v="0"/>
    <n v="0"/>
    <n v="0"/>
    <n v="6671.422938087082"/>
    <n v="0"/>
    <n v="0"/>
    <n v="0"/>
    <n v="706.577168480615"/>
    <n v="0"/>
    <n v="-6592.9343176891125"/>
    <m/>
    <n v="0"/>
    <n v="0"/>
    <n v="0"/>
    <n v="0"/>
    <n v="-859.4642924273121"/>
    <n v="-114.77932749848355"/>
    <n v="0"/>
    <n v="0"/>
    <m/>
    <m/>
    <m/>
    <n v="221449.09242739409"/>
    <n v="0"/>
    <n v="0"/>
    <n v="-73495.209900000016"/>
    <n v="6672.0670799999789"/>
    <n v="0"/>
    <n v="0"/>
    <n v="-68472.26419971147"/>
    <n v="0"/>
    <n v="0"/>
    <n v="0"/>
    <n v="0"/>
    <n v="0"/>
    <n v="0"/>
    <n v="0"/>
    <n v="0"/>
    <n v="0"/>
    <n v="0"/>
    <n v="0"/>
    <n v="0"/>
    <n v="36432.8050383071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7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37.817"/>
    <n v="37.817"/>
    <n v="37.817"/>
    <n v="37.817"/>
    <m/>
    <n v="333.61"/>
    <n v="128.11000000000001"/>
    <m/>
    <n v="17460.865239999999"/>
    <n v="17460.865239999999"/>
    <n v="15241.38551"/>
    <n v="0"/>
    <n v="2315.0073798064545"/>
    <n v="0"/>
    <n v="0"/>
    <n v="0"/>
    <n v="0"/>
    <n v="7355.2627297618274"/>
    <n v="4844.7754426611455"/>
    <n v="0"/>
    <n v="0"/>
    <n v="0"/>
    <n v="0"/>
    <n v="0"/>
    <n v="357.51626107415296"/>
    <m/>
    <n v="32.537289451199037"/>
    <n v="131.45265470901245"/>
    <n v="701.22684979588689"/>
    <n v="0"/>
    <n v="0"/>
    <n v="0"/>
    <n v="0"/>
    <n v="0"/>
    <n v="0"/>
    <n v="0"/>
    <n v="0"/>
    <n v="0"/>
    <n v="0"/>
    <m/>
    <n v="0"/>
    <n v="0"/>
    <n v="0"/>
    <n v="0"/>
    <n v="0"/>
    <n v="513.11507994156966"/>
    <n v="0"/>
    <n v="0"/>
    <n v="0"/>
    <n v="8060.01"/>
    <n v="31"/>
    <m/>
    <m/>
    <m/>
    <m/>
    <m/>
    <n v="1829.2082899999996"/>
    <m/>
    <m/>
    <m/>
    <n v="5357.8905226027155"/>
    <m/>
    <m/>
    <m/>
    <m/>
    <m/>
    <m/>
    <m/>
    <m/>
    <m/>
    <m/>
    <m/>
    <m/>
    <n v="13413.2412"/>
    <n v="-1952.5922399999999"/>
    <m/>
    <m/>
    <m/>
    <m/>
    <n v="-2441.0873500000002"/>
    <n v="221.60761999999943"/>
    <n v="30"/>
    <n v="54.498717624910569"/>
    <n v="9.5954930254449096"/>
    <n v="51.186621992276741"/>
    <n v="0"/>
    <n v="0"/>
    <n v="0"/>
    <n v="0"/>
    <n v="0"/>
    <n v="0"/>
    <n v="0"/>
    <n v="0"/>
    <n v="221.5862253175801"/>
    <n v="0"/>
    <n v="0"/>
    <n v="0"/>
    <n v="23.468421821281822"/>
    <n v="0"/>
    <n v="-218.97928564582253"/>
    <m/>
    <n v="0"/>
    <n v="0"/>
    <n v="0"/>
    <n v="0"/>
    <n v="-28.546451052737439"/>
    <n v="-3.8123078331130174"/>
    <n v="0"/>
    <n v="0"/>
    <m/>
    <m/>
    <m/>
    <n v="7355.2627297618274"/>
    <n v="0"/>
    <n v="0"/>
    <n v="-2441.0873499999998"/>
    <n v="221.60761999999977"/>
    <n v="0"/>
    <n v="0"/>
    <n v="-2274.2540390210315"/>
    <n v="0"/>
    <n v="0"/>
    <n v="0"/>
    <n v="0"/>
    <n v="0"/>
    <n v="0"/>
    <n v="0"/>
    <n v="0"/>
    <n v="0"/>
    <n v="0"/>
    <n v="0"/>
    <n v="0"/>
    <n v="1210.087835996885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8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03.14"/>
    <n v="203.14"/>
    <n v="203.14"/>
    <n v="203.14"/>
    <m/>
    <n v="333.61"/>
    <n v="128.11000000000001"/>
    <m/>
    <n v="93793.800799999997"/>
    <n v="93793.800799999997"/>
    <n v="81871.514199999991"/>
    <n v="0"/>
    <n v="12435.428488084279"/>
    <n v="0"/>
    <n v="0"/>
    <n v="0"/>
    <n v="0"/>
    <n v="39509.957715414166"/>
    <n v="26024.477970811669"/>
    <n v="0"/>
    <n v="0"/>
    <n v="0"/>
    <n v="0"/>
    <n v="0"/>
    <n v="1920.45517292761"/>
    <m/>
    <n v="174.77919927854066"/>
    <n v="706.11873701215825"/>
    <n v="3766.7509920812454"/>
    <n v="0"/>
    <n v="0"/>
    <n v="0"/>
    <n v="0"/>
    <n v="0"/>
    <n v="0"/>
    <n v="0"/>
    <n v="0"/>
    <n v="0"/>
    <n v="0"/>
    <m/>
    <n v="0"/>
    <n v="0"/>
    <n v="0"/>
    <n v="0"/>
    <n v="0"/>
    <n v="2756.2788518214152"/>
    <n v="0"/>
    <n v="0"/>
    <n v="0"/>
    <n v="29406.09"/>
    <n v="219"/>
    <m/>
    <m/>
    <m/>
    <m/>
    <m/>
    <m/>
    <m/>
    <m/>
    <m/>
    <n v="28780.756822633084"/>
    <m/>
    <m/>
    <m/>
    <m/>
    <m/>
    <m/>
    <m/>
    <m/>
    <m/>
    <m/>
    <m/>
    <m/>
    <n v="81871.514199999991"/>
    <n v="-11922.316599999991"/>
    <m/>
    <m/>
    <m/>
    <m/>
    <n v="-13112.687000000002"/>
    <n v="1190.4003999999968"/>
    <n v="30"/>
    <n v="292.74848608627508"/>
    <n v="51.543709262735774"/>
    <n v="274.95704025996474"/>
    <n v="0"/>
    <n v="0"/>
    <n v="0"/>
    <n v="0"/>
    <n v="0"/>
    <n v="0"/>
    <n v="0"/>
    <n v="0"/>
    <n v="1190.2854750776969"/>
    <n v="0"/>
    <n v="0"/>
    <n v="0"/>
    <n v="126.06434166579038"/>
    <n v="0"/>
    <n v="-1176.2818860854222"/>
    <m/>
    <n v="0"/>
    <n v="0"/>
    <n v="0"/>
    <n v="0"/>
    <n v="-153.34177927527526"/>
    <n v="-20.478414819223588"/>
    <n v="0"/>
    <n v="0"/>
    <m/>
    <m/>
    <m/>
    <n v="39509.957715414166"/>
    <n v="0"/>
    <n v="0"/>
    <n v="-13112.686999999998"/>
    <n v="1190.4003999999986"/>
    <n v="0"/>
    <n v="0"/>
    <n v="-12216.515468882575"/>
    <n v="0"/>
    <n v="0"/>
    <n v="0"/>
    <n v="0"/>
    <n v="0"/>
    <n v="0"/>
    <n v="0"/>
    <n v="0"/>
    <n v="0"/>
    <n v="0"/>
    <n v="0"/>
    <n v="0"/>
    <n v="6500.17830616937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49"/>
    <s v="Regular"/>
    <s v="Verde"/>
    <s v="A4"/>
    <s v="Poder público"/>
    <s v="Não se aplica"/>
    <s v="Não se aplica"/>
    <s v="Não se aplica"/>
    <s v="Ponta"/>
    <s v="CATIVO"/>
    <x v="7"/>
    <n v="0"/>
    <n v="0"/>
    <n v="1.74"/>
    <n v="1.74"/>
    <n v="1.74"/>
    <n v="1.74"/>
    <m/>
    <n v="1351.49"/>
    <n v="128.11000000000001"/>
    <m/>
    <n v="2574.5039999999999"/>
    <n v="2574.5039999999999"/>
    <n v="1986.9234000000001"/>
    <n v="0"/>
    <n v="92.668857168760425"/>
    <n v="0"/>
    <n v="0"/>
    <n v="0"/>
    <n v="0"/>
    <n v="1955.6636578385583"/>
    <n v="222.9132207798184"/>
    <n v="0"/>
    <n v="0"/>
    <n v="0"/>
    <n v="0"/>
    <n v="0"/>
    <n v="16.449699718883732"/>
    <m/>
    <n v="0.85538513568431318"/>
    <n v="36.144200656095215"/>
    <n v="192.25621485860779"/>
    <n v="0"/>
    <n v="0"/>
    <n v="0"/>
    <n v="0"/>
    <n v="0"/>
    <n v="0"/>
    <n v="0"/>
    <n v="0"/>
    <n v="0"/>
    <n v="0"/>
    <m/>
    <n v="0"/>
    <n v="0"/>
    <n v="0"/>
    <n v="0"/>
    <n v="0"/>
    <n v="9.1151906467363624"/>
    <n v="0"/>
    <n v="0"/>
    <n v="0"/>
    <n v="0"/>
    <n v="0"/>
    <m/>
    <m/>
    <m/>
    <m/>
    <m/>
    <m/>
    <m/>
    <m/>
    <m/>
    <n v="232.02841142655475"/>
    <m/>
    <m/>
    <m/>
    <m/>
    <m/>
    <m/>
    <m/>
    <m/>
    <m/>
    <m/>
    <m/>
    <m/>
    <n v="1986.9234000000001"/>
    <n v="-587.61060000000043"/>
    <m/>
    <m/>
    <m/>
    <m/>
    <n v="-597.77699999999993"/>
    <n v="10.196399999999974"/>
    <n v="30"/>
    <n v="17.105259555659472"/>
    <n v="2.6383752087287178"/>
    <n v="14.033898157917776"/>
    <n v="0"/>
    <n v="0"/>
    <n v="0"/>
    <n v="0"/>
    <n v="0"/>
    <n v="0"/>
    <n v="0"/>
    <n v="0"/>
    <n v="10.195415608128343"/>
    <n v="0"/>
    <n v="0"/>
    <n v="0"/>
    <n v="0.41690284975330272"/>
    <n v="0"/>
    <n v="-8.7656567842677049"/>
    <m/>
    <n v="0"/>
    <n v="0"/>
    <n v="0"/>
    <n v="0"/>
    <n v="-1.3134522789159142"/>
    <n v="-0.10022320568493315"/>
    <n v="0"/>
    <n v="0"/>
    <m/>
    <m/>
    <m/>
    <n v="1955.6636578385583"/>
    <n v="0"/>
    <n v="0"/>
    <n v="-597.77699999999982"/>
    <n v="10.196399999999983"/>
    <n v="0"/>
    <n v="0"/>
    <n v="-604.69301182256731"/>
    <n v="0"/>
    <n v="0"/>
    <n v="0"/>
    <n v="0"/>
    <n v="0"/>
    <n v="0"/>
    <n v="0"/>
    <n v="0"/>
    <n v="0"/>
    <n v="0"/>
    <n v="0"/>
    <n v="0"/>
    <n v="48.43935177650481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0"/>
    <s v="Regular"/>
    <s v="Verde"/>
    <s v="A4"/>
    <s v="Poder público"/>
    <s v="Não se aplica"/>
    <s v="Não se aplica"/>
    <s v="Não se aplica"/>
    <s v="Fora ponta"/>
    <s v="CATIVO"/>
    <x v="7"/>
    <n v="0"/>
    <n v="0"/>
    <n v="22.367000000000001"/>
    <n v="22.367000000000001"/>
    <n v="22.367000000000001"/>
    <n v="22.367000000000001"/>
    <m/>
    <n v="96.28"/>
    <n v="128.11000000000001"/>
    <m/>
    <n v="5018.9311300000008"/>
    <n v="5018.9311300000008"/>
    <n v="5024.5228800000004"/>
    <n v="0"/>
    <n v="1191.2208783296924"/>
    <n v="0"/>
    <n v="0"/>
    <n v="0"/>
    <n v="0"/>
    <n v="0"/>
    <n v="2865.459775392068"/>
    <n v="0"/>
    <n v="0"/>
    <n v="0"/>
    <n v="0"/>
    <n v="0"/>
    <n v="211.45427219096121"/>
    <m/>
    <n v="10.995631798764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.17210873307599"/>
    <n v="0"/>
    <n v="0"/>
    <n v="0"/>
    <n v="0"/>
    <n v="0"/>
    <m/>
    <m/>
    <m/>
    <m/>
    <m/>
    <m/>
    <m/>
    <m/>
    <m/>
    <n v="2982.6318841251441"/>
    <m/>
    <m/>
    <m/>
    <m/>
    <m/>
    <m/>
    <m/>
    <m/>
    <m/>
    <m/>
    <m/>
    <m/>
    <n v="5025.1967999999997"/>
    <n v="6.2356699999982084"/>
    <m/>
    <m/>
    <m/>
    <m/>
    <n v="-125.47886999999999"/>
    <n v="131.07061999999968"/>
    <n v="30"/>
    <n v="5.5658632699169175"/>
    <n v="0"/>
    <n v="0"/>
    <n v="0"/>
    <n v="0"/>
    <n v="0"/>
    <n v="0"/>
    <n v="0"/>
    <n v="0"/>
    <n v="0"/>
    <n v="0"/>
    <n v="131.05796603850968"/>
    <n v="0"/>
    <n v="0"/>
    <n v="0"/>
    <n v="5.3591184140414612"/>
    <n v="0"/>
    <n v="-112.67899154811266"/>
    <m/>
    <n v="0"/>
    <n v="0"/>
    <n v="0"/>
    <n v="0"/>
    <n v="-16.883900645121997"/>
    <n v="-1.2883289893993677"/>
    <n v="0"/>
    <n v="0"/>
    <m/>
    <m/>
    <m/>
    <n v="0"/>
    <n v="0"/>
    <n v="0"/>
    <n v="-125.47886999999992"/>
    <n v="131.07061999999996"/>
    <n v="0"/>
    <n v="0"/>
    <n v="0"/>
    <n v="0"/>
    <n v="0"/>
    <n v="0"/>
    <n v="0"/>
    <n v="0"/>
    <n v="0"/>
    <n v="0"/>
    <n v="0"/>
    <n v="0"/>
    <n v="0"/>
    <n v="0"/>
    <n v="0"/>
    <n v="622.6683799914270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1"/>
    <s v="Regular"/>
    <s v="Verde"/>
    <s v="A4"/>
    <s v="Poder público"/>
    <s v="Não se aplica"/>
    <s v="Não se aplica"/>
    <s v="Não se aplica"/>
    <s v="Não se aplica"/>
    <s v="CATIVO"/>
    <x v="7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3923.9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0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52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916.23199999999997"/>
    <n v="916.23199999999997"/>
    <n v="916.23199999999997"/>
    <n v="916.23199999999997"/>
    <m/>
    <n v="183.49"/>
    <n v="70.459999999999994"/>
    <m/>
    <n v="232677.1164"/>
    <n v="232677.1164"/>
    <n v="203091.98511999997"/>
    <n v="0"/>
    <n v="30848.457383931971"/>
    <n v="0"/>
    <n v="0"/>
    <n v="0"/>
    <n v="0"/>
    <n v="98012.002400463854"/>
    <n v="64558.692158531281"/>
    <n v="0"/>
    <n v="0"/>
    <n v="0"/>
    <n v="0"/>
    <n v="0"/>
    <n v="4764.0561494584754"/>
    <m/>
    <n v="433.5732126728202"/>
    <n v="1751.6625010218006"/>
    <n v="9344.1458463971503"/>
    <n v="0"/>
    <n v="0"/>
    <n v="0"/>
    <n v="0"/>
    <n v="0"/>
    <n v="0"/>
    <n v="0"/>
    <n v="0"/>
    <n v="0"/>
    <n v="0"/>
    <m/>
    <n v="0"/>
    <n v="0"/>
    <n v="0"/>
    <n v="0"/>
    <n v="0"/>
    <n v="6837.4765517825972"/>
    <n v="0"/>
    <n v="0"/>
    <n v="0"/>
    <n v="89381.39"/>
    <n v="5"/>
    <m/>
    <m/>
    <m/>
    <m/>
    <m/>
    <m/>
    <m/>
    <m/>
    <m/>
    <n v="71396.168710313883"/>
    <m/>
    <m/>
    <m/>
    <m/>
    <m/>
    <m/>
    <m/>
    <m/>
    <m/>
    <m/>
    <m/>
    <m/>
    <n v="203091.54180000001"/>
    <n v="-29585.604600000021"/>
    <m/>
    <m/>
    <m/>
    <m/>
    <n v="-32535.398320000018"/>
    <n v="2950.267040000012"/>
    <n v="30"/>
    <n v="726.21857830591034"/>
    <n v="127.86402335270418"/>
    <n v="682.08349611752965"/>
    <n v="0"/>
    <n v="0"/>
    <n v="0"/>
    <n v="0"/>
    <n v="0"/>
    <n v="0"/>
    <n v="0"/>
    <n v="0"/>
    <n v="2952.7306427622971"/>
    <n v="0"/>
    <n v="0"/>
    <n v="0"/>
    <n v="312.72669657000642"/>
    <n v="0"/>
    <n v="-2917.9920634956688"/>
    <m/>
    <n v="0"/>
    <n v="0"/>
    <n v="0"/>
    <n v="0"/>
    <n v="-380.39359461414551"/>
    <n v="-50.800622386806083"/>
    <n v="0"/>
    <n v="0"/>
    <m/>
    <m/>
    <m/>
    <n v="98012.002400463854"/>
    <n v="0"/>
    <n v="0"/>
    <n v="-32535.398320000037"/>
    <n v="2950.2670400000134"/>
    <n v="0"/>
    <n v="0"/>
    <n v="-30305.401794806108"/>
    <n v="0"/>
    <n v="0"/>
    <n v="0"/>
    <n v="0"/>
    <n v="0"/>
    <n v="0"/>
    <n v="0"/>
    <n v="0"/>
    <n v="0"/>
    <n v="0"/>
    <n v="0"/>
    <n v="0"/>
    <n v="16124.934790784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3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75.911000000000001"/>
    <n v="71.356340000000003"/>
    <n v="75.911000000000001"/>
    <n v="71.356340000000003"/>
    <m/>
    <n v="333.61"/>
    <n v="128.11000000000001"/>
    <m/>
    <n v="35049.626920000002"/>
    <n v="35049.626920000002"/>
    <n v="30594.410329999999"/>
    <n v="0"/>
    <n v="4646.9716055871113"/>
    <n v="0"/>
    <n v="0"/>
    <n v="0"/>
    <n v="0"/>
    <n v="14764.400906442872"/>
    <n v="9725.0376451820666"/>
    <n v="0"/>
    <n v="0"/>
    <n v="0"/>
    <n v="0"/>
    <n v="0"/>
    <n v="717.65123871274886"/>
    <m/>
    <n v="65.312906352433302"/>
    <n v="263.86816700467631"/>
    <n v="1407.5900096479247"/>
    <n v="0"/>
    <n v="0"/>
    <n v="0"/>
    <n v="0"/>
    <n v="0"/>
    <n v="0"/>
    <n v="0"/>
    <n v="0"/>
    <n v="0"/>
    <n v="0"/>
    <m/>
    <n v="0"/>
    <n v="0"/>
    <n v="0"/>
    <n v="0"/>
    <n v="0"/>
    <n v="1029.9885986049792"/>
    <n v="0"/>
    <n v="0"/>
    <n v="0"/>
    <n v="12724.7"/>
    <n v="27"/>
    <m/>
    <m/>
    <m/>
    <m/>
    <n v="1835.6646197999994"/>
    <m/>
    <m/>
    <m/>
    <m/>
    <n v="10755.026243787046"/>
    <m/>
    <m/>
    <m/>
    <m/>
    <m/>
    <m/>
    <m/>
    <m/>
    <m/>
    <m/>
    <m/>
    <m/>
    <n v="28760.220799999999"/>
    <n v="-4186.4585048000044"/>
    <m/>
    <m/>
    <m/>
    <m/>
    <n v="-4900.0550500000008"/>
    <n v="444.83845999999886"/>
    <n v="30"/>
    <n v="109.39662462978231"/>
    <n v="19.261270620476239"/>
    <n v="102.74817309822879"/>
    <n v="0"/>
    <n v="0"/>
    <n v="0"/>
    <n v="0"/>
    <n v="0"/>
    <n v="0"/>
    <n v="0"/>
    <n v="0"/>
    <n v="444.79551392449866"/>
    <n v="0"/>
    <n v="0"/>
    <n v="0"/>
    <n v="47.10874392139317"/>
    <n v="0"/>
    <n v="-439.56253940450188"/>
    <m/>
    <n v="0"/>
    <n v="0"/>
    <n v="0"/>
    <n v="0"/>
    <n v="-57.301997669417233"/>
    <n v="-7.6525398608943647"/>
    <n v="0"/>
    <n v="0"/>
    <m/>
    <m/>
    <m/>
    <n v="14764.400906442872"/>
    <n v="0"/>
    <n v="0"/>
    <n v="-4900.0550500000027"/>
    <n v="444.83845999999903"/>
    <n v="0"/>
    <n v="0"/>
    <n v="-4565.1664160595901"/>
    <n v="0"/>
    <n v="0"/>
    <n v="0"/>
    <n v="0"/>
    <n v="0"/>
    <n v="0"/>
    <n v="0"/>
    <n v="0"/>
    <n v="0"/>
    <n v="0"/>
    <n v="0"/>
    <n v="0"/>
    <n v="2429.039260606593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4"/>
    <s v="Regular"/>
    <s v="Azul"/>
    <s v="A4"/>
    <s v="Serviço público"/>
    <s v="Água, esgoto e saneamento"/>
    <s v="Não se aplica"/>
    <s v="Não se aplica"/>
    <s v="Ponta"/>
    <s v="CATIVO"/>
    <x v="7"/>
    <n v="382"/>
    <n v="359.08"/>
    <n v="17.343"/>
    <n v="16.302420000000001"/>
    <n v="17.343"/>
    <n v="16.302420000000001"/>
    <n v="52.19"/>
    <n v="96.28"/>
    <n v="128.11000000000001"/>
    <n v="19936.579999999998"/>
    <n v="3891.5957700000004"/>
    <n v="23828.175769999998"/>
    <n v="18465.411519999998"/>
    <n v="0"/>
    <n v="923.652867745869"/>
    <n v="0"/>
    <n v="0"/>
    <n v="0"/>
    <n v="0"/>
    <n v="17852.252973920349"/>
    <n v="2221.8298781519488"/>
    <n v="0"/>
    <n v="0"/>
    <n v="0"/>
    <n v="0"/>
    <n v="0"/>
    <n v="163.9581277152877"/>
    <m/>
    <n v="8.5258301196396804"/>
    <n v="329.90652043469942"/>
    <n v="1755.0165129159614"/>
    <n v="0"/>
    <n v="0"/>
    <n v="0"/>
    <n v="0"/>
    <n v="0"/>
    <n v="0"/>
    <n v="0"/>
    <n v="0"/>
    <n v="0"/>
    <n v="0"/>
    <m/>
    <n v="0"/>
    <n v="0"/>
    <n v="0"/>
    <n v="0"/>
    <n v="0"/>
    <n v="90.853305394453301"/>
    <n v="0"/>
    <n v="0"/>
    <n v="0"/>
    <n v="0"/>
    <n v="0"/>
    <m/>
    <m/>
    <m/>
    <m/>
    <n v="1107.9246912000003"/>
    <m/>
    <m/>
    <m/>
    <m/>
    <n v="2312.6831835464022"/>
    <m/>
    <m/>
    <m/>
    <m/>
    <m/>
    <m/>
    <m/>
    <m/>
    <m/>
    <m/>
    <m/>
    <m/>
    <n v="17356.943200000002"/>
    <n v="-5041.5720237999922"/>
    <m/>
    <m/>
    <m/>
    <m/>
    <n v="-5464.394229999999"/>
    <n v="101.62997999999975"/>
    <n v="30"/>
    <n v="156.50632375729765"/>
    <n v="24.081793729365131"/>
    <n v="128.10885216813176"/>
    <n v="0"/>
    <n v="0"/>
    <n v="0"/>
    <n v="0"/>
    <n v="0"/>
    <n v="0"/>
    <n v="0"/>
    <n v="0"/>
    <n v="101.62016832860309"/>
    <n v="0"/>
    <n v="0"/>
    <n v="0"/>
    <n v="4.1553713352135162"/>
    <n v="0"/>
    <n v="-87.369417016985494"/>
    <m/>
    <n v="0"/>
    <n v="0"/>
    <n v="0"/>
    <n v="0"/>
    <n v="-13.091495904160183"/>
    <n v="-0.99894888286999795"/>
    <n v="0"/>
    <n v="0"/>
    <m/>
    <m/>
    <n v="17852.252973920349"/>
    <n v="0"/>
    <n v="0"/>
    <n v="0"/>
    <n v="-5464.3942299999981"/>
    <n v="101.6299799999997"/>
    <n v="0"/>
    <n v="0"/>
    <n v="-5519.9331313183629"/>
    <n v="0"/>
    <n v="0"/>
    <n v="0"/>
    <n v="0"/>
    <n v="0"/>
    <n v="0"/>
    <n v="0"/>
    <n v="0"/>
    <n v="0"/>
    <n v="0"/>
    <n v="0"/>
    <n v="0"/>
    <n v="482.8067114137488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5"/>
    <s v="Regular"/>
    <s v="Azul"/>
    <s v="A4"/>
    <s v="Serviço público"/>
    <s v="Água, esgoto e saneamento"/>
    <s v="Não se aplica"/>
    <s v="Não se aplica"/>
    <s v="Fora ponta"/>
    <s v="CATIVO"/>
    <x v="7"/>
    <n v="447"/>
    <n v="420.18"/>
    <n v="137.077"/>
    <n v="128.85238000000001"/>
    <n v="137.077"/>
    <n v="128.85238000000001"/>
    <n v="18.12"/>
    <n v="96.28"/>
    <n v="128.11000000000001"/>
    <n v="8099.64"/>
    <n v="30758.708030000002"/>
    <n v="38858.348030000001"/>
    <n v="37252.127280000001"/>
    <n v="0"/>
    <n v="7300.4419161621681"/>
    <n v="0"/>
    <n v="0"/>
    <n v="0"/>
    <n v="0"/>
    <n v="5837.3454281401446"/>
    <n v="17561.07791082481"/>
    <n v="0"/>
    <n v="0"/>
    <n v="0"/>
    <n v="0"/>
    <n v="0"/>
    <n v="1295.9054530835779"/>
    <m/>
    <n v="67.387142669079651"/>
    <n v="355.30707415057924"/>
    <n v="1904.8105048128739"/>
    <n v="0"/>
    <n v="0"/>
    <n v="0"/>
    <n v="0"/>
    <n v="0"/>
    <n v="0"/>
    <n v="0"/>
    <n v="0"/>
    <n v="0"/>
    <n v="0"/>
    <m/>
    <n v="0"/>
    <n v="0"/>
    <n v="0"/>
    <n v="0"/>
    <n v="0"/>
    <n v="718.09367142682777"/>
    <n v="0"/>
    <n v="0"/>
    <n v="0"/>
    <n v="0"/>
    <n v="0"/>
    <m/>
    <m/>
    <m/>
    <m/>
    <n v="2235.1276367999972"/>
    <m/>
    <m/>
    <m/>
    <m/>
    <n v="18279.171582251638"/>
    <m/>
    <m/>
    <m/>
    <m/>
    <m/>
    <m/>
    <m/>
    <m/>
    <m/>
    <m/>
    <m/>
    <m/>
    <n v="35016.464999999997"/>
    <n v="-1510.4121482000119"/>
    <m/>
    <m/>
    <m/>
    <m/>
    <n v="-2409.4919700000005"/>
    <n v="803.27121999999792"/>
    <n v="30"/>
    <n v="199.08971588840359"/>
    <n v="25.935927725842078"/>
    <n v="139.04318596064581"/>
    <n v="0"/>
    <n v="0"/>
    <n v="0"/>
    <n v="0"/>
    <n v="0"/>
    <n v="0"/>
    <n v="0"/>
    <n v="0"/>
    <n v="803.19366972149874"/>
    <n v="0"/>
    <n v="0"/>
    <n v="0"/>
    <n v="32.843558583697472"/>
    <n v="0"/>
    <n v="-690.5574339178529"/>
    <m/>
    <n v="0"/>
    <n v="0"/>
    <n v="0"/>
    <n v="0"/>
    <n v="-103.47361956146938"/>
    <n v="-7.8955726239503363"/>
    <n v="0"/>
    <n v="0"/>
    <m/>
    <m/>
    <n v="5837.3454281401446"/>
    <n v="0"/>
    <n v="0"/>
    <n v="0"/>
    <n v="-2409.4919700000028"/>
    <n v="803.27121999999872"/>
    <n v="0"/>
    <n v="0"/>
    <n v="-1804.9126054180488"/>
    <n v="0"/>
    <n v="0"/>
    <n v="0"/>
    <n v="0"/>
    <n v="0"/>
    <n v="0"/>
    <n v="0"/>
    <n v="0"/>
    <n v="0"/>
    <n v="0"/>
    <n v="0"/>
    <n v="0"/>
    <n v="3816.04656521146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6"/>
    <s v="Regular"/>
    <s v="Azul"/>
    <s v="A4"/>
    <s v="Serviço público"/>
    <s v="Água, esgoto e saneamento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608.62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57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.4019999999999999"/>
    <n v="1.4019999999999999"/>
    <n v="1.4019999999999999"/>
    <n v="1.4019999999999999"/>
    <m/>
    <n v="333.61"/>
    <n v="128.11000000000001"/>
    <m/>
    <n v="647.33144000000004"/>
    <n v="647.33144000000004"/>
    <n v="565.04805999999996"/>
    <n v="0"/>
    <n v="85.824902728631272"/>
    <n v="0"/>
    <n v="0"/>
    <n v="0"/>
    <n v="0"/>
    <n v="272.68366996657807"/>
    <n v="179.61168708810655"/>
    <n v="0"/>
    <n v="0"/>
    <n v="0"/>
    <n v="0"/>
    <n v="0"/>
    <n v="13.254298279238501"/>
    <m/>
    <n v="1.2062638445826228"/>
    <n v="4.8733802761201428"/>
    <n v="25.996775085644906"/>
    <n v="0"/>
    <n v="0"/>
    <n v="0"/>
    <n v="0"/>
    <n v="0"/>
    <n v="0"/>
    <n v="0"/>
    <n v="0"/>
    <n v="0"/>
    <n v="0"/>
    <m/>
    <n v="0"/>
    <n v="0"/>
    <n v="0"/>
    <n v="0"/>
    <n v="0"/>
    <n v="19.022855913427314"/>
    <n v="0"/>
    <n v="0"/>
    <n v="0"/>
    <n v="236.38"/>
    <n v="2"/>
    <m/>
    <m/>
    <m/>
    <m/>
    <m/>
    <m/>
    <m/>
    <m/>
    <m/>
    <n v="198.63454300153387"/>
    <m/>
    <m/>
    <m/>
    <m/>
    <m/>
    <m/>
    <m/>
    <m/>
    <m/>
    <m/>
    <m/>
    <m/>
    <n v="564.24199999999996"/>
    <n v="-83.119440000000054"/>
    <m/>
    <m/>
    <m/>
    <m/>
    <n v="-90.499100000000013"/>
    <n v="8.2157199999999779"/>
    <n v="30"/>
    <n v="2.0204458870381359"/>
    <n v="0.35573634137223387"/>
    <n v="1.8976556583856983"/>
    <n v="0"/>
    <n v="0"/>
    <n v="0"/>
    <n v="0"/>
    <n v="0"/>
    <n v="0"/>
    <n v="0"/>
    <n v="0"/>
    <n v="8.2149268290781094"/>
    <n v="0"/>
    <n v="0"/>
    <n v="0"/>
    <n v="0.87005123075434554"/>
    <n v="0"/>
    <n v="-8.1182790405225944"/>
    <m/>
    <n v="0"/>
    <n v="0"/>
    <n v="0"/>
    <n v="0"/>
    <n v="-1.0583103994483398"/>
    <n v="-0.14133473258123197"/>
    <n v="0"/>
    <n v="0"/>
    <m/>
    <m/>
    <m/>
    <n v="272.68366996657807"/>
    <n v="0"/>
    <n v="0"/>
    <n v="-90.499100000000055"/>
    <n v="8.2157199999999762"/>
    <n v="0"/>
    <n v="0"/>
    <n v="-84.31404296235786"/>
    <n v="0"/>
    <n v="0"/>
    <n v="0"/>
    <n v="0"/>
    <n v="0"/>
    <n v="0"/>
    <n v="0"/>
    <n v="0"/>
    <n v="0"/>
    <n v="0"/>
    <n v="0"/>
    <n v="0"/>
    <n v="44.86191781652783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8"/>
    <s v="Sistema de Compensação"/>
    <s v="Convencional"/>
    <s v="B3"/>
    <s v="Consumo próprio"/>
    <s v="Não se aplica"/>
    <s v="Não se aplica"/>
    <s v="Não se aplica"/>
    <s v="Não se aplica"/>
    <s v="CATIVO"/>
    <x v="7"/>
    <n v="0"/>
    <n v="0"/>
    <n v="0.03"/>
    <n v="0.03"/>
    <n v="0.03"/>
    <n v="0.03"/>
    <m/>
    <n v="333.61"/>
    <n v="128.11000000000001"/>
    <m/>
    <n v="13.851600000000001"/>
    <n v="13.851600000000001"/>
    <n v="12.0909"/>
    <n v="0"/>
    <n v="1.8364815134514538"/>
    <n v="0"/>
    <n v="0"/>
    <n v="0"/>
    <n v="0"/>
    <n v="5.8348859479296298"/>
    <n v="3.8433313927554895"/>
    <n v="0"/>
    <n v="0"/>
    <n v="0"/>
    <n v="0"/>
    <n v="0"/>
    <n v="0.28361551239454713"/>
    <m/>
    <n v="2.581163718793059E-2"/>
    <n v="0.1042806050524995"/>
    <n v="0.55627906745317202"/>
    <n v="0"/>
    <n v="0"/>
    <n v="0"/>
    <n v="0"/>
    <n v="0"/>
    <n v="0"/>
    <n v="0"/>
    <n v="0"/>
    <n v="0"/>
    <n v="0"/>
    <m/>
    <n v="0"/>
    <n v="0"/>
    <n v="0"/>
    <n v="0"/>
    <n v="0"/>
    <n v="0.40705112510900099"/>
    <n v="0"/>
    <n v="0"/>
    <n v="0"/>
    <n v="5.0199999999999996"/>
    <n v="1"/>
    <m/>
    <m/>
    <m/>
    <m/>
    <m/>
    <m/>
    <m/>
    <m/>
    <m/>
    <n v="4.2503825178644909"/>
    <m/>
    <m/>
    <m/>
    <m/>
    <m/>
    <m/>
    <m/>
    <m/>
    <m/>
    <m/>
    <m/>
    <m/>
    <n v="12.0909"/>
    <n v="-1.7907000000000011"/>
    <m/>
    <m/>
    <m/>
    <m/>
    <n v="-1.9365000000000003"/>
    <n v="0.17579999999999954"/>
    <n v="30"/>
    <n v="4.3233506855312243E-2"/>
    <n v="7.6120472476226969E-3"/>
    <n v="4.0606041192275955E-2"/>
    <n v="0"/>
    <n v="0"/>
    <n v="0"/>
    <n v="0"/>
    <n v="0"/>
    <n v="0"/>
    <n v="0"/>
    <n v="0"/>
    <n v="0.17578302772635102"/>
    <n v="0"/>
    <n v="0"/>
    <n v="0"/>
    <n v="1.8617358717996024E-2"/>
    <n v="0"/>
    <n v="-0.17371495807109683"/>
    <m/>
    <n v="0"/>
    <n v="0"/>
    <n v="0"/>
    <n v="0"/>
    <n v="-2.2645728946826149E-2"/>
    <n v="-3.0242810110106717E-3"/>
    <n v="0"/>
    <n v="0"/>
    <m/>
    <m/>
    <m/>
    <n v="5.8348859479296298"/>
    <n v="0"/>
    <n v="0"/>
    <n v="-1.9365000000000006"/>
    <n v="0.17579999999999973"/>
    <n v="0"/>
    <n v="0"/>
    <n v="-1.8041521318621498"/>
    <n v="0"/>
    <n v="0"/>
    <n v="0"/>
    <n v="0"/>
    <n v="0"/>
    <n v="0"/>
    <n v="0"/>
    <n v="0"/>
    <n v="0"/>
    <n v="0"/>
    <n v="0"/>
    <n v="0"/>
    <n v="0.959955445432121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59"/>
    <s v="Regular"/>
    <s v="Verde"/>
    <s v="A4"/>
    <s v="Consumo próprio"/>
    <s v="Não se aplica"/>
    <s v="Não se aplica"/>
    <s v="Não se aplica"/>
    <s v="Ponta"/>
    <s v="CATIVO"/>
    <x v="7"/>
    <n v="0"/>
    <n v="0"/>
    <n v="1.0269999999999999"/>
    <n v="1.0269999999999999"/>
    <n v="1.0269999999999999"/>
    <n v="1.0269999999999999"/>
    <m/>
    <n v="1351.49"/>
    <n v="128.11000000000001"/>
    <m/>
    <n v="1519.5491999999999"/>
    <n v="1519.5491999999999"/>
    <n v="1172.7415699999999"/>
    <n v="0"/>
    <n v="54.695928915124682"/>
    <n v="0"/>
    <n v="0"/>
    <n v="0"/>
    <n v="0"/>
    <n v="1154.2911359771258"/>
    <n v="131.57004467866292"/>
    <n v="0"/>
    <n v="0"/>
    <n v="0"/>
    <n v="0"/>
    <n v="0"/>
    <n v="9.7091043743066621"/>
    <m/>
    <n v="0.50487387031482156"/>
    <n v="21.333387398741255"/>
    <n v="113.47536359758057"/>
    <n v="0"/>
    <n v="0"/>
    <n v="0"/>
    <n v="0"/>
    <n v="0"/>
    <n v="0"/>
    <n v="0"/>
    <n v="0"/>
    <n v="0"/>
    <n v="0"/>
    <m/>
    <n v="0"/>
    <n v="0"/>
    <n v="0"/>
    <n v="0"/>
    <n v="0"/>
    <n v="5.3800579277001397"/>
    <n v="0"/>
    <n v="0"/>
    <n v="0"/>
    <n v="0"/>
    <n v="0"/>
    <m/>
    <m/>
    <m/>
    <m/>
    <m/>
    <m/>
    <m/>
    <m/>
    <m/>
    <n v="136.95010260636306"/>
    <m/>
    <m/>
    <m/>
    <m/>
    <m/>
    <m/>
    <m/>
    <m/>
    <m/>
    <m/>
    <m/>
    <m/>
    <n v="1176.1673000000001"/>
    <n v="-343.41189999999983"/>
    <m/>
    <m/>
    <m/>
    <m/>
    <n v="-352.82584999999995"/>
    <n v="6.0182199999999844"/>
    <n v="30"/>
    <n v="10.096035381415163"/>
    <n v="1.557247896186432"/>
    <n v="8.2832260966560654"/>
    <n v="0"/>
    <n v="0"/>
    <n v="0"/>
    <n v="0"/>
    <n v="0"/>
    <n v="0"/>
    <n v="0"/>
    <n v="0"/>
    <n v="6.0176389824987382"/>
    <n v="0"/>
    <n v="0"/>
    <n v="0"/>
    <n v="0.24606852109002464"/>
    <n v="0"/>
    <n v="-5.1737525962315658"/>
    <m/>
    <n v="0"/>
    <n v="0"/>
    <n v="0"/>
    <n v="0"/>
    <n v="-0.7752387876130129"/>
    <n v="-5.9154731171509378E-2"/>
    <n v="0"/>
    <n v="0"/>
    <m/>
    <m/>
    <m/>
    <n v="1154.2911359771258"/>
    <n v="0"/>
    <n v="0"/>
    <n v="-352.82584999999995"/>
    <n v="6.0182199999999852"/>
    <n v="0"/>
    <n v="0"/>
    <n v="-356.90788686308986"/>
    <n v="0"/>
    <n v="0"/>
    <n v="0"/>
    <n v="0"/>
    <n v="0"/>
    <n v="0"/>
    <n v="0"/>
    <n v="0"/>
    <n v="0"/>
    <n v="0"/>
    <n v="0"/>
    <n v="0"/>
    <n v="28.59035303130485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0"/>
    <s v="Regular"/>
    <s v="Verde"/>
    <s v="A4"/>
    <s v="Consumo próprio"/>
    <s v="Não se aplica"/>
    <s v="Não se aplica"/>
    <s v="Não se aplica"/>
    <s v="Fora ponta"/>
    <s v="CATIVO"/>
    <x v="7"/>
    <n v="0"/>
    <n v="0"/>
    <n v="12.231999999999999"/>
    <n v="12.231999999999999"/>
    <n v="12.231999999999999"/>
    <n v="12.231999999999999"/>
    <m/>
    <n v="96.28"/>
    <n v="128.11000000000001"/>
    <m/>
    <n v="2744.73848"/>
    <n v="2744.73848"/>
    <n v="2747.79648"/>
    <n v="0"/>
    <n v="651.45141430360775"/>
    <n v="0"/>
    <n v="0"/>
    <n v="0"/>
    <n v="0"/>
    <n v="0"/>
    <n v="1567.0543198728383"/>
    <n v="0"/>
    <n v="0"/>
    <n v="0"/>
    <n v="0"/>
    <n v="0"/>
    <n v="115.63949825367001"/>
    <m/>
    <n v="6.0132591837301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078742523493787"/>
    <n v="0"/>
    <n v="0"/>
    <n v="0"/>
    <n v="0"/>
    <n v="0"/>
    <m/>
    <m/>
    <m/>
    <m/>
    <m/>
    <m/>
    <m/>
    <m/>
    <m/>
    <n v="1631.133062396332"/>
    <m/>
    <m/>
    <m/>
    <m/>
    <m/>
    <m/>
    <m/>
    <m/>
    <m/>
    <m/>
    <m/>
    <m/>
    <n v="2747.3472000000002"/>
    <n v="2.5787199999999757"/>
    <m/>
    <m/>
    <m/>
    <m/>
    <n v="-68.62151999999999"/>
    <n v="71.679519999999812"/>
    <n v="30"/>
    <n v="3.0438431402344577"/>
    <n v="0"/>
    <n v="0"/>
    <n v="0"/>
    <n v="0"/>
    <n v="0"/>
    <n v="0"/>
    <n v="0"/>
    <n v="0"/>
    <n v="0"/>
    <n v="0"/>
    <n v="71.67259983829058"/>
    <n v="0"/>
    <n v="0"/>
    <n v="0"/>
    <n v="2.9307791138979269"/>
    <n v="0"/>
    <n v="-61.621559646645096"/>
    <m/>
    <n v="0"/>
    <n v="0"/>
    <n v="0"/>
    <n v="0"/>
    <n v="-9.2334185492525762"/>
    <n v="-0.70455761605638045"/>
    <n v="0"/>
    <n v="0"/>
    <m/>
    <m/>
    <m/>
    <n v="0"/>
    <n v="0"/>
    <n v="0"/>
    <n v="-68.621519999999919"/>
    <n v="71.679519999999911"/>
    <n v="0"/>
    <n v="0"/>
    <n v="0"/>
    <n v="0"/>
    <n v="0"/>
    <n v="0"/>
    <n v="0"/>
    <n v="0"/>
    <n v="0"/>
    <n v="0"/>
    <n v="0"/>
    <n v="0"/>
    <n v="0"/>
    <n v="0"/>
    <n v="0"/>
    <n v="340.5230752472452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1"/>
    <s v="Regular"/>
    <s v="Verde"/>
    <s v="A4"/>
    <s v="Consumo próprio"/>
    <s v="Não se aplica"/>
    <s v="Não se aplica"/>
    <s v="Não se aplica"/>
    <s v="Não se aplica"/>
    <s v="CATIVO"/>
    <x v="7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1981.86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0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62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92.83"/>
    <n v="10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63"/>
    <s v="Regular"/>
    <s v="Convencional"/>
    <s v="B2"/>
    <s v="Rural"/>
    <s v="Agropecuária rural"/>
    <s v="IRRIG./AQUIC."/>
    <s v="Não se aplica"/>
    <s v="Não se aplica"/>
    <s v="CATIVO"/>
    <x v="7"/>
    <n v="0"/>
    <n v="0"/>
    <n v="20.023"/>
    <n v="20.023"/>
    <n v="20.023"/>
    <n v="20.023"/>
    <m/>
    <n v="333.61"/>
    <n v="128.11000000000001"/>
    <m/>
    <n v="9245.0195600000006"/>
    <n v="9245.0195600000006"/>
    <n v="8069.8696900000004"/>
    <n v="0"/>
    <n v="1225.7289781279487"/>
    <n v="0"/>
    <n v="0"/>
    <n v="0"/>
    <n v="0"/>
    <n v="3894.3973778464997"/>
    <n v="2565.167482571439"/>
    <n v="0"/>
    <n v="0"/>
    <n v="0"/>
    <n v="0"/>
    <n v="0"/>
    <n v="189.2944468225339"/>
    <m/>
    <n v="17.227547047131139"/>
    <n v="69.600351832206584"/>
    <n v="371.2791922538288"/>
    <n v="0"/>
    <n v="0"/>
    <n v="0"/>
    <n v="0"/>
    <n v="0"/>
    <n v="0"/>
    <n v="0"/>
    <n v="0"/>
    <n v="0"/>
    <n v="0"/>
    <m/>
    <n v="0"/>
    <n v="0"/>
    <n v="0"/>
    <n v="0"/>
    <n v="0"/>
    <n v="271.67948926858423"/>
    <n v="0"/>
    <n v="0"/>
    <n v="0"/>
    <n v="0"/>
    <n v="0"/>
    <m/>
    <m/>
    <m/>
    <m/>
    <m/>
    <n v="968.51250999999979"/>
    <m/>
    <m/>
    <m/>
    <n v="2836.8469718400233"/>
    <m/>
    <m/>
    <m/>
    <m/>
    <m/>
    <m/>
    <m/>
    <m/>
    <m/>
    <m/>
    <m/>
    <m/>
    <n v="7100.2932000000001"/>
    <n v="-1035.4821599999996"/>
    <m/>
    <m/>
    <m/>
    <m/>
    <n v="-1292.4846500000001"/>
    <n v="117.3347799999997"/>
    <n v="30"/>
    <n v="28.855483592129531"/>
    <n v="5.0805340679716409"/>
    <n v="27.10182542643139"/>
    <n v="0"/>
    <n v="0"/>
    <n v="0"/>
    <n v="0"/>
    <n v="0"/>
    <n v="0"/>
    <n v="0"/>
    <n v="0"/>
    <n v="117.323452138824"/>
    <n v="0"/>
    <n v="0"/>
    <n v="0"/>
    <n v="12.425845787014453"/>
    <n v="0"/>
    <n v="-115.94315351525256"/>
    <m/>
    <n v="0"/>
    <n v="0"/>
    <n v="0"/>
    <n v="0"/>
    <n v="-15.114514356743314"/>
    <n v="-2.0185059561155541"/>
    <n v="0"/>
    <n v="0"/>
    <m/>
    <m/>
    <m/>
    <n v="3894.3973778464997"/>
    <n v="0"/>
    <n v="0"/>
    <n v="-1292.4846499999994"/>
    <n v="117.33477999999968"/>
    <n v="0"/>
    <n v="0"/>
    <n v="-1204.1512712091949"/>
    <n v="0"/>
    <n v="0"/>
    <n v="0"/>
    <n v="0"/>
    <n v="0"/>
    <n v="0"/>
    <n v="0"/>
    <n v="0"/>
    <n v="0"/>
    <n v="0"/>
    <n v="0"/>
    <n v="0"/>
    <n v="640.7062627962459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4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1.601"/>
    <n v="0.64039999999999997"/>
    <n v="1.601"/>
    <n v="0.64039999999999997"/>
    <m/>
    <n v="333.61"/>
    <n v="128.11000000000001"/>
    <m/>
    <n v="739.21371999999997"/>
    <n v="739.21371999999997"/>
    <n v="645.25103000000001"/>
    <n v="0"/>
    <n v="98.00689676785926"/>
    <n v="0"/>
    <n v="0"/>
    <n v="0"/>
    <n v="0"/>
    <n v="311.38841342117792"/>
    <n v="205.10578532671798"/>
    <n v="0"/>
    <n v="0"/>
    <n v="0"/>
    <n v="0"/>
    <n v="0"/>
    <n v="15.135614511455664"/>
    <m/>
    <n v="1.3774810379292293"/>
    <n v="5.5651082896350568"/>
    <n v="29.686759566417614"/>
    <n v="0"/>
    <n v="0"/>
    <n v="0"/>
    <n v="0"/>
    <n v="0"/>
    <n v="0"/>
    <n v="0"/>
    <n v="0"/>
    <n v="0"/>
    <n v="0"/>
    <m/>
    <n v="0"/>
    <n v="0"/>
    <n v="0"/>
    <n v="0"/>
    <n v="0"/>
    <n v="21.722961709983686"/>
    <n v="0"/>
    <n v="0"/>
    <n v="0"/>
    <n v="0"/>
    <n v="0"/>
    <m/>
    <m/>
    <m/>
    <m/>
    <m/>
    <m/>
    <n v="418.12676600000003"/>
    <m/>
    <m/>
    <n v="226.82874703670166"/>
    <m/>
    <m/>
    <m/>
    <m/>
    <m/>
    <m/>
    <m/>
    <m/>
    <m/>
    <m/>
    <m/>
    <m/>
    <n v="226.98240000000001"/>
    <n v="-33.254927999999921"/>
    <m/>
    <m/>
    <m/>
    <m/>
    <n v="-103.34455000000001"/>
    <n v="9.3818599999999766"/>
    <n v="30"/>
    <n v="2.3072281491783997"/>
    <n v="0.40622958811479748"/>
    <n v="2.1670090649611282"/>
    <n v="0"/>
    <n v="0"/>
    <n v="0"/>
    <n v="0"/>
    <n v="0"/>
    <n v="0"/>
    <n v="0"/>
    <n v="0"/>
    <n v="9.3809542463295656"/>
    <n v="0"/>
    <n v="0"/>
    <n v="0"/>
    <n v="0.99354637691705605"/>
    <n v="0"/>
    <n v="-9.2705882623942131"/>
    <m/>
    <n v="0"/>
    <n v="0"/>
    <n v="0"/>
    <n v="0"/>
    <n v="-1.2085270681289533"/>
    <n v="-0.16139579662093628"/>
    <n v="0"/>
    <n v="0"/>
    <m/>
    <m/>
    <m/>
    <n v="311.38841342117792"/>
    <n v="0"/>
    <n v="0"/>
    <n v="-103.34454999999997"/>
    <n v="9.381859999999989"/>
    <n v="0"/>
    <n v="0"/>
    <n v="-96.281585437043418"/>
    <n v="0"/>
    <n v="0"/>
    <n v="0"/>
    <n v="0"/>
    <n v="0"/>
    <n v="0"/>
    <n v="0"/>
    <n v="0"/>
    <n v="0"/>
    <n v="0"/>
    <n v="0"/>
    <n v="0"/>
    <n v="51.22962227122757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5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60.4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66"/>
    <s v="Regular"/>
    <s v="Convencional"/>
    <s v="B2"/>
    <s v="Rural"/>
    <s v="Aquicultura"/>
    <s v="IRRIG./AQUIC."/>
    <s v="Não se aplica"/>
    <s v="Não se aplica"/>
    <s v="CATIVO"/>
    <x v="7"/>
    <n v="0"/>
    <n v="0"/>
    <n v="1.605"/>
    <n v="1.605"/>
    <n v="1.605"/>
    <n v="1.605"/>
    <m/>
    <n v="333.61"/>
    <n v="128.11000000000001"/>
    <m/>
    <n v="741.06060000000002"/>
    <n v="741.06060000000002"/>
    <n v="646.86315000000002"/>
    <n v="0"/>
    <n v="98.251760969652793"/>
    <n v="0"/>
    <n v="0"/>
    <n v="0"/>
    <n v="0"/>
    <n v="312.16639821423524"/>
    <n v="205.61822951241871"/>
    <n v="0"/>
    <n v="0"/>
    <n v="0"/>
    <n v="0"/>
    <n v="0"/>
    <n v="15.17342991310827"/>
    <m/>
    <n v="1.3809225895542865"/>
    <n v="5.5790123703087229"/>
    <n v="29.760930108744706"/>
    <n v="0"/>
    <n v="0"/>
    <n v="0"/>
    <n v="0"/>
    <n v="0"/>
    <n v="0"/>
    <n v="0"/>
    <n v="0"/>
    <n v="0"/>
    <n v="0"/>
    <m/>
    <n v="0"/>
    <n v="0"/>
    <n v="0"/>
    <n v="0"/>
    <n v="0"/>
    <n v="21.777235193331553"/>
    <n v="0"/>
    <n v="0"/>
    <n v="0"/>
    <n v="0"/>
    <n v="0"/>
    <m/>
    <m/>
    <m/>
    <m/>
    <m/>
    <n v="77.633849999999981"/>
    <m/>
    <m/>
    <m/>
    <n v="227.39546470575027"/>
    <m/>
    <m/>
    <m/>
    <m/>
    <m/>
    <m/>
    <m/>
    <m/>
    <m/>
    <m/>
    <m/>
    <m/>
    <n v="571.00260000000003"/>
    <n v="-81.170999999999935"/>
    <m/>
    <m/>
    <m/>
    <m/>
    <n v="-103.60275000000001"/>
    <n v="9.4052999999999756"/>
    <n v="30"/>
    <n v="2.3129926167590611"/>
    <n v="0.40724452774781472"/>
    <n v="2.1724232037867637"/>
    <n v="0"/>
    <n v="0"/>
    <n v="0"/>
    <n v="0"/>
    <n v="0"/>
    <n v="0"/>
    <n v="0"/>
    <n v="0"/>
    <n v="9.4043919833597442"/>
    <n v="0"/>
    <n v="0"/>
    <n v="0"/>
    <n v="0.99602869141278916"/>
    <n v="0"/>
    <n v="-9.2937502568036905"/>
    <m/>
    <n v="0"/>
    <n v="0"/>
    <n v="0"/>
    <n v="0"/>
    <n v="-1.2115464986551974"/>
    <n v="-0.1617990340890707"/>
    <n v="0"/>
    <n v="0"/>
    <m/>
    <m/>
    <m/>
    <n v="312.16639821423524"/>
    <n v="0"/>
    <n v="0"/>
    <n v="-103.60275000000007"/>
    <n v="9.4052999999999827"/>
    <n v="0"/>
    <n v="0"/>
    <n v="-96.522139054625086"/>
    <n v="0"/>
    <n v="0"/>
    <n v="0"/>
    <n v="0"/>
    <n v="0"/>
    <n v="0"/>
    <n v="0"/>
    <n v="0"/>
    <n v="0"/>
    <n v="0"/>
    <n v="0"/>
    <n v="0"/>
    <n v="51.35761633061852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7"/>
    <s v="Regular"/>
    <s v="Convencional"/>
    <s v="B2"/>
    <s v="Rural"/>
    <s v="Aquicultura"/>
    <s v="IRRIG./AQUIC. PR"/>
    <s v="Não se aplica"/>
    <s v="Não se aplica"/>
    <s v="CATIVO"/>
    <x v="7"/>
    <n v="0"/>
    <n v="0"/>
    <n v="2.9910000000000001"/>
    <n v="1.1963999999999999"/>
    <n v="2.9910000000000001"/>
    <n v="1.1963999999999999"/>
    <m/>
    <n v="333.61"/>
    <n v="128.11000000000001"/>
    <m/>
    <n v="1381.0045200000002"/>
    <n v="1381.0045200000002"/>
    <n v="1205.46273"/>
    <n v="0"/>
    <n v="183.09720689110998"/>
    <n v="0"/>
    <n v="0"/>
    <n v="0"/>
    <n v="0"/>
    <n v="581.73812900858411"/>
    <n v="383.18013985772234"/>
    <n v="0"/>
    <n v="0"/>
    <n v="0"/>
    <n v="0"/>
    <n v="0"/>
    <n v="28.276466585736348"/>
    <m/>
    <n v="2.5734202276366798"/>
    <n v="10.396776323734201"/>
    <n v="55.461023025081253"/>
    <n v="0"/>
    <n v="0"/>
    <n v="0"/>
    <n v="0"/>
    <n v="0"/>
    <n v="0"/>
    <n v="0"/>
    <n v="0"/>
    <n v="0"/>
    <n v="0"/>
    <m/>
    <n v="0"/>
    <n v="0"/>
    <n v="0"/>
    <n v="0"/>
    <n v="0"/>
    <n v="40.582997173367403"/>
    <n v="0"/>
    <n v="0"/>
    <n v="0"/>
    <n v="0"/>
    <n v="0"/>
    <m/>
    <m/>
    <m/>
    <m/>
    <m/>
    <m/>
    <n v="781.14750600000013"/>
    <m/>
    <m/>
    <n v="423.76313703108974"/>
    <m/>
    <m/>
    <m/>
    <m/>
    <m/>
    <m/>
    <m/>
    <m/>
    <m/>
    <m/>
    <m/>
    <m/>
    <n v="425.59199999999998"/>
    <n v="-60.559247999999911"/>
    <m/>
    <m/>
    <m/>
    <m/>
    <n v="-193.06905000000003"/>
    <n v="17.527259999999956"/>
    <n v="30"/>
    <n v="4.3103806334745514"/>
    <n v="0.75892111058798228"/>
    <n v="4.0484223068699166"/>
    <n v="0"/>
    <n v="0"/>
    <n v="0"/>
    <n v="0"/>
    <n v="0"/>
    <n v="0"/>
    <n v="0"/>
    <n v="0"/>
    <n v="17.525567864317168"/>
    <n v="0"/>
    <n v="0"/>
    <n v="0"/>
    <n v="1.8561506641841987"/>
    <n v="0"/>
    <n v="-17.319381319688375"/>
    <m/>
    <n v="0"/>
    <n v="0"/>
    <n v="0"/>
    <n v="0"/>
    <n v="-2.2577791759985608"/>
    <n v="-0.30152081679776366"/>
    <n v="0"/>
    <n v="0"/>
    <m/>
    <m/>
    <m/>
    <n v="581.73812900858411"/>
    <n v="0"/>
    <n v="0"/>
    <n v="-193.06905000000006"/>
    <n v="17.527259999999956"/>
    <n v="0"/>
    <n v="0"/>
    <n v="-179.87396754665639"/>
    <n v="0"/>
    <n v="0"/>
    <n v="0"/>
    <n v="0"/>
    <n v="0"/>
    <n v="0"/>
    <n v="0"/>
    <n v="0"/>
    <n v="0"/>
    <n v="0"/>
    <n v="0"/>
    <n v="0"/>
    <n v="95.70755790958256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8"/>
    <s v="Regular"/>
    <s v="Convencional"/>
    <s v="B1"/>
    <s v="Residencial"/>
    <s v="Residencial"/>
    <s v="Não se aplica"/>
    <s v="Não se aplica"/>
    <s v="Não se aplica"/>
    <s v="CATIVO"/>
    <x v="8"/>
    <n v="0"/>
    <n v="0"/>
    <n v="4246.25"/>
    <n v="4246.25"/>
    <n v="4246.25"/>
    <n v="4246.25"/>
    <m/>
    <n v="333.61"/>
    <n v="128.11000000000001"/>
    <m/>
    <n v="1960578.5500000003"/>
    <n v="1960578.5500000003"/>
    <n v="1711366.1375"/>
    <n v="0"/>
    <n v="259938.65421644121"/>
    <n v="0"/>
    <n v="0"/>
    <n v="0"/>
    <n v="0"/>
    <n v="825879.48187987308"/>
    <n v="543991.53088293329"/>
    <n v="0"/>
    <n v="0"/>
    <n v="0"/>
    <n v="0"/>
    <n v="0"/>
    <n v="40143.412316844857"/>
    <m/>
    <n v="3653.4221469750091"/>
    <n v="14760.050640139199"/>
    <n v="78736.666339101066"/>
    <n v="0"/>
    <n v="0"/>
    <n v="0"/>
    <n v="0"/>
    <n v="0"/>
    <n v="0"/>
    <n v="0"/>
    <n v="0"/>
    <n v="0"/>
    <n v="0"/>
    <m/>
    <n v="0"/>
    <n v="0"/>
    <n v="0"/>
    <n v="0"/>
    <n v="0"/>
    <n v="57614.694666469848"/>
    <n v="0"/>
    <n v="0"/>
    <n v="0"/>
    <n v="368655.84"/>
    <n v="20565"/>
    <m/>
    <m/>
    <m/>
    <m/>
    <m/>
    <m/>
    <m/>
    <m/>
    <m/>
    <n v="601606.22554940311"/>
    <m/>
    <m/>
    <m/>
    <m/>
    <m/>
    <m/>
    <m/>
    <m/>
    <m/>
    <m/>
    <m/>
    <m/>
    <n v="1711366.1375"/>
    <n v="-249212.44250000035"/>
    <m/>
    <m/>
    <m/>
    <m/>
    <n v="-274095.43750000006"/>
    <n v="24883.024999999936"/>
    <n v="31"/>
    <n v="6119.3426161454991"/>
    <n v="1077.4218541739301"/>
    <n v="5747.4467470900563"/>
    <n v="0"/>
    <n v="0"/>
    <n v="0"/>
    <n v="0"/>
    <n v="0"/>
    <n v="0"/>
    <n v="0"/>
    <n v="0"/>
    <n v="24880.622716100537"/>
    <n v="0"/>
    <n v="0"/>
    <n v="0"/>
    <n v="2635.1319818763513"/>
    <n v="0"/>
    <n v="-24587.904690313182"/>
    <m/>
    <n v="0"/>
    <n v="0"/>
    <n v="0"/>
    <n v="0"/>
    <n v="-3205.3142180153445"/>
    <n v="-428.06177476680205"/>
    <n v="0"/>
    <n v="0"/>
    <m/>
    <m/>
    <m/>
    <n v="825879.48187987308"/>
    <n v="0"/>
    <n v="0"/>
    <n v="-274095.43750000023"/>
    <n v="24883.025000000023"/>
    <n v="0"/>
    <n v="0"/>
    <n v="-255362.69966398855"/>
    <n v="0"/>
    <n v="0"/>
    <n v="0"/>
    <n v="0"/>
    <n v="0"/>
    <n v="0"/>
    <n v="0"/>
    <n v="0"/>
    <n v="0"/>
    <n v="0"/>
    <n v="0"/>
    <n v="0"/>
    <n v="135873.6936722049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69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11799999999999999"/>
    <n v="-0.11799999999999999"/>
    <n v="-0.11799999999999999"/>
    <n v="-0.11799999999999999"/>
    <m/>
    <n v="333.61"/>
    <n v="128.11000000000001"/>
    <m/>
    <n v="-54.482960000000006"/>
    <n v="-54.482960000000006"/>
    <n v="-47.557539999999996"/>
    <n v="0"/>
    <n v="-7.2234939529090516"/>
    <n v="0"/>
    <n v="0"/>
    <n v="0"/>
    <n v="0"/>
    <n v="-22.950551395189876"/>
    <n v="-15.117103478171591"/>
    <n v="0"/>
    <n v="0"/>
    <n v="0"/>
    <n v="0"/>
    <n v="0"/>
    <n v="-1.1155543487518853"/>
    <m/>
    <n v="-0.10152577293919365"/>
    <n v="-0.41017037987316468"/>
    <n v="-2.1880309986491433"/>
    <n v="0"/>
    <n v="0"/>
    <n v="0"/>
    <n v="0"/>
    <n v="0"/>
    <n v="0"/>
    <n v="0"/>
    <n v="0"/>
    <n v="0"/>
    <n v="0"/>
    <m/>
    <n v="0"/>
    <n v="0"/>
    <n v="0"/>
    <n v="0"/>
    <n v="0"/>
    <n v="-1.6010677587620705"/>
    <n v="0"/>
    <n v="0"/>
    <n v="0"/>
    <n v="-8.77"/>
    <n v="0"/>
    <m/>
    <m/>
    <m/>
    <m/>
    <m/>
    <m/>
    <m/>
    <m/>
    <m/>
    <n v="-16.718171236933664"/>
    <m/>
    <m/>
    <m/>
    <m/>
    <m/>
    <m/>
    <m/>
    <m/>
    <m/>
    <m/>
    <m/>
    <m/>
    <n v="-48.363599999999998"/>
    <n v="6.0893600000000134"/>
    <m/>
    <m/>
    <m/>
    <m/>
    <n v="7.6169000000000011"/>
    <n v="-0.69147999999999821"/>
    <n v="31"/>
    <n v="-0.1700517936308934"/>
    <n v="-2.9940719173982611E-2"/>
    <n v="-0.15971709535628564"/>
    <n v="0"/>
    <n v="0"/>
    <n v="0"/>
    <n v="0"/>
    <n v="0"/>
    <n v="0"/>
    <n v="0"/>
    <n v="0"/>
    <n v="-0.69141324239031299"/>
    <n v="0"/>
    <n v="0"/>
    <n v="0"/>
    <n v="-7.3228277624117544E-2"/>
    <n v="0"/>
    <n v="0.68327883507964771"/>
    <m/>
    <n v="0"/>
    <n v="0"/>
    <n v="0"/>
    <n v="0"/>
    <n v="8.9073200524182772E-2"/>
    <n v="1.189550530997531E-2"/>
    <n v="0"/>
    <n v="0"/>
    <m/>
    <m/>
    <m/>
    <n v="-22.950551395189876"/>
    <n v="0"/>
    <n v="0"/>
    <n v="7.6169000000000011"/>
    <n v="-0.69147999999999676"/>
    <n v="0"/>
    <n v="0"/>
    <n v="7.0963317186577903"/>
    <n v="0"/>
    <n v="0"/>
    <n v="0"/>
    <n v="0"/>
    <n v="0"/>
    <n v="0"/>
    <n v="0"/>
    <n v="0"/>
    <n v="0"/>
    <n v="0"/>
    <n v="0"/>
    <n v="0"/>
    <n v="-3.775824752033013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0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24.463000000000001"/>
    <n v="24.463000000000001"/>
    <n v="24.463000000000001"/>
    <n v="24.463000000000001"/>
    <m/>
    <n v="333.61"/>
    <n v="128.11000000000001"/>
    <m/>
    <n v="11295.05636"/>
    <n v="11295.05636"/>
    <n v="9859.3228899999995"/>
    <n v="0"/>
    <n v="1497.528242118764"/>
    <n v="0"/>
    <n v="0"/>
    <n v="0"/>
    <n v="0"/>
    <n v="4757.9604981400853"/>
    <n v="3133.9805286992514"/>
    <n v="0"/>
    <n v="0"/>
    <n v="0"/>
    <n v="0"/>
    <n v="0"/>
    <n v="231.26954265692689"/>
    <m/>
    <n v="21.047669350944869"/>
    <n v="85.033881379976521"/>
    <n v="453.60849423689825"/>
    <n v="0"/>
    <n v="0"/>
    <n v="0"/>
    <n v="0"/>
    <n v="0"/>
    <n v="0"/>
    <n v="0"/>
    <n v="0"/>
    <n v="0"/>
    <n v="0"/>
    <m/>
    <n v="0"/>
    <n v="0"/>
    <n v="0"/>
    <n v="0"/>
    <n v="0"/>
    <n v="331.92305578471638"/>
    <n v="0"/>
    <n v="0"/>
    <n v="0"/>
    <n v="4733.1099999999997"/>
    <n v="71"/>
    <m/>
    <m/>
    <m/>
    <m/>
    <m/>
    <m/>
    <m/>
    <m/>
    <m/>
    <n v="3465.9035844839677"/>
    <m/>
    <m/>
    <m/>
    <m/>
    <m/>
    <m/>
    <m/>
    <m/>
    <m/>
    <m/>
    <m/>
    <m/>
    <n v="9858.113800000001"/>
    <n v="-1436.9725600000002"/>
    <m/>
    <m/>
    <m/>
    <m/>
    <n v="-1579.0866500000004"/>
    <n v="143.35317999999964"/>
    <n v="31"/>
    <n v="35.254042606718031"/>
    <n v="6.2071170606197938"/>
    <n v="33.111519522888273"/>
    <n v="0"/>
    <n v="0"/>
    <n v="0"/>
    <n v="0"/>
    <n v="0"/>
    <n v="0"/>
    <n v="0"/>
    <n v="0"/>
    <n v="143.33934024232394"/>
    <n v="0"/>
    <n v="0"/>
    <n v="0"/>
    <n v="15.18121487727791"/>
    <n v="0"/>
    <n v="-141.65296730977479"/>
    <m/>
    <n v="0"/>
    <n v="0"/>
    <n v="0"/>
    <n v="0"/>
    <n v="-18.46608224087359"/>
    <n v="-2.4660995457451342"/>
    <n v="0"/>
    <n v="0"/>
    <m/>
    <m/>
    <m/>
    <n v="4757.9604981400853"/>
    <n v="0"/>
    <n v="0"/>
    <n v="-1579.0866500000002"/>
    <n v="143.35317999999961"/>
    <n v="0"/>
    <n v="0"/>
    <n v="-1471.1657867247932"/>
    <n v="0"/>
    <n v="0"/>
    <n v="0"/>
    <n v="0"/>
    <n v="0"/>
    <n v="0"/>
    <n v="0"/>
    <n v="0"/>
    <n v="0"/>
    <n v="0"/>
    <n v="0"/>
    <n v="0"/>
    <n v="782.7796687202001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1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2.77"/>
    <n v="22.77"/>
    <n v="22.77"/>
    <n v="22.77"/>
    <m/>
    <n v="230.94"/>
    <n v="128.11000000000001"/>
    <m/>
    <n v="8175.5684999999994"/>
    <n v="8175.5684999999994"/>
    <n v="6988.1130000000003"/>
    <n v="0"/>
    <n v="0"/>
    <n v="0"/>
    <n v="0"/>
    <n v="0"/>
    <n v="0"/>
    <n v="4428.6784344785892"/>
    <n v="2917.0885271014167"/>
    <n v="0"/>
    <n v="0"/>
    <n v="0"/>
    <n v="0"/>
    <n v="0"/>
    <n v="0"/>
    <m/>
    <n v="19.591032625639318"/>
    <n v="79.148979234847118"/>
    <n v="422.21581219695759"/>
    <n v="0"/>
    <n v="0"/>
    <n v="0"/>
    <n v="0"/>
    <n v="0"/>
    <n v="0"/>
    <n v="0"/>
    <n v="0"/>
    <n v="0"/>
    <n v="0"/>
    <m/>
    <n v="0"/>
    <n v="0"/>
    <n v="0"/>
    <n v="0"/>
    <n v="0"/>
    <n v="308.95180395773178"/>
    <n v="0"/>
    <n v="0"/>
    <n v="0"/>
    <n v="325.94"/>
    <n v="26"/>
    <m/>
    <m/>
    <m/>
    <m/>
    <m/>
    <m/>
    <m/>
    <n v="4542.1596"/>
    <m/>
    <n v="3226.0403310591487"/>
    <m/>
    <m/>
    <m/>
    <m/>
    <m/>
    <m/>
    <m/>
    <m/>
    <m/>
    <m/>
    <m/>
    <m/>
    <n v="2445.9534000000003"/>
    <n v="-415.58249999999998"/>
    <m/>
    <m/>
    <m/>
    <m/>
    <n v="-1320.8876999999998"/>
    <n v="133.43219999999965"/>
    <n v="31"/>
    <n v="181.85199314978445"/>
    <n v="5.7775438609456273"/>
    <n v="30.819985264937486"/>
    <n v="0"/>
    <n v="0"/>
    <n v="0"/>
    <n v="0"/>
    <n v="0"/>
    <n v="0"/>
    <n v="0"/>
    <n v="0"/>
    <n v="133.41931804429987"/>
    <n v="0"/>
    <n v="0"/>
    <n v="0"/>
    <n v="14.130575266958942"/>
    <n v="0"/>
    <n v="0"/>
    <m/>
    <n v="0"/>
    <n v="0"/>
    <n v="0"/>
    <n v="0"/>
    <n v="0"/>
    <n v="-2.2954292873570985"/>
    <n v="0"/>
    <n v="0"/>
    <m/>
    <m/>
    <m/>
    <n v="4428.6784344785892"/>
    <n v="0"/>
    <n v="0"/>
    <n v="-1320.8876999999993"/>
    <n v="133.43219999999974"/>
    <n v="0"/>
    <n v="0"/>
    <n v="-1369.351468083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2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48.088000000000001"/>
    <n v="48.088000000000001"/>
    <n v="48.088000000000001"/>
    <n v="48.088000000000001"/>
    <m/>
    <n v="230.94"/>
    <n v="128.11000000000001"/>
    <m/>
    <n v="17265.996400000004"/>
    <n v="17265.996400000004"/>
    <n v="14758.207200000001"/>
    <n v="0"/>
    <n v="0"/>
    <n v="0"/>
    <n v="0"/>
    <n v="0"/>
    <n v="0"/>
    <n v="9352.9331821346696"/>
    <n v="6160.6040004941997"/>
    <n v="0"/>
    <n v="0"/>
    <n v="0"/>
    <n v="0"/>
    <n v="0"/>
    <n v="0"/>
    <m/>
    <n v="41.374333636440205"/>
    <n v="167.15485785881987"/>
    <n v="891.67825985627121"/>
    <n v="0"/>
    <n v="0"/>
    <n v="0"/>
    <n v="0"/>
    <n v="0"/>
    <n v="0"/>
    <n v="0"/>
    <n v="0"/>
    <n v="0"/>
    <n v="0"/>
    <m/>
    <n v="0"/>
    <n v="0"/>
    <n v="0"/>
    <n v="0"/>
    <n v="0"/>
    <n v="652.47581680805467"/>
    <n v="0"/>
    <n v="0"/>
    <n v="0"/>
    <n v="1208.8599999999999"/>
    <n v="127"/>
    <m/>
    <m/>
    <m/>
    <m/>
    <m/>
    <m/>
    <m/>
    <n v="5903.2828800000007"/>
    <m/>
    <n v="6813.079817302254"/>
    <m/>
    <m/>
    <m/>
    <m/>
    <m/>
    <m/>
    <m/>
    <m/>
    <m/>
    <m/>
    <m/>
    <m/>
    <n v="8855.2926000000007"/>
    <n v="-1504.8161199999995"/>
    <m/>
    <m/>
    <m/>
    <m/>
    <n v="-2789.5848799999994"/>
    <n v="281.79567999999932"/>
    <n v="31"/>
    <n v="384.05351983253695"/>
    <n v="12.201604268122679"/>
    <n v="65.088776961805593"/>
    <n v="0"/>
    <n v="0"/>
    <n v="0"/>
    <n v="0"/>
    <n v="0"/>
    <n v="0"/>
    <n v="0"/>
    <n v="0"/>
    <n v="281.7684745768247"/>
    <n v="0"/>
    <n v="0"/>
    <n v="0"/>
    <n v="29.842384867699707"/>
    <n v="0"/>
    <n v="0"/>
    <m/>
    <n v="0"/>
    <n v="0"/>
    <n v="0"/>
    <n v="0"/>
    <n v="0"/>
    <n v="-4.8477208419160362"/>
    <n v="0"/>
    <n v="0"/>
    <m/>
    <m/>
    <m/>
    <n v="9352.9331821346696"/>
    <n v="0"/>
    <n v="0"/>
    <n v="-2789.5848800000003"/>
    <n v="281.79567999999927"/>
    <n v="0"/>
    <n v="0"/>
    <n v="-2891.9355905662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3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48.58"/>
    <n v="48.58"/>
    <n v="48.58"/>
    <n v="48.58"/>
    <m/>
    <n v="230.94"/>
    <n v="128.11000000000001"/>
    <m/>
    <n v="17442.648999999998"/>
    <n v="17442.648999999998"/>
    <n v="14909.201999999999"/>
    <n v="0"/>
    <n v="0"/>
    <n v="0"/>
    <n v="0"/>
    <n v="0"/>
    <n v="0"/>
    <n v="9448.6253116807147"/>
    <n v="6223.6346353353892"/>
    <n v="0"/>
    <n v="0"/>
    <n v="0"/>
    <n v="0"/>
    <n v="0"/>
    <n v="0"/>
    <m/>
    <n v="41.79764448632227"/>
    <n v="168.86505978168086"/>
    <n v="900.80123656250328"/>
    <n v="0"/>
    <n v="0"/>
    <n v="0"/>
    <n v="0"/>
    <n v="0"/>
    <n v="0"/>
    <n v="0"/>
    <n v="0"/>
    <n v="0"/>
    <n v="0"/>
    <m/>
    <n v="0"/>
    <n v="0"/>
    <n v="0"/>
    <n v="0"/>
    <n v="0"/>
    <n v="659.15145525984224"/>
    <n v="0"/>
    <n v="0"/>
    <n v="0"/>
    <n v="3041.58"/>
    <n v="387"/>
    <m/>
    <m/>
    <m/>
    <m/>
    <m/>
    <m/>
    <m/>
    <n v="1490.9202000000012"/>
    <m/>
    <n v="6882.7860905952311"/>
    <m/>
    <m/>
    <m/>
    <m/>
    <m/>
    <m/>
    <m/>
    <m/>
    <m/>
    <m/>
    <m/>
    <m/>
    <n v="13418.281799999999"/>
    <n v="-2280.3752000000004"/>
    <m/>
    <m/>
    <m/>
    <m/>
    <n v="-2818.1257999999993"/>
    <n v="284.67879999999928"/>
    <n v="31"/>
    <n v="387.98286461205862"/>
    <n v="12.326441842983684"/>
    <n v="65.754716037358889"/>
    <n v="0"/>
    <n v="0"/>
    <n v="0"/>
    <n v="0"/>
    <n v="0"/>
    <n v="0"/>
    <n v="0"/>
    <n v="0"/>
    <n v="284.65131623153684"/>
    <n v="0"/>
    <n v="0"/>
    <n v="0"/>
    <n v="30.147709550674904"/>
    <n v="0"/>
    <n v="0"/>
    <m/>
    <n v="0"/>
    <n v="0"/>
    <n v="0"/>
    <n v="0"/>
    <n v="0"/>
    <n v="-4.8973190504966126"/>
    <n v="0"/>
    <n v="0"/>
    <m/>
    <m/>
    <m/>
    <n v="9448.6253116807147"/>
    <n v="0"/>
    <n v="0"/>
    <n v="-2818.1257999999998"/>
    <n v="284.67879999999968"/>
    <n v="0"/>
    <n v="0"/>
    <n v="-2921.523685528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4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9.608000000000001"/>
    <n v="19.608000000000001"/>
    <n v="19.608000000000001"/>
    <n v="19.608000000000001"/>
    <m/>
    <n v="230.94"/>
    <n v="128.11000000000001"/>
    <m/>
    <n v="7040.2524000000012"/>
    <n v="7040.2524000000012"/>
    <n v="6017.6952000000001"/>
    <n v="0"/>
    <n v="0"/>
    <n v="0"/>
    <n v="0"/>
    <n v="0"/>
    <n v="0"/>
    <n v="3813.6814555668066"/>
    <n v="2512.001398304988"/>
    <n v="0"/>
    <n v="0"/>
    <n v="0"/>
    <n v="0"/>
    <n v="0"/>
    <n v="0"/>
    <m/>
    <n v="16.870486066031436"/>
    <n v="68.15780346231368"/>
    <n v="363.58399848739327"/>
    <n v="0"/>
    <n v="0"/>
    <n v="0"/>
    <n v="0"/>
    <n v="0"/>
    <n v="0"/>
    <n v="0"/>
    <n v="0"/>
    <n v="0"/>
    <n v="0"/>
    <m/>
    <n v="0"/>
    <n v="0"/>
    <n v="0"/>
    <n v="0"/>
    <n v="0"/>
    <n v="266.04861537124305"/>
    <n v="0"/>
    <n v="0"/>
    <n v="0"/>
    <n v="2004.77"/>
    <n v="219"/>
    <m/>
    <m/>
    <m/>
    <m/>
    <m/>
    <m/>
    <m/>
    <m/>
    <m/>
    <n v="2778.0500136762312"/>
    <m/>
    <m/>
    <m/>
    <m/>
    <m/>
    <m/>
    <m/>
    <m/>
    <m/>
    <m/>
    <m/>
    <m/>
    <n v="6018.3089999999993"/>
    <n v="-1021.9734000000026"/>
    <m/>
    <m/>
    <m/>
    <m/>
    <n v="-1137.4600799999998"/>
    <n v="114.90287999999971"/>
    <n v="31"/>
    <n v="156.59876511554694"/>
    <n v="4.9752340810461959"/>
    <n v="26.540108523271556"/>
    <n v="0"/>
    <n v="0"/>
    <n v="0"/>
    <n v="0"/>
    <n v="0"/>
    <n v="0"/>
    <n v="0"/>
    <n v="0"/>
    <n v="114.89178692194309"/>
    <n v="0"/>
    <n v="0"/>
    <n v="0"/>
    <n v="12.168305658082204"/>
    <n v="0"/>
    <n v="0"/>
    <m/>
    <n v="0"/>
    <n v="0"/>
    <n v="0"/>
    <n v="0"/>
    <n v="0"/>
    <n v="-1.9766700687965759"/>
    <n v="0"/>
    <n v="0"/>
    <m/>
    <m/>
    <m/>
    <n v="3813.6814555668066"/>
    <n v="0"/>
    <n v="0"/>
    <n v="-1137.4600799999998"/>
    <n v="114.90287999999964"/>
    <n v="0"/>
    <n v="0"/>
    <n v="-1179.1938333851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5"/>
    <s v="Regular"/>
    <s v="Branca"/>
    <s v="B1"/>
    <s v="Residencial"/>
    <s v="Residencial"/>
    <s v="Não se aplica"/>
    <s v="Não se aplica"/>
    <s v="Ponta"/>
    <s v="CATIVO"/>
    <x v="8"/>
    <n v="0"/>
    <n v="0"/>
    <n v="0.02"/>
    <n v="0.02"/>
    <n v="0.02"/>
    <n v="0.02"/>
    <m/>
    <n v="701.69"/>
    <n v="128.11000000000001"/>
    <m/>
    <n v="16.596"/>
    <n v="16.596"/>
    <n v="13.431999999999999"/>
    <n v="0"/>
    <n v="1.224321008967636"/>
    <n v="0"/>
    <n v="0"/>
    <n v="0"/>
    <n v="0"/>
    <n v="10.502793196617962"/>
    <n v="2.5622209285036597"/>
    <n v="0"/>
    <n v="0"/>
    <n v="0"/>
    <n v="0"/>
    <n v="0"/>
    <n v="0.18907700826303142"/>
    <m/>
    <n v="1.7207758125287062E-2"/>
    <n v="0.1877126779050288"/>
    <n v="1.0012987200457242"/>
    <n v="0"/>
    <n v="0"/>
    <n v="0"/>
    <n v="0"/>
    <n v="0"/>
    <n v="0"/>
    <n v="0"/>
    <n v="0"/>
    <n v="0"/>
    <n v="0"/>
    <m/>
    <n v="0"/>
    <n v="0"/>
    <n v="0"/>
    <n v="0"/>
    <n v="0"/>
    <n v="0.27136741673933401"/>
    <n v="0"/>
    <n v="0"/>
    <n v="0"/>
    <n v="0"/>
    <n v="0"/>
    <m/>
    <m/>
    <m/>
    <m/>
    <m/>
    <m/>
    <m/>
    <m/>
    <m/>
    <n v="2.8335883452429935"/>
    <m/>
    <m/>
    <m/>
    <m/>
    <m/>
    <m/>
    <m/>
    <m/>
    <m/>
    <m/>
    <m/>
    <m/>
    <n v="13.431999999999999"/>
    <n v="-3.1940000000000026"/>
    <m/>
    <m/>
    <m/>
    <m/>
    <n v="-3.2812000000000014"/>
    <n v="0.11719999999999971"/>
    <n v="31"/>
    <n v="8.3469795868538199E-2"/>
    <n v="1.3702238997093191E-2"/>
    <n v="7.3090611261170002E-2"/>
    <n v="0"/>
    <n v="0"/>
    <n v="0"/>
    <n v="0"/>
    <n v="0"/>
    <n v="0"/>
    <n v="0"/>
    <n v="0"/>
    <n v="0.11718868515090053"/>
    <n v="0"/>
    <n v="0"/>
    <n v="0"/>
    <n v="1.2411572478663979E-2"/>
    <n v="0"/>
    <n v="-0.11580997204739796"/>
    <m/>
    <n v="0"/>
    <n v="0"/>
    <n v="0"/>
    <n v="0"/>
    <n v="-1.5097152631217414E-2"/>
    <n v="-2.0161873406737817E-3"/>
    <n v="0"/>
    <n v="0"/>
    <m/>
    <m/>
    <m/>
    <n v="10.502793196617962"/>
    <n v="0"/>
    <n v="0"/>
    <n v="-3.2812000000000019"/>
    <n v="0.11719999999999997"/>
    <n v="0"/>
    <n v="0"/>
    <n v="-3.2474733705650207"/>
    <n v="0"/>
    <n v="0"/>
    <n v="0"/>
    <n v="0"/>
    <n v="0"/>
    <n v="0"/>
    <n v="0"/>
    <n v="0"/>
    <n v="0"/>
    <n v="0"/>
    <n v="0"/>
    <n v="0"/>
    <n v="0.6399702969547480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6"/>
    <s v="Regular"/>
    <s v="Branca"/>
    <s v="B1"/>
    <s v="Residencial"/>
    <s v="Residencial"/>
    <s v="Não se aplica"/>
    <s v="Não se aplica"/>
    <s v="Fora ponta"/>
    <s v="CATIVO"/>
    <x v="8"/>
    <n v="0"/>
    <n v="0"/>
    <n v="0.113"/>
    <n v="0.113"/>
    <n v="0.113"/>
    <n v="0.113"/>
    <m/>
    <n v="234.02"/>
    <n v="128.11000000000001"/>
    <m/>
    <n v="40.920690000000008"/>
    <n v="40.920690000000008"/>
    <n v="37.329549999999998"/>
    <n v="0"/>
    <n v="6.9174137006671437"/>
    <n v="0"/>
    <n v="0"/>
    <n v="0"/>
    <n v="0"/>
    <n v="11.868152521265866"/>
    <n v="14.476548246045679"/>
    <n v="0"/>
    <n v="0"/>
    <n v="0"/>
    <n v="0"/>
    <n v="0"/>
    <n v="1.0682850966861275"/>
    <m/>
    <n v="9.7223833407871899E-2"/>
    <n v="0.21212312181077198"/>
    <n v="1.1314638540625013"/>
    <n v="0"/>
    <n v="0"/>
    <n v="0"/>
    <n v="0"/>
    <n v="0"/>
    <n v="0"/>
    <n v="0"/>
    <n v="0"/>
    <n v="0"/>
    <n v="0"/>
    <m/>
    <n v="0"/>
    <n v="0"/>
    <n v="0"/>
    <n v="0"/>
    <n v="0"/>
    <n v="1.5332259045772372"/>
    <n v="0"/>
    <n v="0"/>
    <n v="0"/>
    <n v="0"/>
    <n v="0"/>
    <m/>
    <m/>
    <m/>
    <m/>
    <m/>
    <m/>
    <m/>
    <m/>
    <m/>
    <n v="16.009774150622917"/>
    <m/>
    <m/>
    <m/>
    <m/>
    <m/>
    <m/>
    <m/>
    <m/>
    <m/>
    <m/>
    <m/>
    <m/>
    <n v="36.338500000000003"/>
    <n v="-4.6121900000000053"/>
    <m/>
    <m/>
    <m/>
    <m/>
    <n v="-4.2533200000000022"/>
    <n v="0.66217999999999833"/>
    <n v="31"/>
    <n v="7.9300962494528449E-2"/>
    <n v="1.5484099125852496E-2"/>
    <n v="8.259212067061461E-2"/>
    <n v="0"/>
    <n v="0"/>
    <n v="0"/>
    <n v="0"/>
    <n v="0"/>
    <n v="0"/>
    <n v="0"/>
    <n v="0"/>
    <n v="0.66211607110258619"/>
    <n v="0"/>
    <n v="0"/>
    <n v="0"/>
    <n v="7.0125384504451604E-2"/>
    <n v="0"/>
    <n v="-0.65432634206779916"/>
    <m/>
    <n v="0"/>
    <n v="0"/>
    <n v="0"/>
    <n v="0"/>
    <n v="-8.5298912366378321E-2"/>
    <n v="-1.1391458474806868E-2"/>
    <n v="0"/>
    <n v="0"/>
    <m/>
    <m/>
    <m/>
    <n v="11.868152521265866"/>
    <n v="0"/>
    <n v="0"/>
    <n v="-4.2533200000000022"/>
    <n v="0.66217999999999755"/>
    <n v="0"/>
    <n v="0"/>
    <n v="-3.6696437365848045"/>
    <n v="0"/>
    <n v="0"/>
    <n v="0"/>
    <n v="0"/>
    <n v="0"/>
    <n v="0"/>
    <n v="0"/>
    <n v="0"/>
    <n v="0"/>
    <n v="0"/>
    <n v="0"/>
    <n v="0"/>
    <n v="3.615832177794326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7"/>
    <s v="Regular"/>
    <s v="Branca"/>
    <s v="B1"/>
    <s v="Residencial"/>
    <s v="Residencial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.1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78"/>
    <s v="Regular"/>
    <s v="Branca"/>
    <s v="B1"/>
    <s v="Residencial"/>
    <s v="Residencial"/>
    <s v="Não se aplica"/>
    <s v="Não se aplica"/>
    <s v="Intermediário"/>
    <s v="CATIVO"/>
    <x v="8"/>
    <n v="0"/>
    <n v="0"/>
    <n v="6.0000000000000001E-3"/>
    <n v="6.0000000000000001E-3"/>
    <n v="6.0000000000000001E-3"/>
    <n v="6.0000000000000001E-3"/>
    <m/>
    <n v="467.85"/>
    <n v="128.11000000000001"/>
    <m/>
    <n v="3.5757600000000003"/>
    <n v="3.5757600000000003"/>
    <n v="3.0058799999999999"/>
    <n v="0"/>
    <n v="0.36729630269029079"/>
    <n v="0"/>
    <n v="0"/>
    <n v="0"/>
    <n v="0"/>
    <n v="1.890503681184456"/>
    <n v="0.76866627855109793"/>
    <n v="0"/>
    <n v="0"/>
    <n v="0"/>
    <n v="0"/>
    <n v="0"/>
    <n v="5.6723102478909423E-2"/>
    <m/>
    <n v="5.1623274375861179E-3"/>
    <n v="3.3788144044531926E-2"/>
    <n v="0.18023367138904861"/>
    <n v="0"/>
    <n v="0"/>
    <n v="0"/>
    <n v="0"/>
    <n v="0"/>
    <n v="0"/>
    <n v="0"/>
    <n v="0"/>
    <n v="0"/>
    <n v="0"/>
    <m/>
    <n v="0"/>
    <n v="0"/>
    <n v="0"/>
    <n v="0"/>
    <n v="0"/>
    <n v="8.1410225021800203E-2"/>
    <n v="0"/>
    <n v="0"/>
    <n v="0"/>
    <n v="0"/>
    <n v="0"/>
    <m/>
    <m/>
    <m/>
    <m/>
    <m/>
    <m/>
    <m/>
    <m/>
    <m/>
    <n v="0.8500765035728981"/>
    <m/>
    <m/>
    <m/>
    <m/>
    <m/>
    <m/>
    <m/>
    <m/>
    <m/>
    <m/>
    <m/>
    <m/>
    <n v="5.0098000000000003"/>
    <n v="1.4040400000000006"/>
    <m/>
    <m/>
    <m/>
    <m/>
    <n v="-0.60504000000000024"/>
    <n v="3.5159999999999914E-2"/>
    <n v="31"/>
    <n v="1.4625779488138368E-2"/>
    <n v="2.4663929476336152E-3"/>
    <n v="1.315630285742217E-2"/>
    <n v="0"/>
    <n v="0"/>
    <n v="0"/>
    <n v="0"/>
    <n v="0"/>
    <n v="0"/>
    <n v="0"/>
    <n v="0"/>
    <n v="3.5156605545270114E-2"/>
    <n v="0"/>
    <n v="0"/>
    <n v="0"/>
    <n v="3.7234717435992021E-3"/>
    <n v="0"/>
    <n v="-3.4742991614219398E-2"/>
    <m/>
    <n v="0"/>
    <n v="0"/>
    <n v="0"/>
    <n v="0"/>
    <n v="-4.5291457893652243E-3"/>
    <n v="-6.0485620220213435E-4"/>
    <n v="0"/>
    <n v="0"/>
    <m/>
    <m/>
    <m/>
    <n v="1.890503681184456"/>
    <n v="0"/>
    <n v="0"/>
    <n v="-0.60504000000000024"/>
    <n v="3.5159999999999858E-2"/>
    <n v="0"/>
    <n v="0"/>
    <n v="-0.58454548677380402"/>
    <n v="0"/>
    <n v="0"/>
    <n v="0"/>
    <n v="0"/>
    <n v="0"/>
    <n v="0"/>
    <n v="0"/>
    <n v="0"/>
    <n v="0"/>
    <n v="0"/>
    <n v="0"/>
    <n v="0"/>
    <n v="0.191991089086424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79"/>
    <s v="Regular"/>
    <s v="Convencional"/>
    <s v="B3"/>
    <s v="Industrial"/>
    <s v="Não se aplica"/>
    <s v="Não se aplica"/>
    <s v="Não se aplica"/>
    <s v="Não se aplica"/>
    <s v="CATIVO"/>
    <x v="8"/>
    <n v="0"/>
    <n v="0"/>
    <n v="401.34"/>
    <n v="401.34"/>
    <n v="401.34"/>
    <n v="401.34"/>
    <m/>
    <n v="333.61"/>
    <n v="128.11000000000001"/>
    <m/>
    <n v="185306.70480000001"/>
    <n v="185306.70480000001"/>
    <n v="161752.06020000001"/>
    <n v="0"/>
    <n v="24568.449686953551"/>
    <n v="0"/>
    <n v="0"/>
    <n v="0"/>
    <n v="0"/>
    <n v="78059.104211402591"/>
    <n v="51416.087372282942"/>
    <n v="0"/>
    <n v="0"/>
    <n v="0"/>
    <n v="0"/>
    <n v="0"/>
    <n v="3794.2083248142512"/>
    <m/>
    <n v="345.30808230013542"/>
    <n v="1395.0659343923382"/>
    <n v="7441.9013643885355"/>
    <n v="0"/>
    <n v="0"/>
    <n v="0"/>
    <n v="0"/>
    <n v="0"/>
    <n v="0"/>
    <n v="0"/>
    <n v="0"/>
    <n v="0"/>
    <n v="0"/>
    <m/>
    <n v="0"/>
    <n v="0"/>
    <n v="0"/>
    <n v="0"/>
    <n v="0"/>
    <n v="5445.5299517082149"/>
    <n v="0"/>
    <n v="0"/>
    <n v="0"/>
    <n v="57172.17"/>
    <n v="228"/>
    <m/>
    <m/>
    <m/>
    <m/>
    <m/>
    <m/>
    <m/>
    <m/>
    <m/>
    <n v="56861.617323991159"/>
    <m/>
    <m/>
    <m/>
    <m/>
    <m/>
    <m/>
    <m/>
    <m/>
    <m/>
    <m/>
    <m/>
    <m/>
    <n v="161752.06020000001"/>
    <n v="-23554.674600000028"/>
    <m/>
    <m/>
    <m/>
    <m/>
    <n v="-25906.497000000003"/>
    <n v="2351.8523999999938"/>
    <n v="31"/>
    <n v="578.37785471034294"/>
    <n v="101.83396807869644"/>
    <n v="543.22761907026779"/>
    <n v="0"/>
    <n v="0"/>
    <n v="0"/>
    <n v="0"/>
    <n v="0"/>
    <n v="0"/>
    <n v="0"/>
    <n v="0"/>
    <n v="2351.6253449231153"/>
    <n v="0"/>
    <n v="0"/>
    <n v="0"/>
    <n v="249.06302492935083"/>
    <n v="0"/>
    <n v="-2323.9587090751374"/>
    <m/>
    <n v="0"/>
    <n v="0"/>
    <n v="0"/>
    <n v="0"/>
    <n v="-302.95456185063995"/>
    <n v="-40.458831365300739"/>
    <n v="0"/>
    <n v="0"/>
    <m/>
    <m/>
    <m/>
    <n v="78059.104211402591"/>
    <n v="0"/>
    <n v="0"/>
    <n v="-25906.497000000003"/>
    <n v="2351.8523999999888"/>
    <n v="0"/>
    <n v="0"/>
    <n v="-24135.94722005185"/>
    <n v="0"/>
    <n v="0"/>
    <n v="0"/>
    <n v="0"/>
    <n v="0"/>
    <n v="0"/>
    <n v="0"/>
    <n v="0"/>
    <n v="0"/>
    <n v="0"/>
    <n v="0"/>
    <n v="0"/>
    <n v="12842.28394899092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0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6.3070000000000004"/>
    <n v="6.3070000000000004"/>
    <n v="6.3070000000000004"/>
    <n v="6.3070000000000004"/>
    <m/>
    <n v="333.61"/>
    <n v="128.11000000000001"/>
    <m/>
    <n v="2912.0680400000006"/>
    <n v="2912.0680400000006"/>
    <n v="2541.91021"/>
    <n v="0"/>
    <n v="386.08963017794406"/>
    <n v="0"/>
    <n v="0"/>
    <n v="0"/>
    <n v="0"/>
    <n v="1226.6875224530727"/>
    <n v="807.99636980362914"/>
    <n v="0"/>
    <n v="0"/>
    <n v="0"/>
    <n v="0"/>
    <n v="0"/>
    <n v="59.625434555746963"/>
    <m/>
    <n v="5.4264665248092747"/>
    <n v="21.923259202203813"/>
    <n v="116.94840261423855"/>
    <n v="0"/>
    <n v="0"/>
    <n v="0"/>
    <n v="0"/>
    <n v="0"/>
    <n v="0"/>
    <n v="0"/>
    <n v="0"/>
    <n v="0"/>
    <n v="0"/>
    <m/>
    <n v="0"/>
    <n v="0"/>
    <n v="0"/>
    <n v="0"/>
    <n v="0"/>
    <n v="85.575714868748989"/>
    <n v="0"/>
    <n v="0"/>
    <n v="0"/>
    <n v="1496.64"/>
    <n v="3"/>
    <m/>
    <m/>
    <m/>
    <m/>
    <m/>
    <m/>
    <m/>
    <m/>
    <m/>
    <n v="893.57208467237808"/>
    <m/>
    <m/>
    <m/>
    <m/>
    <m/>
    <m/>
    <m/>
    <m/>
    <m/>
    <m/>
    <m/>
    <m/>
    <n v="2543.1192999999998"/>
    <n v="-368.97874000000138"/>
    <m/>
    <m/>
    <m/>
    <m/>
    <n v="-407.11685000000011"/>
    <n v="36.95901999999991"/>
    <n v="31"/>
    <n v="9.0891242578813944"/>
    <n v="1.6003060663585451"/>
    <n v="8.5367433933228227"/>
    <n v="0"/>
    <n v="0"/>
    <n v="0"/>
    <n v="0"/>
    <n v="0"/>
    <n v="0"/>
    <n v="0"/>
    <n v="0"/>
    <n v="36.955451862336417"/>
    <n v="0"/>
    <n v="0"/>
    <n v="0"/>
    <n v="3.9139893811466919"/>
    <n v="0"/>
    <n v="-36.520674685147014"/>
    <m/>
    <n v="0"/>
    <n v="0"/>
    <n v="0"/>
    <n v="0"/>
    <n v="-4.7608870822544134"/>
    <n v="-0.63580467788147654"/>
    <n v="0"/>
    <n v="0"/>
    <m/>
    <m/>
    <m/>
    <n v="1226.6875224530727"/>
    <n v="0"/>
    <n v="0"/>
    <n v="-407.11685000000034"/>
    <n v="36.959019999999896"/>
    <n v="0"/>
    <n v="0"/>
    <n v="-379.29291652181951"/>
    <n v="0"/>
    <n v="0"/>
    <n v="0"/>
    <n v="0"/>
    <n v="0"/>
    <n v="0"/>
    <n v="0"/>
    <n v="0"/>
    <n v="0"/>
    <n v="0"/>
    <n v="0"/>
    <n v="0"/>
    <n v="201.8146331446797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1"/>
    <s v="Regular"/>
    <s v="Azul"/>
    <s v="A3"/>
    <s v="Industrial"/>
    <s v="Não se aplica"/>
    <s v="Não se aplica"/>
    <s v="Não se aplica"/>
    <s v="Ponta"/>
    <s v="CATIVO"/>
    <x v="8"/>
    <n v="2460"/>
    <n v="2460"/>
    <n v="106.626"/>
    <n v="106.626"/>
    <n v="106.626"/>
    <n v="106.626"/>
    <n v="28.46"/>
    <n v="75.12"/>
    <n v="128.11000000000001"/>
    <n v="70011.600000000006"/>
    <n v="21669.601980000003"/>
    <n v="91681.201980000013"/>
    <n v="75316.414560000005"/>
    <n v="0"/>
    <n v="4373.2391387231346"/>
    <n v="0"/>
    <n v="0"/>
    <n v="0"/>
    <n v="0"/>
    <n v="56560.239923087371"/>
    <n v="13659.968436131563"/>
    <n v="0"/>
    <n v="0"/>
    <n v="0"/>
    <n v="0"/>
    <n v="0"/>
    <n v="1008.0262541526994"/>
    <m/>
    <n v="26.097353241019473"/>
    <n v="2025.2465627476295"/>
    <n v="11416.70791406742"/>
    <n v="0"/>
    <n v="0"/>
    <n v="0"/>
    <n v="0"/>
    <n v="0"/>
    <n v="0"/>
    <n v="0"/>
    <n v="0"/>
    <n v="0"/>
    <n v="0"/>
    <m/>
    <n v="0"/>
    <n v="0"/>
    <n v="0"/>
    <n v="0"/>
    <n v="0"/>
    <n v="316.39995059558817"/>
    <n v="0"/>
    <n v="0"/>
    <n v="0"/>
    <n v="0"/>
    <n v="0"/>
    <m/>
    <m/>
    <m/>
    <m/>
    <m/>
    <m/>
    <m/>
    <m/>
    <m/>
    <n v="13976.368386727152"/>
    <m/>
    <m/>
    <m/>
    <m/>
    <m/>
    <m/>
    <m/>
    <m/>
    <m/>
    <m/>
    <m/>
    <m/>
    <n v="75317.232799999998"/>
    <n v="-16363.999179999999"/>
    <m/>
    <m/>
    <m/>
    <m/>
    <n v="-16989.615780000004"/>
    <n v="624.8283599999985"/>
    <n v="31"/>
    <n v="1123.230557219511"/>
    <n v="147.8345135795762"/>
    <n v="833.37184331099525"/>
    <n v="0"/>
    <n v="0"/>
    <n v="0"/>
    <n v="0"/>
    <n v="0"/>
    <n v="0"/>
    <n v="0"/>
    <n v="0"/>
    <n v="624.76803714499511"/>
    <n v="0"/>
    <n v="0"/>
    <n v="0"/>
    <n v="14.471232273386136"/>
    <n v="0"/>
    <n v="-413.66986166412244"/>
    <m/>
    <n v="0"/>
    <n v="0"/>
    <n v="0"/>
    <n v="0"/>
    <n v="-80.487449822809367"/>
    <n v="-3.057757602503326"/>
    <n v="0"/>
    <n v="0"/>
    <m/>
    <m/>
    <n v="56560.239923087371"/>
    <n v="0"/>
    <n v="0"/>
    <n v="0"/>
    <n v="-16989.615780000015"/>
    <n v="624.82835999999952"/>
    <n v="0"/>
    <n v="0"/>
    <n v="-17488.478497523975"/>
    <n v="0"/>
    <n v="0"/>
    <n v="0"/>
    <n v="0"/>
    <n v="0"/>
    <n v="0"/>
    <n v="0"/>
    <n v="0"/>
    <n v="0"/>
    <n v="0"/>
    <n v="0"/>
    <n v="0"/>
    <n v="2285.955341583752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2"/>
    <s v="Regular"/>
    <s v="Azul"/>
    <s v="A3"/>
    <s v="Industrial"/>
    <s v="Não se aplica"/>
    <s v="Não se aplica"/>
    <s v="Não se aplica"/>
    <s v="Fora ponta"/>
    <s v="CATIVO"/>
    <x v="8"/>
    <n v="2502"/>
    <n v="2502"/>
    <n v="1084.095"/>
    <n v="1084.095"/>
    <n v="1084.095"/>
    <n v="1084.095"/>
    <n v="9.92"/>
    <n v="75.12"/>
    <n v="128.11000000000001"/>
    <n v="24819.84"/>
    <n v="220320.62685000003"/>
    <n v="245140.46685000003"/>
    <n v="243679.99320000003"/>
    <n v="0"/>
    <n v="44463.889521261764"/>
    <n v="0"/>
    <n v="0"/>
    <n v="0"/>
    <n v="0"/>
    <n v="12310.386604762838"/>
    <n v="138884.54487430875"/>
    <n v="0"/>
    <n v="0"/>
    <n v="0"/>
    <n v="0"/>
    <n v="0"/>
    <n v="10248.871963645552"/>
    <m/>
    <n v="265.33875566768899"/>
    <n v="1859.5952469435485"/>
    <n v="10642.370477323391"/>
    <n v="0"/>
    <n v="0"/>
    <n v="0"/>
    <n v="0"/>
    <n v="0"/>
    <n v="0"/>
    <n v="0"/>
    <n v="0"/>
    <n v="0"/>
    <n v="0"/>
    <m/>
    <n v="0"/>
    <n v="0"/>
    <n v="0"/>
    <n v="0"/>
    <n v="0"/>
    <n v="3216.9227434295963"/>
    <n v="0"/>
    <n v="0"/>
    <n v="0"/>
    <n v="0"/>
    <n v="0"/>
    <m/>
    <m/>
    <m/>
    <m/>
    <m/>
    <m/>
    <m/>
    <m/>
    <m/>
    <n v="142101.46761773835"/>
    <m/>
    <m/>
    <m/>
    <m/>
    <m/>
    <m/>
    <m/>
    <m/>
    <m/>
    <m/>
    <m/>
    <m/>
    <n v="243681.01599999997"/>
    <n v="-1459.48085000008"/>
    <m/>
    <m/>
    <m/>
    <m/>
    <n v="-7813.2703500000007"/>
    <n v="6352.7966999999844"/>
    <n v="31"/>
    <n v="2356.589066741406"/>
    <n v="135.74266158181672"/>
    <n v="776.84845479467731"/>
    <n v="0"/>
    <n v="0"/>
    <n v="0"/>
    <n v="0"/>
    <n v="0"/>
    <n v="0"/>
    <n v="0"/>
    <n v="0"/>
    <n v="6352.1833814332786"/>
    <n v="0"/>
    <n v="0"/>
    <n v="0"/>
    <n v="147.13288083034695"/>
    <n v="0"/>
    <n v="-4205.891890165316"/>
    <m/>
    <n v="0"/>
    <n v="0"/>
    <n v="0"/>
    <n v="0"/>
    <n v="-818.33738408698082"/>
    <n v="-31.08903764640749"/>
    <n v="0"/>
    <n v="0"/>
    <m/>
    <m/>
    <n v="12310.386604762838"/>
    <n v="0"/>
    <n v="0"/>
    <n v="0"/>
    <n v="-7813.2703499999916"/>
    <n v="6352.7966999999771"/>
    <n v="0"/>
    <n v="0"/>
    <n v="-3806.3829242301981"/>
    <n v="0"/>
    <n v="0"/>
    <n v="0"/>
    <n v="0"/>
    <n v="0"/>
    <n v="0"/>
    <n v="0"/>
    <n v="0"/>
    <n v="0"/>
    <n v="0"/>
    <n v="0"/>
    <n v="0"/>
    <n v="23241.91806908482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3"/>
    <s v="Regular"/>
    <s v="Azul"/>
    <s v="A3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9221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84"/>
    <s v="Regular"/>
    <s v="Azul"/>
    <s v="A4"/>
    <s v="Industrial"/>
    <s v="Não se aplica"/>
    <s v="Não se aplica"/>
    <s v="Não se aplica"/>
    <s v="Ponta"/>
    <s v="CATIVO"/>
    <x v="8"/>
    <n v="6061"/>
    <n v="6061"/>
    <n v="355.01900000000001"/>
    <n v="355.01900000000001"/>
    <n v="355.01900000000001"/>
    <n v="355.01900000000001"/>
    <n v="52.19"/>
    <n v="96.28"/>
    <n v="128.11000000000001"/>
    <n v="316323.58999999997"/>
    <n v="79662.713409999997"/>
    <n v="395986.30340999993"/>
    <n v="310918.00815999997"/>
    <n v="0"/>
    <n v="18907.589082296643"/>
    <n v="0"/>
    <n v="0"/>
    <n v="0"/>
    <n v="0"/>
    <n v="283252.63160976762"/>
    <n v="45481.855590822044"/>
    <n v="0"/>
    <n v="0"/>
    <n v="0"/>
    <n v="0"/>
    <n v="0"/>
    <n v="3356.2965198266575"/>
    <m/>
    <n v="174.52757211810871"/>
    <n v="5234.4592155882547"/>
    <n v="27845.955719328907"/>
    <n v="0"/>
    <n v="0"/>
    <n v="0"/>
    <n v="0"/>
    <n v="0"/>
    <n v="0"/>
    <n v="0"/>
    <n v="0"/>
    <n v="0"/>
    <n v="0"/>
    <m/>
    <n v="0"/>
    <n v="0"/>
    <n v="0"/>
    <n v="0"/>
    <n v="0"/>
    <n v="1859.8079702377568"/>
    <n v="0"/>
    <n v="0"/>
    <n v="0"/>
    <n v="0"/>
    <n v="0"/>
    <m/>
    <m/>
    <m/>
    <m/>
    <m/>
    <m/>
    <m/>
    <m/>
    <m/>
    <n v="47341.663561059802"/>
    <m/>
    <m/>
    <m/>
    <m/>
    <m/>
    <m/>
    <m/>
    <m/>
    <m/>
    <m/>
    <m/>
    <m/>
    <n v="310918.2328"/>
    <n v="-85068.100609999965"/>
    <m/>
    <m/>
    <m/>
    <m/>
    <n v="-87148.706589999987"/>
    <n v="2080.4113399999947"/>
    <n v="31"/>
    <n v="2503.0755521924148"/>
    <n v="382.09359108293756"/>
    <n v="2032.6380968351987"/>
    <n v="0"/>
    <n v="0"/>
    <n v="0"/>
    <n v="0"/>
    <n v="0"/>
    <n v="0"/>
    <n v="0"/>
    <n v="0"/>
    <n v="2080.2104906793684"/>
    <n v="0"/>
    <n v="0"/>
    <n v="0"/>
    <n v="85.062317710671095"/>
    <n v="0"/>
    <n v="-1788.4912102838716"/>
    <m/>
    <n v="0"/>
    <n v="0"/>
    <n v="0"/>
    <n v="0"/>
    <n v="-267.98880149910883"/>
    <n v="-20.44893233279268"/>
    <n v="0"/>
    <n v="0"/>
    <m/>
    <m/>
    <n v="283252.63160976762"/>
    <n v="0"/>
    <n v="0"/>
    <n v="0"/>
    <n v="-87148.706589999958"/>
    <n v="2080.4113399999915"/>
    <n v="0"/>
    <n v="0"/>
    <n v="-87581.975677802606"/>
    <n v="0"/>
    <n v="0"/>
    <n v="0"/>
    <n v="0"/>
    <n v="0"/>
    <n v="0"/>
    <n v="0"/>
    <n v="0"/>
    <n v="0"/>
    <n v="0"/>
    <n v="0"/>
    <n v="0"/>
    <n v="9883.27024617411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5"/>
    <s v="Regular"/>
    <s v="Azul"/>
    <s v="A4"/>
    <s v="Industrial"/>
    <s v="Não se aplica"/>
    <s v="Não se aplica"/>
    <s v="Não se aplica"/>
    <s v="Fora ponta"/>
    <s v="CATIVO"/>
    <x v="8"/>
    <n v="6095"/>
    <n v="6095"/>
    <n v="3039.1750000000002"/>
    <n v="3039.1750000000002"/>
    <n v="3039.1750000000002"/>
    <n v="3039.1750000000002"/>
    <n v="18.12"/>
    <n v="96.28"/>
    <n v="128.11000000000001"/>
    <n v="110441.40000000001"/>
    <n v="681960.47825000016"/>
    <n v="792401.87825000007"/>
    <n v="770793.02200000011"/>
    <n v="0"/>
    <n v="161860.27240567096"/>
    <n v="0"/>
    <n v="0"/>
    <n v="0"/>
    <n v="0"/>
    <n v="79594.229048130161"/>
    <n v="389351.88951925555"/>
    <n v="0"/>
    <n v="0"/>
    <n v="0"/>
    <n v="0"/>
    <n v="0"/>
    <n v="28731.905829389925"/>
    <m/>
    <n v="1494.0604136456163"/>
    <n v="4844.7351609570032"/>
    <n v="25972.751737884711"/>
    <n v="0"/>
    <n v="0"/>
    <n v="0"/>
    <n v="0"/>
    <n v="0"/>
    <n v="0"/>
    <n v="0"/>
    <n v="0"/>
    <n v="0"/>
    <n v="0"/>
    <m/>
    <n v="0"/>
    <n v="0"/>
    <n v="0"/>
    <n v="0"/>
    <n v="0"/>
    <n v="15921.068697583325"/>
    <n v="0"/>
    <n v="0"/>
    <n v="0"/>
    <n v="0"/>
    <n v="0"/>
    <m/>
    <m/>
    <m/>
    <m/>
    <m/>
    <m/>
    <m/>
    <m/>
    <m/>
    <n v="405272.95821683889"/>
    <m/>
    <m/>
    <m/>
    <m/>
    <m/>
    <m/>
    <m/>
    <m/>
    <m/>
    <m/>
    <m/>
    <m/>
    <n v="770794.14519999991"/>
    <n v="-21607.763050000183"/>
    <m/>
    <m/>
    <m/>
    <m/>
    <n v="-39418.421750000009"/>
    <n v="17809.565499999957"/>
    <n v="31"/>
    <n v="3005.8237450481392"/>
    <n v="353.64536798435711"/>
    <n v="1895.9020546535503"/>
    <n v="0"/>
    <n v="0"/>
    <n v="0"/>
    <n v="0"/>
    <n v="0"/>
    <n v="0"/>
    <n v="0"/>
    <n v="0"/>
    <n v="17807.84610967437"/>
    <n v="0"/>
    <n v="0"/>
    <n v="0"/>
    <n v="728.18432091896284"/>
    <n v="0"/>
    <n v="-15310.554573176312"/>
    <m/>
    <n v="0"/>
    <n v="0"/>
    <n v="0"/>
    <n v="0"/>
    <n v="-2294.1444423990069"/>
    <n v="-175.05509260776239"/>
    <n v="0"/>
    <n v="0"/>
    <m/>
    <m/>
    <n v="79594.229048130161"/>
    <n v="0"/>
    <n v="0"/>
    <n v="0"/>
    <n v="-39418.421750000038"/>
    <n v="17809.565499999968"/>
    <n v="0"/>
    <n v="0"/>
    <n v="-24610.609239425074"/>
    <n v="0"/>
    <n v="0"/>
    <n v="0"/>
    <n v="0"/>
    <n v="0"/>
    <n v="0"/>
    <n v="0"/>
    <n v="0"/>
    <n v="0"/>
    <n v="0"/>
    <n v="0"/>
    <n v="0"/>
    <n v="84606.70513526380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6"/>
    <s v="Regular"/>
    <s v="Azul"/>
    <s v="A4"/>
    <s v="Industr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387"/>
    <s v="Regular"/>
    <s v="Verde"/>
    <s v="A4"/>
    <s v="Industrial"/>
    <s v="Não se aplica"/>
    <s v="Não se aplica"/>
    <s v="Não se aplica"/>
    <s v="Ponta"/>
    <s v="CATIVO"/>
    <x v="8"/>
    <n v="0"/>
    <n v="0"/>
    <n v="887.73900000000003"/>
    <n v="887.73900000000003"/>
    <n v="887.73900000000003"/>
    <n v="887.73900000000003"/>
    <m/>
    <n v="1351.49"/>
    <n v="128.11000000000001"/>
    <m/>
    <n v="1313498.6244000001"/>
    <n v="1313498.6244000001"/>
    <n v="1013718.0414900001"/>
    <n v="0"/>
    <n v="47279.171605826559"/>
    <n v="0"/>
    <n v="0"/>
    <n v="0"/>
    <n v="0"/>
    <n v="997769.48272755393"/>
    <n v="113729.17224244552"/>
    <n v="0"/>
    <n v="0"/>
    <n v="0"/>
    <n v="0"/>
    <n v="0"/>
    <n v="8392.5517119207634"/>
    <m/>
    <n v="436.41307182026236"/>
    <n v="18440.584221977766"/>
    <n v="98088.126392164151"/>
    <n v="0"/>
    <n v="0"/>
    <n v="0"/>
    <n v="0"/>
    <n v="0"/>
    <n v="0"/>
    <n v="0"/>
    <n v="0"/>
    <n v="0"/>
    <n v="0"/>
    <m/>
    <n v="0"/>
    <n v="0"/>
    <n v="0"/>
    <n v="0"/>
    <n v="0"/>
    <n v="4650.523120427064"/>
    <n v="0"/>
    <n v="0"/>
    <n v="0"/>
    <n v="0"/>
    <n v="0"/>
    <m/>
    <m/>
    <m/>
    <m/>
    <m/>
    <m/>
    <m/>
    <m/>
    <m/>
    <n v="118379.69536287259"/>
    <m/>
    <m/>
    <m/>
    <m/>
    <m/>
    <m/>
    <m/>
    <m/>
    <m/>
    <m/>
    <m/>
    <m/>
    <n v="1013719.1834000001"/>
    <n v="-299779.47100000002"/>
    <m/>
    <m/>
    <m/>
    <m/>
    <n v="-304982.73345"/>
    <n v="5202.1505399999869"/>
    <n v="31"/>
    <n v="8727.0149498170358"/>
    <n v="1346.0853847250692"/>
    <n v="7160.0222510412423"/>
    <n v="0"/>
    <n v="0"/>
    <n v="0"/>
    <n v="0"/>
    <n v="0"/>
    <n v="0"/>
    <n v="0"/>
    <n v="0"/>
    <n v="5201.6483083587664"/>
    <n v="0"/>
    <n v="0"/>
    <n v="0"/>
    <n v="212.70167755008515"/>
    <n v="0"/>
    <n v="-4472.1927517293225"/>
    <m/>
    <n v="0"/>
    <n v="0"/>
    <n v="0"/>
    <n v="0"/>
    <n v="-670.11655898421668"/>
    <n v="-51.133361144561434"/>
    <n v="0"/>
    <n v="0"/>
    <m/>
    <m/>
    <m/>
    <n v="997769.48272755393"/>
    <n v="0"/>
    <n v="0"/>
    <n v="-304982.73344999983"/>
    <n v="5202.1505399999878"/>
    <n v="0"/>
    <n v="0"/>
    <n v="-308511.24690939893"/>
    <n v="0"/>
    <n v="0"/>
    <n v="0"/>
    <n v="0"/>
    <n v="0"/>
    <n v="0"/>
    <n v="0"/>
    <n v="0"/>
    <n v="0"/>
    <n v="0"/>
    <n v="0"/>
    <n v="0"/>
    <n v="24713.50672800149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8"/>
    <s v="Regular"/>
    <s v="Verde"/>
    <s v="A4"/>
    <s v="Industrial"/>
    <s v="Não se aplica"/>
    <s v="Não se aplica"/>
    <s v="Não se aplica"/>
    <s v="Fora ponta"/>
    <s v="CATIVO"/>
    <x v="8"/>
    <n v="0"/>
    <n v="0"/>
    <n v="13825.42"/>
    <n v="13825.42"/>
    <n v="13825.42"/>
    <n v="13825.42"/>
    <m/>
    <n v="96.28"/>
    <n v="128.11000000000001"/>
    <m/>
    <n v="3102285.9938000003"/>
    <n v="3102285.9938000003"/>
    <n v="3105742.3487999998"/>
    <n v="0"/>
    <n v="736313.7191253585"/>
    <n v="0"/>
    <n v="0"/>
    <n v="0"/>
    <n v="0"/>
    <n v="0"/>
    <n v="1771189.0234676534"/>
    <n v="0"/>
    <n v="0"/>
    <n v="0"/>
    <n v="0"/>
    <n v="0"/>
    <n v="130703.45257899399"/>
    <m/>
    <n v="6796.5854957428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426.056937472327"/>
    <n v="0"/>
    <n v="0"/>
    <n v="0"/>
    <n v="0"/>
    <n v="0"/>
    <m/>
    <m/>
    <m/>
    <m/>
    <m/>
    <m/>
    <m/>
    <m/>
    <m/>
    <n v="1843615.0804051259"/>
    <m/>
    <m/>
    <m/>
    <m/>
    <m/>
    <m/>
    <m/>
    <m/>
    <m/>
    <m/>
    <m/>
    <m/>
    <n v="3105742.3487999998"/>
    <n v="3456.3249999997206"/>
    <m/>
    <m/>
    <m/>
    <m/>
    <n v="-77560.606199999995"/>
    <n v="81016.961199999801"/>
    <n v="31"/>
    <n v="3440.3539754627272"/>
    <n v="0"/>
    <n v="0"/>
    <n v="0"/>
    <n v="0"/>
    <n v="0"/>
    <n v="0"/>
    <n v="0"/>
    <n v="0"/>
    <n v="0"/>
    <n v="0"/>
    <n v="81009.139572947985"/>
    <n v="0"/>
    <n v="0"/>
    <n v="0"/>
    <n v="3312.5614925496047"/>
    <n v="0"/>
    <n v="-69648.785412845085"/>
    <m/>
    <n v="0"/>
    <n v="0"/>
    <n v="0"/>
    <n v="0"/>
    <n v="-10436.223796534294"/>
    <n v="-796.33788065551016"/>
    <n v="0"/>
    <n v="0"/>
    <m/>
    <m/>
    <m/>
    <n v="0"/>
    <n v="0"/>
    <n v="0"/>
    <n v="-77560.606200000038"/>
    <n v="81016.961199999787"/>
    <n v="0"/>
    <n v="0"/>
    <n v="0"/>
    <n v="0"/>
    <n v="0"/>
    <n v="0"/>
    <n v="0"/>
    <n v="0"/>
    <n v="0"/>
    <n v="0"/>
    <n v="0"/>
    <n v="0"/>
    <n v="0"/>
    <n v="0"/>
    <n v="0"/>
    <n v="384881.8292171983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89"/>
    <s v="Regular"/>
    <s v="Verde"/>
    <s v="A4"/>
    <s v="Industrial"/>
    <s v="Não se aplica"/>
    <s v="Não se aplica"/>
    <s v="Não se aplica"/>
    <s v="Não se aplica"/>
    <s v="CATIVO"/>
    <x v="8"/>
    <n v="50938"/>
    <n v="50938"/>
    <n v="0"/>
    <n v="0"/>
    <n v="0"/>
    <n v="0"/>
    <n v="18.12"/>
    <m/>
    <m/>
    <n v="922996.56"/>
    <m/>
    <n v="922996.56"/>
    <n v="736054.1"/>
    <n v="0"/>
    <n v="0"/>
    <n v="0"/>
    <n v="0"/>
    <n v="0"/>
    <n v="0"/>
    <n v="665196.20004161668"/>
    <m/>
    <m/>
    <m/>
    <n v="0"/>
    <n v="0"/>
    <n v="0"/>
    <n v="0"/>
    <m/>
    <n v="0"/>
    <n v="40489.109044926634"/>
    <n v="217063.17112787062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11452.34"/>
    <n v="96"/>
    <m/>
    <m/>
    <m/>
    <m/>
    <m/>
    <m/>
    <m/>
    <m/>
    <m/>
    <n v="0"/>
    <m/>
    <m/>
    <m/>
    <m/>
    <m/>
    <m/>
    <m/>
    <m/>
    <m/>
    <m/>
    <m/>
    <m/>
    <n v="736054.1"/>
    <n v="-186942.49000000011"/>
    <m/>
    <m/>
    <m/>
    <m/>
    <n v="-186942.46000000008"/>
    <n v="0"/>
    <n v="31"/>
    <n v="18800.237344434718"/>
    <n v="2955.5353165524502"/>
    <n v="15844.702027882304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5196.20004161668"/>
    <m/>
    <n v="0"/>
    <n v="0"/>
    <n v="-186942.46000000008"/>
    <m/>
    <n v="0"/>
    <m/>
    <n v="-205679.2803015314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90"/>
    <s v="Regular"/>
    <s v="Convencional"/>
    <s v="B3"/>
    <s v="Comercial"/>
    <s v="Não se aplica"/>
    <s v="Não se aplica"/>
    <s v="Não se aplica"/>
    <s v="Não se aplica"/>
    <s v="CATIVO"/>
    <x v="8"/>
    <n v="0"/>
    <n v="0"/>
    <n v="1003.98"/>
    <n v="1003.98"/>
    <n v="1003.98"/>
    <n v="1003.98"/>
    <m/>
    <n v="333.61"/>
    <n v="128.11000000000001"/>
    <m/>
    <n v="463557.64560000005"/>
    <n v="463557.64560000005"/>
    <n v="404634.05940000003"/>
    <n v="0"/>
    <n v="61459.690329166362"/>
    <n v="0"/>
    <n v="0"/>
    <n v="0"/>
    <n v="0"/>
    <n v="195270.29313341301"/>
    <n v="128620.92838995522"/>
    <n v="0"/>
    <n v="0"/>
    <n v="0"/>
    <n v="0"/>
    <n v="0"/>
    <n v="9491.4767377959142"/>
    <m/>
    <n v="863.81225013128517"/>
    <n v="3489.8547286869484"/>
    <n v="18616.435271387854"/>
    <n v="0"/>
    <n v="0"/>
    <n v="0"/>
    <n v="0"/>
    <n v="0"/>
    <n v="0"/>
    <n v="0"/>
    <n v="0"/>
    <n v="0"/>
    <n v="0"/>
    <m/>
    <n v="0"/>
    <n v="0"/>
    <n v="0"/>
    <n v="0"/>
    <n v="0"/>
    <n v="13622.372952897827"/>
    <n v="0"/>
    <n v="0"/>
    <n v="0"/>
    <n v="138132"/>
    <n v="1672"/>
    <m/>
    <m/>
    <m/>
    <m/>
    <m/>
    <m/>
    <m/>
    <m/>
    <m/>
    <n v="142243.30134285305"/>
    <m/>
    <m/>
    <m/>
    <m/>
    <m/>
    <m/>
    <m/>
    <m/>
    <m/>
    <m/>
    <m/>
    <m/>
    <n v="404634.05940000003"/>
    <n v="-58923.616200000048"/>
    <m/>
    <m/>
    <m/>
    <m/>
    <n v="-64806.909000000014"/>
    <n v="5883.3227999999854"/>
    <n v="31"/>
    <n v="1446.8525404199027"/>
    <n v="254.74477318894105"/>
    <n v="1358.9217745407113"/>
    <n v="0"/>
    <n v="0"/>
    <n v="0"/>
    <n v="0"/>
    <n v="0"/>
    <n v="0"/>
    <n v="0"/>
    <n v="0"/>
    <n v="5882.7548058900575"/>
    <n v="0"/>
    <n v="0"/>
    <n v="0"/>
    <n v="623.04852685645528"/>
    <n v="0"/>
    <n v="-5813.5447868073315"/>
    <m/>
    <n v="0"/>
    <n v="0"/>
    <n v="0"/>
    <n v="0"/>
    <n v="-757.86196493448369"/>
    <n v="-101.21058831448318"/>
    <n v="0"/>
    <n v="0"/>
    <m/>
    <m/>
    <m/>
    <n v="195270.29313341301"/>
    <n v="0"/>
    <n v="0"/>
    <n v="-64806.909000000043"/>
    <n v="5883.3227999999945"/>
    <n v="0"/>
    <n v="0"/>
    <n v="-60377.755244898726"/>
    <n v="0"/>
    <n v="0"/>
    <n v="0"/>
    <n v="0"/>
    <n v="0"/>
    <n v="0"/>
    <n v="0"/>
    <n v="0"/>
    <n v="0"/>
    <n v="0"/>
    <n v="0"/>
    <n v="0"/>
    <n v="32125.8689368313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1"/>
    <s v="Refaturamento - Regular"/>
    <s v="Convencional"/>
    <s v="B3"/>
    <s v="Comercial"/>
    <s v="Não se aplica"/>
    <s v="Não se aplica"/>
    <s v="Não se aplica"/>
    <s v="Não se aplica"/>
    <s v="CATIVO"/>
    <x v="8"/>
    <n v="0"/>
    <n v="0"/>
    <n v="-0.55600000000000005"/>
    <n v="-0.55600000000000005"/>
    <n v="-0.55600000000000005"/>
    <n v="-0.55600000000000005"/>
    <m/>
    <n v="333.61"/>
    <n v="128.11000000000001"/>
    <m/>
    <n v="-256.71632"/>
    <n v="-256.71632"/>
    <n v="-224.08468000000002"/>
    <n v="0"/>
    <n v="-34.036124049300284"/>
    <n v="0"/>
    <n v="0"/>
    <n v="0"/>
    <n v="0"/>
    <n v="-108.13988623496249"/>
    <n v="-71.229741812401755"/>
    <n v="0"/>
    <n v="0"/>
    <n v="0"/>
    <n v="0"/>
    <n v="0"/>
    <n v="-5.2563408297122738"/>
    <m/>
    <n v="-0.4783756758829803"/>
    <n v="-1.9326672136396577"/>
    <n v="-10.309705383465456"/>
    <n v="0"/>
    <n v="0"/>
    <n v="0"/>
    <n v="0"/>
    <n v="0"/>
    <n v="0"/>
    <n v="0"/>
    <n v="0"/>
    <n v="0"/>
    <n v="0"/>
    <m/>
    <n v="0"/>
    <n v="0"/>
    <n v="0"/>
    <n v="0"/>
    <n v="0"/>
    <n v="-7.5440141853534861"/>
    <n v="0"/>
    <n v="0"/>
    <n v="0"/>
    <n v="-101"/>
    <n v="0"/>
    <m/>
    <m/>
    <m/>
    <m/>
    <m/>
    <m/>
    <m/>
    <m/>
    <m/>
    <n v="-78.773755997755245"/>
    <m/>
    <m/>
    <m/>
    <m/>
    <m/>
    <m/>
    <m/>
    <m/>
    <m/>
    <m/>
    <m/>
    <m/>
    <n v="-225.69680000000002"/>
    <n v="30.989519999999999"/>
    <m/>
    <m/>
    <m/>
    <m/>
    <n v="35.889800000000008"/>
    <n v="-3.2581599999999922"/>
    <n v="31"/>
    <n v="-0.80126099371838677"/>
    <n v="-0.14107660898927388"/>
    <n v="-0.75256529676351569"/>
    <n v="0"/>
    <n v="0"/>
    <n v="0"/>
    <n v="0"/>
    <n v="0"/>
    <n v="0"/>
    <n v="0"/>
    <n v="0"/>
    <n v="-3.2578454471950238"/>
    <n v="0"/>
    <n v="0"/>
    <n v="0"/>
    <n v="-0.3450417149068592"/>
    <n v="0"/>
    <n v="3.2195172229176663"/>
    <m/>
    <n v="0"/>
    <n v="0"/>
    <n v="0"/>
    <n v="0"/>
    <n v="0.41970084314784373"/>
    <n v="5.6050008070731072E-2"/>
    <n v="0"/>
    <n v="0"/>
    <m/>
    <m/>
    <m/>
    <n v="-108.13988623496249"/>
    <n v="0"/>
    <n v="0"/>
    <n v="35.889800000000008"/>
    <n v="-3.2581600000000037"/>
    <n v="0"/>
    <n v="0"/>
    <n v="33.436952843845191"/>
    <n v="0"/>
    <n v="0"/>
    <n v="0"/>
    <n v="0"/>
    <n v="0"/>
    <n v="0"/>
    <n v="0"/>
    <n v="0"/>
    <n v="0"/>
    <n v="0"/>
    <n v="0"/>
    <n v="0"/>
    <n v="-17.79117425534199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2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2.069"/>
    <n v="2.069"/>
    <n v="2.069"/>
    <n v="2.069"/>
    <m/>
    <n v="333.61"/>
    <n v="128.11000000000001"/>
    <m/>
    <n v="955.2986800000001"/>
    <n v="955.2986800000001"/>
    <n v="833.86906999999997"/>
    <n v="0"/>
    <n v="126.65600837770194"/>
    <n v="0"/>
    <n v="0"/>
    <n v="0"/>
    <n v="0"/>
    <n v="402.41263420888015"/>
    <n v="265.06175505370362"/>
    <n v="0"/>
    <n v="0"/>
    <n v="0"/>
    <n v="0"/>
    <n v="0"/>
    <n v="19.560016504810598"/>
    <m/>
    <n v="1.7801425780609463"/>
    <n v="7.1918857284540492"/>
    <n v="38.364713018687098"/>
    <n v="0"/>
    <n v="0"/>
    <n v="0"/>
    <n v="0"/>
    <n v="0"/>
    <n v="0"/>
    <n v="0"/>
    <n v="0"/>
    <n v="0"/>
    <n v="0"/>
    <m/>
    <n v="0"/>
    <n v="0"/>
    <n v="0"/>
    <n v="0"/>
    <n v="0"/>
    <n v="28.072959261684101"/>
    <n v="0"/>
    <n v="0"/>
    <n v="0"/>
    <n v="1212.75"/>
    <n v="9"/>
    <m/>
    <m/>
    <m/>
    <m/>
    <m/>
    <m/>
    <m/>
    <m/>
    <m/>
    <n v="293.13471431538773"/>
    <m/>
    <m/>
    <m/>
    <m/>
    <m/>
    <m/>
    <m/>
    <m/>
    <m/>
    <m/>
    <m/>
    <m/>
    <n v="834.27209999999991"/>
    <n v="-121.05658000000017"/>
    <m/>
    <m/>
    <m/>
    <m/>
    <n v="-133.55395000000001"/>
    <n v="12.12433999999997"/>
    <n v="31"/>
    <n v="2.9816708561211271"/>
    <n v="0.52497752517771179"/>
    <n v="2.8004633075606336"/>
    <n v="0"/>
    <n v="0"/>
    <n v="0"/>
    <n v="0"/>
    <n v="0"/>
    <n v="0"/>
    <n v="0"/>
    <n v="0"/>
    <n v="12.123169478860632"/>
    <n v="0"/>
    <n v="0"/>
    <n v="0"/>
    <n v="1.283977172917794"/>
    <n v="0"/>
    <n v="-11.980541608303326"/>
    <m/>
    <n v="0"/>
    <n v="0"/>
    <n v="0"/>
    <n v="0"/>
    <n v="-1.5618004396994394"/>
    <n v="-0.2085745803927026"/>
    <n v="0"/>
    <n v="0"/>
    <m/>
    <m/>
    <m/>
    <n v="402.41263420888015"/>
    <n v="0"/>
    <n v="0"/>
    <n v="-133.55394999999999"/>
    <n v="12.124339999999961"/>
    <n v="0"/>
    <n v="0"/>
    <n v="-124.42635869409298"/>
    <n v="0"/>
    <n v="0"/>
    <n v="0"/>
    <n v="0"/>
    <n v="0"/>
    <n v="0"/>
    <n v="0"/>
    <n v="0"/>
    <n v="0"/>
    <n v="0"/>
    <n v="0"/>
    <n v="0"/>
    <n v="66.20492721996868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3"/>
    <s v="Regular"/>
    <s v="Verde"/>
    <s v="A4"/>
    <s v="Comercial"/>
    <s v="Não se aplica"/>
    <s v="Não se aplica"/>
    <s v="Não se aplica"/>
    <s v="Ponta"/>
    <s v="CATIVO"/>
    <x v="8"/>
    <n v="0"/>
    <n v="0"/>
    <n v="35.722000000000001"/>
    <n v="35.722000000000001"/>
    <n v="35.722000000000001"/>
    <n v="35.722000000000001"/>
    <m/>
    <n v="1351.49"/>
    <n v="128.11000000000001"/>
    <m/>
    <n v="52854.271200000003"/>
    <n v="52854.271200000003"/>
    <n v="40791.309020000001"/>
    <n v="0"/>
    <n v="1902.4809860818737"/>
    <n v="0"/>
    <n v="0"/>
    <n v="0"/>
    <n v="0"/>
    <n v="40149.55010649941"/>
    <n v="4576.3828004003872"/>
    <n v="0"/>
    <n v="0"/>
    <n v="0"/>
    <n v="0"/>
    <n v="0"/>
    <n v="337.71044445860042"/>
    <m/>
    <n v="17.56095851546841"/>
    <n v="742.03628496381225"/>
    <n v="3946.9979926317169"/>
    <n v="0"/>
    <n v="0"/>
    <n v="0"/>
    <n v="0"/>
    <n v="0"/>
    <n v="0"/>
    <n v="0"/>
    <n v="0"/>
    <n v="0"/>
    <n v="0"/>
    <m/>
    <n v="0"/>
    <n v="0"/>
    <n v="0"/>
    <n v="0"/>
    <n v="0"/>
    <n v="187.13381625443469"/>
    <n v="0"/>
    <n v="0"/>
    <n v="0"/>
    <n v="0"/>
    <n v="0"/>
    <m/>
    <m/>
    <m/>
    <m/>
    <m/>
    <m/>
    <m/>
    <m/>
    <m/>
    <n v="4763.5166166548215"/>
    <m/>
    <m/>
    <m/>
    <m/>
    <m/>
    <m/>
    <m/>
    <m/>
    <m/>
    <m/>
    <m/>
    <m/>
    <n v="40789.025200000004"/>
    <n v="-12065.276000000005"/>
    <m/>
    <m/>
    <m/>
    <m/>
    <n v="-12272.293099999999"/>
    <n v="209.33091999999948"/>
    <n v="31"/>
    <n v="351.16901255590346"/>
    <n v="54.165539773682326"/>
    <n v="288.11431609030979"/>
    <n v="0"/>
    <n v="0"/>
    <n v="0"/>
    <n v="0"/>
    <n v="0"/>
    <n v="0"/>
    <n v="0"/>
    <n v="0"/>
    <n v="209.31071054802305"/>
    <n v="0"/>
    <n v="0"/>
    <n v="0"/>
    <n v="8.5589675855675296"/>
    <n v="0"/>
    <n v="-179.95792623425928"/>
    <m/>
    <n v="0"/>
    <n v="0"/>
    <n v="0"/>
    <n v="0"/>
    <n v="-26.965024314617438"/>
    <n v="-2.0575708928029783"/>
    <n v="0"/>
    <n v="0"/>
    <m/>
    <m/>
    <m/>
    <n v="40149.55010649941"/>
    <n v="0"/>
    <n v="0"/>
    <n v="-12272.293100000003"/>
    <n v="209.33091999999942"/>
    <n v="0"/>
    <n v="0"/>
    <n v="-12414.278027773416"/>
    <n v="0"/>
    <n v="0"/>
    <n v="0"/>
    <n v="0"/>
    <n v="0"/>
    <n v="0"/>
    <n v="0"/>
    <n v="0"/>
    <n v="0"/>
    <n v="0"/>
    <n v="0"/>
    <n v="0"/>
    <n v="994.4543242300603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4"/>
    <s v="Regular"/>
    <s v="Verde"/>
    <s v="A4"/>
    <s v="Comercial"/>
    <s v="Não se aplica"/>
    <s v="Não se aplica"/>
    <s v="Não se aplica"/>
    <s v="Fora ponta"/>
    <s v="CATIVO"/>
    <x v="8"/>
    <n v="0"/>
    <n v="0"/>
    <n v="405.09"/>
    <n v="405.09"/>
    <n v="405.09"/>
    <n v="405.09"/>
    <m/>
    <n v="96.28"/>
    <n v="128.11000000000001"/>
    <m/>
    <n v="90898.145099999994"/>
    <n v="90898.145099999994"/>
    <n v="90999.417600000001"/>
    <n v="0"/>
    <n v="21574.268592237448"/>
    <n v="0"/>
    <n v="0"/>
    <n v="0"/>
    <n v="0"/>
    <n v="0"/>
    <n v="51896.503796377372"/>
    <n v="0"/>
    <n v="0"/>
    <n v="0"/>
    <n v="0"/>
    <n v="0"/>
    <n v="3829.6602638635695"/>
    <m/>
    <n v="199.14250839905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2.1106776358811"/>
    <n v="0"/>
    <n v="0"/>
    <n v="0"/>
    <n v="0"/>
    <n v="0"/>
    <m/>
    <m/>
    <m/>
    <m/>
    <m/>
    <m/>
    <m/>
    <m/>
    <m/>
    <n v="54018.614474013251"/>
    <m/>
    <m/>
    <m/>
    <m/>
    <m/>
    <m/>
    <m/>
    <m/>
    <m/>
    <m/>
    <m/>
    <m/>
    <n v="90999.417600000001"/>
    <n v="101.24249999999302"/>
    <m/>
    <m/>
    <m/>
    <m/>
    <n v="-2272.5548999999996"/>
    <n v="2373.8273999999938"/>
    <n v="31"/>
    <n v="100.80366396973841"/>
    <n v="0"/>
    <n v="0"/>
    <n v="0"/>
    <n v="0"/>
    <n v="0"/>
    <n v="0"/>
    <n v="0"/>
    <n v="0"/>
    <n v="0"/>
    <n v="0"/>
    <n v="2373.5982233889154"/>
    <n v="0"/>
    <n v="0"/>
    <n v="0"/>
    <n v="97.0592962106698"/>
    <n v="0"/>
    <n v="-2040.7355785856344"/>
    <m/>
    <n v="0"/>
    <n v="0"/>
    <n v="0"/>
    <n v="0"/>
    <n v="-305.78527796899289"/>
    <n v="-23.332999075235364"/>
    <n v="0"/>
    <n v="0"/>
    <m/>
    <m/>
    <m/>
    <n v="0"/>
    <n v="0"/>
    <n v="0"/>
    <n v="-2272.5548999999955"/>
    <n v="2373.8273999999947"/>
    <n v="0"/>
    <n v="0"/>
    <n v="0"/>
    <n v="0"/>
    <n v="0"/>
    <n v="0"/>
    <n v="0"/>
    <n v="0"/>
    <n v="0"/>
    <n v="0"/>
    <n v="0"/>
    <n v="0"/>
    <n v="0"/>
    <n v="0"/>
    <n v="0"/>
    <n v="11277.1821903128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5"/>
    <s v="Regular"/>
    <s v="Verde"/>
    <s v="A4"/>
    <s v="Comercial"/>
    <s v="Não se aplica"/>
    <s v="Não se aplica"/>
    <s v="Não se aplica"/>
    <s v="Não se aplica"/>
    <s v="CATIVO"/>
    <x v="8"/>
    <n v="1636"/>
    <n v="1636"/>
    <n v="0"/>
    <n v="0"/>
    <n v="0"/>
    <n v="0"/>
    <n v="18.12"/>
    <m/>
    <m/>
    <n v="29644.320000000003"/>
    <m/>
    <n v="29644.320000000003"/>
    <n v="23640.199999999997"/>
    <n v="0"/>
    <n v="0"/>
    <n v="0"/>
    <n v="0"/>
    <n v="0"/>
    <n v="0"/>
    <n v="21364.423088226569"/>
    <m/>
    <m/>
    <m/>
    <n v="0"/>
    <n v="0"/>
    <n v="0"/>
    <n v="0"/>
    <m/>
    <n v="0"/>
    <n v="1300.4079939828807"/>
    <n v="6971.5212211943217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894.22"/>
    <n v="17"/>
    <m/>
    <m/>
    <m/>
    <m/>
    <m/>
    <m/>
    <m/>
    <m/>
    <m/>
    <n v="0"/>
    <m/>
    <m/>
    <m/>
    <m/>
    <m/>
    <m/>
    <m/>
    <m/>
    <m/>
    <m/>
    <m/>
    <m/>
    <n v="23640.199999999997"/>
    <n v="-6004.1500000000015"/>
    <m/>
    <m/>
    <m/>
    <m/>
    <n v="-6004.1200000000026"/>
    <n v="0"/>
    <n v="31"/>
    <n v="603.81617447672033"/>
    <n v="94.924335032388399"/>
    <n v="508.89183944433262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364.423088226569"/>
    <m/>
    <n v="0"/>
    <n v="0"/>
    <n v="-6004.1200000000063"/>
    <m/>
    <n v="0"/>
    <m/>
    <n v="-6605.8993791139328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396"/>
    <s v="Regular"/>
    <s v="Convencional"/>
    <s v="B2"/>
    <s v="Rural"/>
    <s v="Não se aplica"/>
    <s v="Não se aplica"/>
    <s v="Não se aplica"/>
    <s v="Não se aplica"/>
    <s v="CATIVO"/>
    <x v="8"/>
    <n v="0"/>
    <n v="0"/>
    <n v="951.43399999999997"/>
    <n v="951.43399999999997"/>
    <n v="951.43399999999997"/>
    <n v="951.43399999999997"/>
    <m/>
    <n v="333.61"/>
    <n v="128.11000000000001"/>
    <m/>
    <n v="439296.10648000002"/>
    <n v="439296.10648000002"/>
    <n v="383456.44501999998"/>
    <n v="0"/>
    <n v="58243.031742305691"/>
    <n v="0"/>
    <n v="0"/>
    <n v="0"/>
    <n v="0"/>
    <n v="185050.295899416"/>
    <n v="121889.20534449755"/>
    <n v="0"/>
    <n v="0"/>
    <n v="0"/>
    <n v="0"/>
    <n v="0"/>
    <n v="8994.7147139864519"/>
    <m/>
    <n v="818.60230720871846"/>
    <n v="3307.2037729173271"/>
    <n v="17642.093942108044"/>
    <n v="0"/>
    <n v="0"/>
    <n v="0"/>
    <n v="0"/>
    <n v="0"/>
    <n v="0"/>
    <n v="0"/>
    <n v="0"/>
    <n v="0"/>
    <n v="0"/>
    <m/>
    <n v="0"/>
    <n v="0"/>
    <n v="0"/>
    <n v="0"/>
    <n v="0"/>
    <n v="12909.409338898575"/>
    <n v="0"/>
    <n v="0"/>
    <n v="0"/>
    <n v="70805.39"/>
    <n v="2318"/>
    <m/>
    <m/>
    <m/>
    <m/>
    <m/>
    <n v="46020.862579999986"/>
    <m/>
    <m/>
    <m/>
    <n v="134798.61468339612"/>
    <m/>
    <m/>
    <m/>
    <m/>
    <m/>
    <m/>
    <m/>
    <m/>
    <m/>
    <m/>
    <m/>
    <m/>
    <n v="337434.16379999998"/>
    <n v="-49152.529080000008"/>
    <m/>
    <m/>
    <m/>
    <m/>
    <n v="-61415.06470000001"/>
    <n v="5575.403239999986"/>
    <n v="31"/>
    <n v="1371.1276120458497"/>
    <n v="241.4120186998216"/>
    <n v="1287.7989398577301"/>
    <n v="0"/>
    <n v="0"/>
    <n v="0"/>
    <n v="0"/>
    <n v="0"/>
    <n v="0"/>
    <n v="0"/>
    <n v="0"/>
    <n v="5574.8649733930943"/>
    <n v="0"/>
    <n v="0"/>
    <n v="0"/>
    <n v="590.43960248326039"/>
    <n v="0"/>
    <n v="-5509.2772472472061"/>
    <m/>
    <n v="0"/>
    <n v="0"/>
    <n v="0"/>
    <n v="0"/>
    <n v="-718.19721582648526"/>
    <n v="-95.913459314330908"/>
    <n v="0"/>
    <n v="0"/>
    <m/>
    <m/>
    <m/>
    <n v="185050.295899416"/>
    <n v="0"/>
    <n v="0"/>
    <n v="-61415.064700000017"/>
    <n v="5575.4032399999851"/>
    <n v="0"/>
    <n v="0"/>
    <n v="-57217.722647537783"/>
    <n v="0"/>
    <n v="0"/>
    <n v="0"/>
    <n v="0"/>
    <n v="0"/>
    <n v="0"/>
    <n v="0"/>
    <n v="0"/>
    <n v="0"/>
    <n v="0"/>
    <n v="0"/>
    <n v="0"/>
    <n v="30444.4749756421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7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45.685000000000002"/>
    <n v="45.685000000000002"/>
    <n v="45.685000000000002"/>
    <n v="45.685000000000002"/>
    <m/>
    <n v="333.61"/>
    <n v="128.11000000000001"/>
    <m/>
    <n v="21093.678200000002"/>
    <n v="21093.678200000002"/>
    <n v="18412.42555"/>
    <n v="0"/>
    <n v="2796.6552647343228"/>
    <n v="0"/>
    <n v="0"/>
    <n v="0"/>
    <n v="0"/>
    <n v="8885.5588177055051"/>
    <n v="5852.7531559344852"/>
    <n v="0"/>
    <n v="0"/>
    <n v="0"/>
    <n v="0"/>
    <n v="0"/>
    <n v="431.89915612482952"/>
    <m/>
    <n v="39.306821497686968"/>
    <n v="158.80198139411468"/>
    <n v="847.12030655327226"/>
    <n v="0"/>
    <n v="0"/>
    <n v="0"/>
    <n v="0"/>
    <n v="0"/>
    <n v="0"/>
    <n v="0"/>
    <n v="0"/>
    <n v="0"/>
    <n v="0"/>
    <m/>
    <n v="0"/>
    <n v="0"/>
    <n v="0"/>
    <n v="0"/>
    <n v="0"/>
    <n v="619.87102168682372"/>
    <n v="0"/>
    <n v="0"/>
    <n v="0"/>
    <n v="9212.36"/>
    <n v="37"/>
    <m/>
    <m/>
    <m/>
    <m/>
    <m/>
    <n v="2209.7834499999994"/>
    <m/>
    <m/>
    <m/>
    <n v="6472.6241776213092"/>
    <m/>
    <m/>
    <m/>
    <m/>
    <m/>
    <m/>
    <m/>
    <m/>
    <m/>
    <m/>
    <m/>
    <m/>
    <n v="16204.4154"/>
    <n v="-2358.3438000000006"/>
    <m/>
    <m/>
    <m/>
    <m/>
    <n v="-2948.9667500000005"/>
    <n v="267.71409999999935"/>
    <n v="31"/>
    <n v="65.837425356159656"/>
    <n v="11.591879283588071"/>
    <n v="61.836233062304245"/>
    <n v="0"/>
    <n v="0"/>
    <n v="0"/>
    <n v="0"/>
    <n v="0"/>
    <n v="0"/>
    <n v="0"/>
    <n v="0"/>
    <n v="267.68825405594453"/>
    <n v="0"/>
    <n v="0"/>
    <n v="0"/>
    <n v="28.351134434388314"/>
    <n v="0"/>
    <n v="-264.53892864926911"/>
    <m/>
    <n v="0"/>
    <n v="0"/>
    <n v="0"/>
    <n v="0"/>
    <n v="-34.48567089785837"/>
    <n v="-4.605475932934084"/>
    <n v="0"/>
    <n v="0"/>
    <m/>
    <m/>
    <m/>
    <n v="8885.5588177055051"/>
    <n v="0"/>
    <n v="0"/>
    <n v="-2948.9667500000014"/>
    <n v="267.71409999999923"/>
    <n v="0"/>
    <n v="0"/>
    <n v="-2747.4230048040781"/>
    <n v="0"/>
    <n v="0"/>
    <n v="0"/>
    <n v="0"/>
    <n v="0"/>
    <n v="0"/>
    <n v="0"/>
    <n v="0"/>
    <n v="0"/>
    <n v="0"/>
    <n v="0"/>
    <n v="0"/>
    <n v="1461.852150818883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8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52.38800000000001"/>
    <n v="152.38800000000001"/>
    <n v="152.38800000000001"/>
    <n v="152.38800000000001"/>
    <m/>
    <n v="333.61"/>
    <n v="128.11000000000001"/>
    <m/>
    <n v="70360.587360000005"/>
    <n v="70360.587360000005"/>
    <n v="61416.935639999996"/>
    <n v="0"/>
    <n v="9328.5914957280056"/>
    <n v="0"/>
    <n v="0"/>
    <n v="0"/>
    <n v="0"/>
    <n v="29638.886661103352"/>
    <n v="19522.586142640786"/>
    <n v="0"/>
    <n v="0"/>
    <n v="0"/>
    <n v="0"/>
    <n v="0"/>
    <n v="1440.6533567593417"/>
    <m/>
    <n v="131.11279225981224"/>
    <n v="529.70376142467649"/>
    <n v="2825.6751510351328"/>
    <n v="0"/>
    <n v="0"/>
    <n v="0"/>
    <n v="0"/>
    <n v="0"/>
    <n v="0"/>
    <n v="0"/>
    <n v="0"/>
    <n v="0"/>
    <n v="0"/>
    <m/>
    <n v="0"/>
    <n v="0"/>
    <n v="0"/>
    <n v="0"/>
    <n v="0"/>
    <n v="2067.6568951036816"/>
    <n v="0"/>
    <n v="0"/>
    <n v="0"/>
    <n v="17726.55"/>
    <n v="218"/>
    <m/>
    <m/>
    <m/>
    <m/>
    <m/>
    <m/>
    <m/>
    <m/>
    <m/>
    <n v="21590.243037744469"/>
    <m/>
    <m/>
    <m/>
    <m/>
    <m/>
    <m/>
    <m/>
    <m/>
    <m/>
    <m/>
    <m/>
    <m/>
    <n v="61417.741699999999"/>
    <n v="-8942.8756600000052"/>
    <m/>
    <m/>
    <m/>
    <m/>
    <n v="-9836.6454000000012"/>
    <n v="892.99367999999777"/>
    <n v="31"/>
    <n v="219.60892142224475"/>
    <n v="38.666155199024274"/>
    <n v="206.26244684028507"/>
    <n v="0"/>
    <n v="0"/>
    <n v="0"/>
    <n v="0"/>
    <n v="0"/>
    <n v="0"/>
    <n v="0"/>
    <n v="0"/>
    <n v="892.90746763877178"/>
    <n v="0"/>
    <n v="0"/>
    <n v="0"/>
    <n v="94.568735343932531"/>
    <n v="0"/>
    <n v="-882.40250101794481"/>
    <m/>
    <n v="0"/>
    <n v="0"/>
    <n v="0"/>
    <n v="0"/>
    <n v="-115.03124475829804"/>
    <n v="-15.362137823529807"/>
    <n v="0"/>
    <n v="0"/>
    <m/>
    <m/>
    <m/>
    <n v="29638.886661103352"/>
    <n v="0"/>
    <n v="0"/>
    <n v="-9836.6454000000012"/>
    <n v="892.99367999999595"/>
    <n v="0"/>
    <n v="0"/>
    <n v="-9164.3711690069795"/>
    <n v="0"/>
    <n v="0"/>
    <n v="0"/>
    <n v="0"/>
    <n v="0"/>
    <n v="0"/>
    <n v="0"/>
    <n v="0"/>
    <n v="0"/>
    <n v="0"/>
    <n v="0"/>
    <n v="0"/>
    <n v="4876.189680617007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399"/>
    <s v="Sistema de Compensação"/>
    <s v="Convencional"/>
    <s v="B3"/>
    <s v="Poder público"/>
    <s v="Não se aplica"/>
    <s v="Não se aplica"/>
    <s v="Não se aplica"/>
    <s v="Não se aplica"/>
    <s v="CATIVO"/>
    <x v="8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118.74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31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0"/>
    <s v="Regular"/>
    <s v="Verde"/>
    <s v="A4"/>
    <s v="Poder público"/>
    <s v="Não se aplica"/>
    <s v="Não se aplica"/>
    <s v="Não se aplica"/>
    <s v="Ponta"/>
    <s v="CATIVO"/>
    <x v="8"/>
    <n v="0"/>
    <n v="0"/>
    <n v="1.958"/>
    <n v="1.958"/>
    <n v="1.958"/>
    <n v="1.958"/>
    <m/>
    <n v="1351.49"/>
    <n v="128.11000000000001"/>
    <m/>
    <n v="2897.0567999999998"/>
    <n v="2897.0567999999998"/>
    <n v="2235.8597800000002"/>
    <n v="0"/>
    <n v="104.27909329680053"/>
    <n v="0"/>
    <n v="0"/>
    <n v="0"/>
    <n v="0"/>
    <n v="2200.6835873838486"/>
    <n v="250.8414289005083"/>
    <n v="0"/>
    <n v="0"/>
    <n v="0"/>
    <n v="0"/>
    <n v="0"/>
    <n v="18.510639108950777"/>
    <m/>
    <n v="0.9625540779711983"/>
    <n v="40.67261200266347"/>
    <n v="216.34348775468624"/>
    <n v="0"/>
    <n v="0"/>
    <n v="0"/>
    <n v="0"/>
    <n v="0"/>
    <n v="0"/>
    <n v="0"/>
    <n v="0"/>
    <n v="0"/>
    <n v="0"/>
    <m/>
    <n v="0"/>
    <n v="0"/>
    <n v="0"/>
    <n v="0"/>
    <n v="0"/>
    <n v="10.257208785235516"/>
    <n v="0"/>
    <n v="0"/>
    <n v="0"/>
    <n v="0"/>
    <n v="0"/>
    <m/>
    <m/>
    <m/>
    <m/>
    <m/>
    <m/>
    <m/>
    <m/>
    <m/>
    <n v="261.09863768574382"/>
    <m/>
    <m/>
    <m/>
    <m/>
    <m/>
    <m/>
    <m/>
    <m/>
    <m/>
    <m/>
    <m/>
    <m/>
    <n v="2238.1435999999999"/>
    <n v="-658.94320000000062"/>
    <m/>
    <m/>
    <m/>
    <m/>
    <n v="-672.67089999999985"/>
    <n v="11.473879999999971"/>
    <n v="31"/>
    <n v="19.248332304586938"/>
    <n v="2.9689302636154125"/>
    <n v="15.792168157013208"/>
    <n v="0"/>
    <n v="0"/>
    <n v="0"/>
    <n v="0"/>
    <n v="0"/>
    <n v="0"/>
    <n v="0"/>
    <n v="0"/>
    <n v="11.472772276273105"/>
    <n v="0"/>
    <n v="0"/>
    <n v="0"/>
    <n v="0.46913550564193507"/>
    <n v="0"/>
    <n v="-9.8638827491931949"/>
    <m/>
    <n v="0"/>
    <n v="0"/>
    <n v="0"/>
    <n v="0"/>
    <n v="-1.4780112425961853"/>
    <n v="-0.11277990616729827"/>
    <n v="0"/>
    <n v="0"/>
    <m/>
    <m/>
    <m/>
    <n v="2200.6835873838486"/>
    <n v="0"/>
    <n v="0"/>
    <n v="-672.67089999999985"/>
    <n v="11.47387999999998"/>
    <n v="0"/>
    <n v="0"/>
    <n v="-680.45340066010726"/>
    <n v="0"/>
    <n v="0"/>
    <n v="0"/>
    <n v="0"/>
    <n v="0"/>
    <n v="0"/>
    <n v="0"/>
    <n v="0"/>
    <n v="0"/>
    <n v="0"/>
    <n v="0"/>
    <n v="0"/>
    <n v="54.50819010252667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1"/>
    <s v="Regular"/>
    <s v="Verde"/>
    <s v="A4"/>
    <s v="Poder público"/>
    <s v="Não se aplica"/>
    <s v="Não se aplica"/>
    <s v="Não se aplica"/>
    <s v="Fora ponta"/>
    <s v="CATIVO"/>
    <x v="8"/>
    <n v="0"/>
    <n v="0"/>
    <n v="20.501999999999999"/>
    <n v="20.501999999999999"/>
    <n v="20.501999999999999"/>
    <n v="20.501999999999999"/>
    <m/>
    <n v="96.28"/>
    <n v="128.11000000000001"/>
    <m/>
    <n v="4600.4437800000005"/>
    <n v="4600.4437800000005"/>
    <n v="4605.5692799999997"/>
    <n v="0"/>
    <n v="1091.8947756746702"/>
    <n v="0"/>
    <n v="0"/>
    <n v="0"/>
    <n v="0"/>
    <n v="0"/>
    <n v="2626.5326738091017"/>
    <n v="0"/>
    <n v="0"/>
    <n v="0"/>
    <n v="0"/>
    <n v="0"/>
    <n v="193.82284117043349"/>
    <m/>
    <n v="10.078796581494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40209117206258"/>
    <n v="0"/>
    <n v="0"/>
    <n v="0"/>
    <n v="0"/>
    <n v="0"/>
    <m/>
    <m/>
    <m/>
    <m/>
    <m/>
    <m/>
    <m/>
    <m/>
    <m/>
    <n v="2733.9347649811643"/>
    <m/>
    <m/>
    <m/>
    <m/>
    <m/>
    <m/>
    <m/>
    <m/>
    <m/>
    <m/>
    <m/>
    <m/>
    <n v="4605.12"/>
    <n v="4.6462199999996301"/>
    <m/>
    <m/>
    <m/>
    <m/>
    <n v="-115.01621999999998"/>
    <n v="120.14171999999969"/>
    <n v="31"/>
    <n v="5.1017717512331728"/>
    <n v="0"/>
    <n v="0"/>
    <n v="0"/>
    <n v="0"/>
    <n v="0"/>
    <n v="0"/>
    <n v="0"/>
    <n v="0"/>
    <n v="0"/>
    <n v="0"/>
    <n v="120.13012114818775"/>
    <n v="0"/>
    <n v="0"/>
    <n v="0"/>
    <n v="4.9122656469208152"/>
    <n v="0"/>
    <n v="-103.28361804083704"/>
    <m/>
    <n v="0"/>
    <n v="0"/>
    <n v="0"/>
    <n v="0"/>
    <n v="-15.476091162260957"/>
    <n v="-1.1809058407772977"/>
    <n v="0"/>
    <n v="0"/>
    <m/>
    <m/>
    <m/>
    <n v="0"/>
    <n v="0"/>
    <n v="0"/>
    <n v="-115.01621999999998"/>
    <n v="120.14171999999962"/>
    <n v="0"/>
    <n v="0"/>
    <n v="0"/>
    <n v="0"/>
    <n v="0"/>
    <n v="0"/>
    <n v="0"/>
    <n v="0"/>
    <n v="0"/>
    <n v="0"/>
    <n v="0"/>
    <n v="0"/>
    <n v="0"/>
    <n v="0"/>
    <n v="0"/>
    <n v="570.7491897252308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2"/>
    <s v="Regular"/>
    <s v="Verde"/>
    <s v="A4"/>
    <s v="Poder público"/>
    <s v="Não se aplica"/>
    <s v="Não se aplica"/>
    <s v="Não se aplica"/>
    <s v="Não se aplica"/>
    <s v="CATIVO"/>
    <x v="8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77.49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1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03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000.045"/>
    <n v="1000.045"/>
    <n v="1000.045"/>
    <n v="1000.045"/>
    <m/>
    <n v="183.49"/>
    <n v="70.459999999999994"/>
    <m/>
    <n v="253961.42775"/>
    <n v="253961.42775"/>
    <n v="221669.97469999999"/>
    <n v="0"/>
    <n v="33670.342843858598"/>
    <n v="0"/>
    <n v="0"/>
    <n v="0"/>
    <n v="0"/>
    <n v="106977.72282628404"/>
    <n v="70464.246282249922"/>
    <n v="0"/>
    <n v="0"/>
    <n v="0"/>
    <n v="0"/>
    <n v="0"/>
    <n v="5199.8517100310846"/>
    <m/>
    <n v="473.23464304607398"/>
    <n v="1911.8971241283282"/>
    <n v="10198.908500205449"/>
    <n v="0"/>
    <n v="0"/>
    <n v="0"/>
    <n v="0"/>
    <n v="0"/>
    <n v="0"/>
    <n v="0"/>
    <n v="0"/>
    <n v="0"/>
    <n v="0"/>
    <m/>
    <n v="0"/>
    <n v="0"/>
    <n v="0"/>
    <n v="0"/>
    <n v="0"/>
    <n v="7462.9397775098751"/>
    <n v="0"/>
    <n v="0"/>
    <n v="0"/>
    <n v="73889.98"/>
    <n v="5"/>
    <m/>
    <m/>
    <m/>
    <m/>
    <m/>
    <m/>
    <m/>
    <m/>
    <m/>
    <n v="77927.186059759799"/>
    <m/>
    <m/>
    <m/>
    <m/>
    <m/>
    <m/>
    <m/>
    <m/>
    <m/>
    <m/>
    <m/>
    <m/>
    <n v="221671.08299999998"/>
    <n v="-32290.374750000046"/>
    <m/>
    <m/>
    <m/>
    <m/>
    <n v="-35511.597950000018"/>
    <n v="3220.144900000013"/>
    <n v="31"/>
    <n v="792.64995999040548"/>
    <n v="139.56047947872935"/>
    <n v="744.47758850908212"/>
    <n v="0"/>
    <n v="0"/>
    <n v="0"/>
    <n v="0"/>
    <n v="0"/>
    <n v="0"/>
    <n v="0"/>
    <n v="0"/>
    <n v="3222.8338626474724"/>
    <n v="0"/>
    <n v="0"/>
    <n v="0"/>
    <n v="341.33360248425197"/>
    <n v="0"/>
    <n v="-3184.9175461439117"/>
    <m/>
    <n v="0"/>
    <n v="0"/>
    <n v="0"/>
    <n v="0"/>
    <n v="-415.1903800848504"/>
    <n v="-55.447646900363054"/>
    <n v="0"/>
    <n v="0"/>
    <m/>
    <m/>
    <m/>
    <n v="106977.72282628404"/>
    <n v="0"/>
    <n v="0"/>
    <n v="-35511.597950000025"/>
    <n v="3220.1449000000139"/>
    <n v="0"/>
    <n v="0"/>
    <n v="-33077.610842981783"/>
    <n v="0"/>
    <n v="0"/>
    <n v="0"/>
    <n v="0"/>
    <n v="0"/>
    <n v="0"/>
    <n v="0"/>
    <n v="0"/>
    <n v="0"/>
    <n v="0"/>
    <n v="0"/>
    <n v="0"/>
    <n v="17599.97512949808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4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72.224999999999994"/>
    <n v="67.891499999999994"/>
    <n v="72.224999999999994"/>
    <n v="67.891499999999994"/>
    <m/>
    <n v="333.61"/>
    <n v="128.11000000000001"/>
    <m/>
    <n v="33347.726999999999"/>
    <n v="33347.726999999999"/>
    <n v="29108.84175"/>
    <n v="0"/>
    <n v="4421.3292436343754"/>
    <n v="0"/>
    <n v="0"/>
    <n v="0"/>
    <n v="0"/>
    <n v="14047.487919640584"/>
    <n v="9252.8203280588405"/>
    <n v="0"/>
    <n v="0"/>
    <n v="0"/>
    <n v="0"/>
    <n v="0"/>
    <n v="682.80434608987218"/>
    <m/>
    <n v="62.141516529942891"/>
    <n v="251.05555666389253"/>
    <n v="1339.2418548935116"/>
    <n v="0"/>
    <n v="0"/>
    <n v="0"/>
    <n v="0"/>
    <n v="0"/>
    <n v="0"/>
    <n v="0"/>
    <n v="0"/>
    <n v="0"/>
    <n v="0"/>
    <m/>
    <n v="0"/>
    <n v="0"/>
    <n v="0"/>
    <n v="0"/>
    <n v="0"/>
    <n v="979.97558369991987"/>
    <n v="0"/>
    <n v="0"/>
    <n v="0"/>
    <n v="9696.7000000000007"/>
    <n v="27"/>
    <m/>
    <m/>
    <m/>
    <m/>
    <n v="1746.5305050000004"/>
    <m/>
    <m/>
    <m/>
    <m/>
    <n v="10232.79591175876"/>
    <m/>
    <m/>
    <m/>
    <m/>
    <m/>
    <m/>
    <m/>
    <m/>
    <m/>
    <m/>
    <m/>
    <m/>
    <n v="27361.706700000002"/>
    <n v="-3985.186679999988"/>
    <m/>
    <m/>
    <m/>
    <m/>
    <n v="-4662.1237500000007"/>
    <n v="423.23849999999891"/>
    <n v="31"/>
    <n v="104.08466775416673"/>
    <n v="18.32600374865163"/>
    <n v="97.759044170404422"/>
    <n v="0"/>
    <n v="0"/>
    <n v="0"/>
    <n v="0"/>
    <n v="0"/>
    <n v="0"/>
    <n v="0"/>
    <n v="0"/>
    <n v="423.19763925118968"/>
    <n v="0"/>
    <n v="0"/>
    <n v="0"/>
    <n v="44.821291113575285"/>
    <n v="0"/>
    <n v="-418.2187615561661"/>
    <m/>
    <n v="0"/>
    <n v="0"/>
    <n v="0"/>
    <n v="0"/>
    <n v="-54.519592439483858"/>
    <n v="-7.2809565340081903"/>
    <n v="0"/>
    <n v="0"/>
    <m/>
    <m/>
    <m/>
    <n v="14047.487919640584"/>
    <n v="0"/>
    <n v="0"/>
    <n v="-4662.1237499999988"/>
    <n v="423.23849999999948"/>
    <n v="0"/>
    <n v="0"/>
    <n v="-4343.4962574581277"/>
    <n v="0"/>
    <n v="0"/>
    <n v="0"/>
    <n v="0"/>
    <n v="0"/>
    <n v="0"/>
    <n v="0"/>
    <n v="0"/>
    <n v="0"/>
    <n v="0"/>
    <n v="0"/>
    <n v="0"/>
    <n v="2311.092734877833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5"/>
    <s v="Regular"/>
    <s v="Azul"/>
    <s v="A4"/>
    <s v="Serviço público"/>
    <s v="Água, esgoto e saneamento"/>
    <s v="Não se aplica"/>
    <s v="Não se aplica"/>
    <s v="Ponta"/>
    <s v="CATIVO"/>
    <x v="8"/>
    <n v="497"/>
    <n v="467.18"/>
    <n v="15.837999999999999"/>
    <n v="14.88772"/>
    <n v="15.837999999999999"/>
    <n v="14.88772"/>
    <n v="52.19"/>
    <n v="96.28"/>
    <n v="128.11000000000001"/>
    <n v="25938.43"/>
    <n v="3553.8888200000001"/>
    <n v="29492.31882"/>
    <n v="22513.428319999999"/>
    <n v="0"/>
    <n v="843.4996320912802"/>
    <n v="0"/>
    <n v="0"/>
    <n v="0"/>
    <n v="0"/>
    <n v="23226.622324707889"/>
    <n v="2029.0227532820481"/>
    <n v="0"/>
    <n v="0"/>
    <n v="0"/>
    <n v="0"/>
    <n v="0"/>
    <n v="149.73008284349456"/>
    <m/>
    <n v="7.7859711373380174"/>
    <n v="429.22392841896755"/>
    <n v="2283.35918041684"/>
    <n v="0"/>
    <n v="0"/>
    <n v="0"/>
    <n v="0"/>
    <n v="0"/>
    <n v="0"/>
    <n v="0"/>
    <n v="0"/>
    <n v="0"/>
    <n v="0"/>
    <m/>
    <n v="0"/>
    <n v="0"/>
    <n v="0"/>
    <n v="0"/>
    <n v="0"/>
    <n v="82.969189346557755"/>
    <n v="0"/>
    <n v="0"/>
    <n v="0"/>
    <n v="0"/>
    <n v="0"/>
    <m/>
    <m/>
    <m/>
    <m/>
    <n v="1350.8056991999997"/>
    <m/>
    <m/>
    <m/>
    <m/>
    <n v="2111.991942628606"/>
    <m/>
    <m/>
    <m/>
    <m/>
    <m/>
    <m/>
    <m/>
    <m/>
    <m/>
    <m/>
    <m/>
    <m/>
    <n v="21163.134800000003"/>
    <n v="-6559.6748907999936"/>
    <m/>
    <m/>
    <m/>
    <m/>
    <n v="-7071.7011799999982"/>
    <n v="92.810679999999763"/>
    <n v="31"/>
    <n v="201.94837129019106"/>
    <n v="31.331548386111194"/>
    <n v="166.6756532135114"/>
    <n v="0"/>
    <n v="0"/>
    <n v="0"/>
    <n v="0"/>
    <n v="0"/>
    <n v="0"/>
    <n v="0"/>
    <n v="0"/>
    <n v="92.801719770997806"/>
    <n v="0"/>
    <n v="0"/>
    <n v="0"/>
    <n v="3.7947743301108119"/>
    <n v="0"/>
    <n v="-79.787627671972359"/>
    <m/>
    <n v="0"/>
    <n v="0"/>
    <n v="0"/>
    <n v="0"/>
    <n v="-11.95543516866104"/>
    <n v="-0.9122615699068799"/>
    <n v="0"/>
    <n v="0"/>
    <m/>
    <m/>
    <n v="23226.622324707889"/>
    <n v="0"/>
    <n v="0"/>
    <n v="0"/>
    <n v="-7071.70118"/>
    <n v="92.81067999999982"/>
    <n v="0"/>
    <n v="0"/>
    <n v="-7181.6931054063516"/>
    <n v="0"/>
    <n v="0"/>
    <n v="0"/>
    <n v="0"/>
    <n v="0"/>
    <n v="0"/>
    <n v="0"/>
    <n v="0"/>
    <n v="0"/>
    <n v="0"/>
    <n v="0"/>
    <n v="0"/>
    <n v="440.9094559978639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6"/>
    <s v="Regular"/>
    <s v="Azul"/>
    <s v="A4"/>
    <s v="Serviço público"/>
    <s v="Água, esgoto e saneamento"/>
    <s v="Não se aplica"/>
    <s v="Não se aplica"/>
    <s v="Fora ponta"/>
    <s v="CATIVO"/>
    <x v="8"/>
    <n v="497"/>
    <n v="467.18"/>
    <n v="130.45599999999999"/>
    <n v="122.62864"/>
    <n v="130.45599999999999"/>
    <n v="122.62864"/>
    <n v="18.12"/>
    <n v="96.28"/>
    <n v="128.11000000000001"/>
    <n v="9005.6400000000012"/>
    <n v="29273.021840000001"/>
    <n v="38278.661840000001"/>
    <n v="36487.285839999997"/>
    <n v="0"/>
    <n v="6947.8209372458678"/>
    <n v="0"/>
    <n v="0"/>
    <n v="0"/>
    <n v="0"/>
    <n v="6490.2923440394898"/>
    <n v="16712.854672443671"/>
    <n v="0"/>
    <n v="0"/>
    <n v="0"/>
    <n v="0"/>
    <n v="0"/>
    <n v="1233.3115094981013"/>
    <m/>
    <n v="64.132254747605032"/>
    <n v="395.05059474907807"/>
    <n v="2117.8765568053655"/>
    <n v="0"/>
    <n v="0"/>
    <n v="0"/>
    <n v="0"/>
    <n v="0"/>
    <n v="0"/>
    <n v="0"/>
    <n v="0"/>
    <n v="0"/>
    <n v="0"/>
    <m/>
    <n v="0"/>
    <n v="0"/>
    <n v="0"/>
    <n v="0"/>
    <n v="0"/>
    <n v="683.40879943140158"/>
    <n v="0"/>
    <n v="0"/>
    <n v="0"/>
    <n v="0"/>
    <n v="0"/>
    <m/>
    <m/>
    <m/>
    <m/>
    <n v="2189.2371503999966"/>
    <m/>
    <m/>
    <m/>
    <m/>
    <n v="17396.263471875074"/>
    <m/>
    <m/>
    <m/>
    <m/>
    <m/>
    <m/>
    <m/>
    <m/>
    <m/>
    <m/>
    <m/>
    <m/>
    <n v="34298.354200000002"/>
    <n v="-1683.6179296000046"/>
    <m/>
    <m/>
    <m/>
    <m/>
    <n v="-2555.8481600000009"/>
    <n v="764.47215999999798"/>
    <n v="31"/>
    <n v="215.89616834866683"/>
    <n v="28.837038209717036"/>
    <n v="154.59611503901806"/>
    <n v="0"/>
    <n v="0"/>
    <n v="0"/>
    <n v="0"/>
    <n v="0"/>
    <n v="0"/>
    <n v="0"/>
    <n v="0"/>
    <n v="764.39835550229327"/>
    <n v="0"/>
    <n v="0"/>
    <n v="0"/>
    <n v="31.257171360584493"/>
    <n v="0"/>
    <n v="-657.20259853357948"/>
    <m/>
    <n v="0"/>
    <n v="0"/>
    <n v="0"/>
    <n v="0"/>
    <n v="-98.475707182904898"/>
    <n v="-7.5142060464561169"/>
    <n v="0"/>
    <n v="0"/>
    <m/>
    <m/>
    <n v="6490.2923440394898"/>
    <n v="0"/>
    <n v="0"/>
    <n v="0"/>
    <n v="-2555.8481600000014"/>
    <n v="764.47215999999753"/>
    <n v="0"/>
    <n v="0"/>
    <n v="-2006.8043957332666"/>
    <n v="0"/>
    <n v="0"/>
    <n v="0"/>
    <n v="0"/>
    <n v="0"/>
    <n v="0"/>
    <n v="0"/>
    <n v="0"/>
    <n v="0"/>
    <n v="0"/>
    <n v="0"/>
    <n v="0"/>
    <n v="3631.726480089489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7"/>
    <s v="Regular"/>
    <s v="Azul"/>
    <s v="A4"/>
    <s v="Serviço público"/>
    <s v="Água, esgoto e saneamento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497.4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08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1.002"/>
    <n v="1.002"/>
    <n v="1.002"/>
    <n v="1.002"/>
    <m/>
    <n v="333.61"/>
    <n v="128.11000000000001"/>
    <m/>
    <n v="462.64344000000006"/>
    <n v="462.64344000000006"/>
    <n v="403.83605999999997"/>
    <n v="0"/>
    <n v="61.338482549278567"/>
    <n v="0"/>
    <n v="0"/>
    <n v="0"/>
    <n v="0"/>
    <n v="194.88519066084964"/>
    <n v="128.36726851803337"/>
    <n v="0"/>
    <n v="0"/>
    <n v="0"/>
    <n v="0"/>
    <n v="0"/>
    <n v="9.4727581139778732"/>
    <m/>
    <n v="0.86210868207688174"/>
    <n v="3.4829722087534836"/>
    <n v="18.579720852935946"/>
    <n v="0"/>
    <n v="0"/>
    <n v="0"/>
    <n v="0"/>
    <n v="0"/>
    <n v="0"/>
    <n v="0"/>
    <n v="0"/>
    <n v="0"/>
    <n v="0"/>
    <m/>
    <n v="0"/>
    <n v="0"/>
    <n v="0"/>
    <n v="0"/>
    <n v="0"/>
    <n v="13.595507578640634"/>
    <n v="0"/>
    <n v="0"/>
    <n v="0"/>
    <n v="137.01"/>
    <n v="2"/>
    <m/>
    <m/>
    <m/>
    <m/>
    <m/>
    <m/>
    <m/>
    <m/>
    <m/>
    <n v="141.96277609667399"/>
    <m/>
    <m/>
    <m/>
    <m/>
    <m/>
    <m/>
    <m/>
    <m/>
    <m/>
    <m/>
    <m/>
    <m/>
    <n v="403.03"/>
    <n v="-59.643440000000055"/>
    <m/>
    <m/>
    <m/>
    <m/>
    <n v="-64.679100000000005"/>
    <n v="5.8717199999999856"/>
    <n v="31"/>
    <n v="1.4439991289673912"/>
    <n v="0.25424237807059802"/>
    <n v="1.3562417758220171"/>
    <n v="0"/>
    <n v="0"/>
    <n v="0"/>
    <n v="0"/>
    <n v="0"/>
    <n v="0"/>
    <n v="0"/>
    <n v="0"/>
    <n v="5.8711531260601078"/>
    <n v="0"/>
    <n v="0"/>
    <n v="0"/>
    <n v="0.62181978118106684"/>
    <n v="0"/>
    <n v="-5.8020795995746468"/>
    <m/>
    <n v="0"/>
    <n v="0"/>
    <n v="0"/>
    <n v="0"/>
    <n v="-0.75636734682399087"/>
    <n v="-0.10101098576775647"/>
    <n v="0"/>
    <n v="0"/>
    <m/>
    <m/>
    <m/>
    <n v="194.88519066084964"/>
    <n v="0"/>
    <n v="0"/>
    <n v="-64.679100000000005"/>
    <n v="5.8717199999999821"/>
    <n v="0"/>
    <n v="0"/>
    <n v="-60.258681204195824"/>
    <n v="0"/>
    <n v="0"/>
    <n v="0"/>
    <n v="0"/>
    <n v="0"/>
    <n v="0"/>
    <n v="0"/>
    <n v="0"/>
    <n v="0"/>
    <n v="0"/>
    <n v="0"/>
    <n v="0"/>
    <n v="32.06251187743287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09"/>
    <s v="Sistema de Compensação"/>
    <s v="Convencional"/>
    <s v="B3"/>
    <s v="Consumo próprio"/>
    <s v="Não se aplica"/>
    <s v="Não se aplica"/>
    <s v="Não se aplica"/>
    <s v="Não se aplica"/>
    <s v="CATIVO"/>
    <x v="8"/>
    <n v="0"/>
    <n v="0"/>
    <n v="0.03"/>
    <n v="0.03"/>
    <n v="0.03"/>
    <n v="0.03"/>
    <m/>
    <n v="333.61"/>
    <n v="128.11000000000001"/>
    <m/>
    <n v="13.851600000000001"/>
    <n v="13.851600000000001"/>
    <n v="12.0909"/>
    <n v="0"/>
    <n v="1.8364815134514538"/>
    <n v="0"/>
    <n v="0"/>
    <n v="0"/>
    <n v="0"/>
    <n v="5.8348859479296298"/>
    <n v="3.8433313927554895"/>
    <n v="0"/>
    <n v="0"/>
    <n v="0"/>
    <n v="0"/>
    <n v="0"/>
    <n v="0.28361551239454713"/>
    <m/>
    <n v="2.581163718793059E-2"/>
    <n v="0.1042806050524995"/>
    <n v="0.55627906745317202"/>
    <n v="0"/>
    <n v="0"/>
    <n v="0"/>
    <n v="0"/>
    <n v="0"/>
    <n v="0"/>
    <n v="0"/>
    <n v="0"/>
    <n v="0"/>
    <n v="0"/>
    <m/>
    <n v="0"/>
    <n v="0"/>
    <n v="0"/>
    <n v="0"/>
    <n v="0"/>
    <n v="0.40705112510900099"/>
    <n v="0"/>
    <n v="0"/>
    <n v="0"/>
    <n v="4.03"/>
    <n v="1"/>
    <m/>
    <m/>
    <m/>
    <m/>
    <m/>
    <m/>
    <m/>
    <m/>
    <m/>
    <n v="4.2503825178644909"/>
    <m/>
    <m/>
    <m/>
    <m/>
    <m/>
    <m/>
    <m/>
    <m/>
    <m/>
    <m/>
    <m/>
    <m/>
    <n v="12.0909"/>
    <n v="-1.7907000000000011"/>
    <m/>
    <m/>
    <m/>
    <m/>
    <n v="-1.9365000000000003"/>
    <n v="0.17579999999999954"/>
    <n v="31"/>
    <n v="4.3233506855312243E-2"/>
    <n v="7.6120472476226969E-3"/>
    <n v="4.0606041192275955E-2"/>
    <n v="0"/>
    <n v="0"/>
    <n v="0"/>
    <n v="0"/>
    <n v="0"/>
    <n v="0"/>
    <n v="0"/>
    <n v="0"/>
    <n v="0.17578302772635102"/>
    <n v="0"/>
    <n v="0"/>
    <n v="0"/>
    <n v="1.8617358717996024E-2"/>
    <n v="0"/>
    <n v="-0.17371495807109683"/>
    <m/>
    <n v="0"/>
    <n v="0"/>
    <n v="0"/>
    <n v="0"/>
    <n v="-2.2645728946826149E-2"/>
    <n v="-3.0242810110106717E-3"/>
    <n v="0"/>
    <n v="0"/>
    <m/>
    <m/>
    <m/>
    <n v="5.8348859479296298"/>
    <n v="0"/>
    <n v="0"/>
    <n v="-1.9365000000000006"/>
    <n v="0.17579999999999973"/>
    <n v="0"/>
    <n v="0"/>
    <n v="-1.8041521318621498"/>
    <n v="0"/>
    <n v="0"/>
    <n v="0"/>
    <n v="0"/>
    <n v="0"/>
    <n v="0"/>
    <n v="0"/>
    <n v="0"/>
    <n v="0"/>
    <n v="0"/>
    <n v="0"/>
    <n v="0"/>
    <n v="0.959955445432121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0"/>
    <s v="Regular"/>
    <s v="Verde"/>
    <s v="A4"/>
    <s v="Consumo próprio"/>
    <s v="Não se aplica"/>
    <s v="Não se aplica"/>
    <s v="Não se aplica"/>
    <s v="Ponta"/>
    <s v="CATIVO"/>
    <x v="8"/>
    <n v="0"/>
    <n v="0"/>
    <n v="1.0860000000000001"/>
    <n v="1.0860000000000001"/>
    <n v="1.0860000000000001"/>
    <n v="1.0860000000000001"/>
    <m/>
    <n v="1351.49"/>
    <n v="128.11000000000001"/>
    <m/>
    <n v="1606.8456000000001"/>
    <n v="1606.8456000000001"/>
    <n v="1240.1142600000003"/>
    <n v="0"/>
    <n v="57.838148784640133"/>
    <n v="0"/>
    <n v="0"/>
    <n v="0"/>
    <n v="0"/>
    <n v="1220.6038692026864"/>
    <n v="139.12859641774872"/>
    <n v="0"/>
    <n v="0"/>
    <n v="0"/>
    <n v="0"/>
    <n v="0"/>
    <n v="10.266881548682607"/>
    <m/>
    <n v="0.5338783088236575"/>
    <n v="22.558966616390464"/>
    <n v="119.99439617037245"/>
    <n v="0"/>
    <n v="0"/>
    <n v="0"/>
    <n v="0"/>
    <n v="0"/>
    <n v="0"/>
    <n v="0"/>
    <n v="0"/>
    <n v="0"/>
    <n v="0"/>
    <m/>
    <n v="0"/>
    <n v="0"/>
    <n v="0"/>
    <n v="0"/>
    <n v="0"/>
    <n v="5.6891362312389022"/>
    <n v="0"/>
    <n v="0"/>
    <n v="0"/>
    <n v="0"/>
    <n v="0"/>
    <m/>
    <m/>
    <m/>
    <m/>
    <m/>
    <m/>
    <m/>
    <m/>
    <m/>
    <n v="144.81773264898763"/>
    <m/>
    <m/>
    <m/>
    <m/>
    <m/>
    <m/>
    <m/>
    <m/>
    <m/>
    <m/>
    <m/>
    <m/>
    <n v="1244.6819"/>
    <n v="-362.19370000000004"/>
    <m/>
    <m/>
    <m/>
    <m/>
    <n v="-373.09529999999995"/>
    <n v="6.3639599999999845"/>
    <n v="31"/>
    <n v="10.676041308877188"/>
    <n v="1.6467100440686124"/>
    <n v="8.7590881606314497"/>
    <n v="0"/>
    <n v="0"/>
    <n v="0"/>
    <n v="0"/>
    <n v="0"/>
    <n v="0"/>
    <n v="0"/>
    <n v="0"/>
    <n v="6.3633456036939151"/>
    <n v="0"/>
    <n v="0"/>
    <n v="0"/>
    <n v="0.26020488208740655"/>
    <n v="0"/>
    <n v="-5.4709788894912208"/>
    <m/>
    <n v="0"/>
    <n v="0"/>
    <n v="0"/>
    <n v="0"/>
    <n v="-0.81977538787510618"/>
    <n v="-6.2553104237837553E-2"/>
    <n v="0"/>
    <n v="0"/>
    <m/>
    <m/>
    <m/>
    <n v="1220.6038692026864"/>
    <n v="0"/>
    <n v="0"/>
    <n v="-373.09529999999995"/>
    <n v="6.3639599999999916"/>
    <n v="0"/>
    <n v="0"/>
    <n v="-377.41184530994724"/>
    <n v="0"/>
    <n v="0"/>
    <n v="0"/>
    <n v="0"/>
    <n v="0"/>
    <n v="0"/>
    <n v="0"/>
    <n v="0"/>
    <n v="0"/>
    <n v="0"/>
    <n v="0"/>
    <n v="0"/>
    <n v="30.23283679843921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1"/>
    <s v="Regular"/>
    <s v="Verde"/>
    <s v="A4"/>
    <s v="Consumo próprio"/>
    <s v="Não se aplica"/>
    <s v="Não se aplica"/>
    <s v="Não se aplica"/>
    <s v="Fora ponta"/>
    <s v="CATIVO"/>
    <x v="8"/>
    <n v="0"/>
    <n v="0"/>
    <n v="11.667999999999999"/>
    <n v="11.667999999999999"/>
    <n v="11.667999999999999"/>
    <n v="11.667999999999999"/>
    <m/>
    <n v="96.28"/>
    <n v="128.11000000000001"/>
    <m/>
    <n v="2618.1825199999998"/>
    <n v="2618.1825199999998"/>
    <n v="2621.0995199999998"/>
    <n v="0"/>
    <n v="621.41392266959576"/>
    <n v="0"/>
    <n v="0"/>
    <n v="0"/>
    <n v="0"/>
    <n v="0"/>
    <n v="1494.7996896890349"/>
    <n v="0"/>
    <n v="0"/>
    <n v="0"/>
    <n v="0"/>
    <n v="0"/>
    <n v="110.30752662065252"/>
    <m/>
    <n v="5.7359964156118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124163486275791"/>
    <n v="0"/>
    <n v="0"/>
    <n v="0"/>
    <n v="0"/>
    <n v="0"/>
    <m/>
    <m/>
    <m/>
    <m/>
    <m/>
    <m/>
    <m/>
    <m/>
    <m/>
    <n v="1555.9238531753108"/>
    <m/>
    <m/>
    <m/>
    <m/>
    <m/>
    <m/>
    <m/>
    <m/>
    <m/>
    <m/>
    <m/>
    <m/>
    <n v="2621.5488"/>
    <n v="3.3362799999999879"/>
    <m/>
    <m/>
    <m/>
    <m/>
    <n v="-65.45747999999999"/>
    <n v="68.374479999999821"/>
    <n v="31"/>
    <n v="2.9034958927613843"/>
    <n v="0"/>
    <n v="0"/>
    <n v="0"/>
    <n v="0"/>
    <n v="0"/>
    <n v="0"/>
    <n v="0"/>
    <n v="0"/>
    <n v="0"/>
    <n v="0"/>
    <n v="68.367878917035341"/>
    <n v="0"/>
    <n v="0"/>
    <n v="0"/>
    <n v="2.7956450867365135"/>
    <n v="0"/>
    <n v="-58.780277792434276"/>
    <m/>
    <n v="0"/>
    <n v="0"/>
    <n v="0"/>
    <n v="0"/>
    <n v="-8.8076788450522372"/>
    <n v="-0.67207147352402252"/>
    <n v="0"/>
    <n v="0"/>
    <m/>
    <m/>
    <m/>
    <n v="0"/>
    <n v="0"/>
    <n v="0"/>
    <n v="-65.457480000000032"/>
    <n v="68.374479999999949"/>
    <n v="0"/>
    <n v="0"/>
    <n v="0"/>
    <n v="0"/>
    <n v="0"/>
    <n v="0"/>
    <n v="0"/>
    <n v="0"/>
    <n v="0"/>
    <n v="0"/>
    <n v="0"/>
    <n v="0"/>
    <n v="0"/>
    <n v="0"/>
    <n v="0"/>
    <n v="324.822043981757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2"/>
    <s v="Regular"/>
    <s v="Verde"/>
    <s v="A4"/>
    <s v="Consumo próprio"/>
    <s v="Não se aplica"/>
    <s v="Não se aplica"/>
    <s v="Não se aplica"/>
    <s v="Não se aplica"/>
    <s v="CATIVO"/>
    <x v="8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79.73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1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13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3.34"/>
    <n v="9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14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565.3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15"/>
    <s v="Regular"/>
    <s v="Convencional"/>
    <s v="B2"/>
    <s v="Rural"/>
    <s v="Agropecuária rural"/>
    <s v="IRRIG./AQUIC."/>
    <s v="Não se aplica"/>
    <s v="Não se aplica"/>
    <s v="CATIVO"/>
    <x v="8"/>
    <n v="0"/>
    <n v="0"/>
    <n v="10.407999999999999"/>
    <n v="10.407999999999999"/>
    <n v="10.407999999999999"/>
    <n v="10.407999999999999"/>
    <m/>
    <n v="333.61"/>
    <n v="128.11000000000001"/>
    <m/>
    <n v="4805.58176"/>
    <n v="4805.58176"/>
    <n v="4194.7362400000002"/>
    <n v="0"/>
    <n v="637.13665306675773"/>
    <n v="0"/>
    <n v="0"/>
    <n v="0"/>
    <n v="0"/>
    <n v="2024.316431535053"/>
    <n v="1333.3797711933046"/>
    <n v="0"/>
    <n v="0"/>
    <n v="0"/>
    <n v="0"/>
    <n v="0"/>
    <n v="98.395675100081547"/>
    <m/>
    <n v="8.9549173283993859"/>
    <n v="36.178417912880491"/>
    <n v="192.99175113508716"/>
    <n v="0"/>
    <n v="0"/>
    <n v="0"/>
    <n v="0"/>
    <n v="0"/>
    <n v="0"/>
    <n v="0"/>
    <n v="0"/>
    <n v="0"/>
    <n v="0"/>
    <m/>
    <n v="0"/>
    <n v="0"/>
    <n v="0"/>
    <n v="0"/>
    <n v="0"/>
    <n v="141.2196036711494"/>
    <n v="0"/>
    <n v="0"/>
    <n v="0"/>
    <n v="0"/>
    <n v="0"/>
    <m/>
    <m/>
    <m/>
    <m/>
    <m/>
    <n v="503.43495999999982"/>
    <m/>
    <m/>
    <m/>
    <n v="1474.5993748644539"/>
    <m/>
    <m/>
    <m/>
    <m/>
    <m/>
    <m/>
    <m/>
    <m/>
    <m/>
    <m/>
    <m/>
    <m/>
    <n v="3692.0106000000001"/>
    <n v="-536.99796000000015"/>
    <m/>
    <m/>
    <m/>
    <m/>
    <n v="-671.83640000000014"/>
    <n v="60.990879999999841"/>
    <n v="31"/>
    <n v="14.999144645003071"/>
    <n v="2.6408729251085674"/>
    <n v="14.087589224306925"/>
    <n v="0"/>
    <n v="0"/>
    <n v="0"/>
    <n v="0"/>
    <n v="0"/>
    <n v="0"/>
    <n v="0"/>
    <n v="0"/>
    <n v="60.984991752528458"/>
    <n v="0"/>
    <n v="0"/>
    <n v="0"/>
    <n v="6.4589823178967549"/>
    <n v="0"/>
    <n v="-60.267509453465891"/>
    <m/>
    <n v="0"/>
    <n v="0"/>
    <n v="0"/>
    <n v="0"/>
    <n v="-7.8565582292855396"/>
    <n v="-1.0492238920866352"/>
    <n v="0"/>
    <n v="0"/>
    <m/>
    <m/>
    <m/>
    <n v="2024.316431535053"/>
    <n v="0"/>
    <n v="0"/>
    <n v="-671.83640000000014"/>
    <n v="60.990879999999834"/>
    <n v="0"/>
    <n v="0"/>
    <n v="-625.9205129473753"/>
    <n v="0"/>
    <n v="0"/>
    <n v="0"/>
    <n v="0"/>
    <n v="0"/>
    <n v="0"/>
    <n v="0"/>
    <n v="0"/>
    <n v="0"/>
    <n v="0"/>
    <n v="0"/>
    <n v="0"/>
    <n v="333.040542535250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6"/>
    <s v="Refaturamento - Regular"/>
    <s v="Convencional"/>
    <s v="B2"/>
    <s v="Rural"/>
    <s v="Agropecuária rural"/>
    <s v="IRRIG./AQUIC."/>
    <s v="Não se aplica"/>
    <s v="Não se aplica"/>
    <s v="CATIVO"/>
    <x v="8"/>
    <n v="0"/>
    <n v="0"/>
    <n v="-9.6920000000000002"/>
    <n v="-9.6920000000000002"/>
    <n v="-9.6920000000000002"/>
    <n v="-9.6920000000000002"/>
    <m/>
    <n v="333.61"/>
    <n v="128.11000000000001"/>
    <m/>
    <n v="-4474.9902400000001"/>
    <n v="-4474.9902400000001"/>
    <n v="-3906.1667600000001"/>
    <n v="0"/>
    <n v="-593.30596094571638"/>
    <n v="0"/>
    <n v="0"/>
    <n v="0"/>
    <n v="0"/>
    <n v="-1885.0571535777992"/>
    <n v="-1241.6522619528735"/>
    <n v="0"/>
    <n v="0"/>
    <n v="0"/>
    <n v="0"/>
    <n v="0"/>
    <n v="-91.626718204265032"/>
    <m/>
    <n v="-8.3388795875141088"/>
    <n v="-33.689587472294171"/>
    <n v="-179.71522405853813"/>
    <n v="0"/>
    <n v="0"/>
    <n v="0"/>
    <n v="0"/>
    <n v="0"/>
    <n v="0"/>
    <n v="0"/>
    <n v="0"/>
    <n v="0"/>
    <n v="0"/>
    <m/>
    <n v="0"/>
    <n v="0"/>
    <n v="0"/>
    <n v="0"/>
    <n v="0"/>
    <n v="-131.50465015188126"/>
    <n v="0"/>
    <n v="0"/>
    <n v="0"/>
    <n v="0"/>
    <n v="0"/>
    <m/>
    <m/>
    <m/>
    <m/>
    <m/>
    <n v="-468.80203999999992"/>
    <m/>
    <m/>
    <m/>
    <n v="-1373.1569121047546"/>
    <m/>
    <m/>
    <m/>
    <m/>
    <m/>
    <m/>
    <m/>
    <m/>
    <m/>
    <m/>
    <m/>
    <m/>
    <n v="-3436.6554000000001"/>
    <n v="501.36803999999893"/>
    <m/>
    <m/>
    <m/>
    <m/>
    <n v="625.61860000000013"/>
    <n v="-56.795119999999855"/>
    <n v="31"/>
    <n v="-13.967304948055244"/>
    <n v="-2.45919873079864"/>
    <n v="-13.118458374517957"/>
    <n v="0"/>
    <n v="0"/>
    <n v="0"/>
    <n v="0"/>
    <n v="0"/>
    <n v="0"/>
    <n v="0"/>
    <n v="0"/>
    <n v="-56.789636824126319"/>
    <n v="0"/>
    <n v="0"/>
    <n v="0"/>
    <n v="-6.0146480231605608"/>
    <n v="0"/>
    <n v="56.121512454169078"/>
    <m/>
    <n v="0"/>
    <n v="0"/>
    <n v="0"/>
    <n v="0"/>
    <n v="7.3160801650879677"/>
    <n v="0.97704438529051352"/>
    <n v="0"/>
    <n v="0"/>
    <m/>
    <m/>
    <m/>
    <n v="-1885.0571535777992"/>
    <n v="0"/>
    <n v="0"/>
    <n v="625.61860000000024"/>
    <n v="-56.79511999999977"/>
    <n v="0"/>
    <n v="0"/>
    <n v="582.86141540026551"/>
    <n v="0"/>
    <n v="0"/>
    <n v="0"/>
    <n v="0"/>
    <n v="0"/>
    <n v="0"/>
    <n v="0"/>
    <n v="0"/>
    <n v="0"/>
    <n v="0"/>
    <n v="0"/>
    <n v="0"/>
    <n v="-310.1296059042708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7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1.242"/>
    <n v="0.49680000000000002"/>
    <n v="1.242"/>
    <n v="0.49680000000000002"/>
    <m/>
    <n v="333.61"/>
    <n v="128.11000000000001"/>
    <m/>
    <n v="573.45623999999998"/>
    <n v="573.45623999999998"/>
    <n v="500.56326000000001"/>
    <n v="0"/>
    <n v="76.03033465689019"/>
    <n v="0"/>
    <n v="0"/>
    <n v="0"/>
    <n v="0"/>
    <n v="241.5642782442867"/>
    <n v="159.11391966007727"/>
    <n v="0"/>
    <n v="0"/>
    <n v="0"/>
    <n v="0"/>
    <n v="0"/>
    <n v="11.741682213134251"/>
    <m/>
    <n v="1.0686017795803264"/>
    <n v="4.3172170491734789"/>
    <n v="23.029953392561321"/>
    <n v="0"/>
    <n v="0"/>
    <n v="0"/>
    <n v="0"/>
    <n v="0"/>
    <n v="0"/>
    <n v="0"/>
    <n v="0"/>
    <n v="0"/>
    <n v="0"/>
    <m/>
    <n v="0"/>
    <n v="0"/>
    <n v="0"/>
    <n v="0"/>
    <n v="0"/>
    <n v="16.851916579512643"/>
    <n v="0"/>
    <n v="0"/>
    <n v="0"/>
    <n v="0"/>
    <n v="0"/>
    <m/>
    <m/>
    <m/>
    <m/>
    <m/>
    <m/>
    <n v="324.36817199999996"/>
    <m/>
    <m/>
    <n v="175.96583623958992"/>
    <m/>
    <m/>
    <m/>
    <m/>
    <m/>
    <m/>
    <m/>
    <m/>
    <m/>
    <m/>
    <m/>
    <m/>
    <n v="177.33"/>
    <n v="-24.559775999999943"/>
    <m/>
    <m/>
    <m/>
    <m/>
    <n v="-80.17110000000001"/>
    <n v="7.2781199999999817"/>
    <n v="31"/>
    <n v="1.7898671838099176"/>
    <n v="0.3151387560515797"/>
    <n v="1.6810901053602265"/>
    <n v="0"/>
    <n v="0"/>
    <n v="0"/>
    <n v="0"/>
    <n v="0"/>
    <n v="0"/>
    <n v="0"/>
    <n v="0"/>
    <n v="7.2774173478709088"/>
    <n v="0"/>
    <n v="0"/>
    <n v="0"/>
    <n v="0.77075865092503193"/>
    <n v="0"/>
    <n v="-7.1917992641434125"/>
    <m/>
    <n v="0"/>
    <n v="0"/>
    <n v="0"/>
    <n v="0"/>
    <n v="-0.93753317839860095"/>
    <n v="-0.12520523385584181"/>
    <n v="0"/>
    <n v="0"/>
    <m/>
    <m/>
    <m/>
    <n v="241.5642782442867"/>
    <n v="0"/>
    <n v="0"/>
    <n v="-80.171099999999967"/>
    <n v="7.2781199999999728"/>
    <n v="0"/>
    <n v="0"/>
    <n v="-74.691898259093051"/>
    <n v="0"/>
    <n v="0"/>
    <n v="0"/>
    <n v="0"/>
    <n v="0"/>
    <n v="0"/>
    <n v="0"/>
    <n v="0"/>
    <n v="0"/>
    <n v="0"/>
    <n v="0"/>
    <n v="0"/>
    <n v="39.7421554408898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18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0.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19"/>
    <s v="Regular"/>
    <s v="Convencional"/>
    <s v="B2"/>
    <s v="Rural"/>
    <s v="Aquicultura"/>
    <s v="IRRIG./AQUIC."/>
    <s v="Não se aplica"/>
    <s v="Não se aplica"/>
    <s v="CATIVO"/>
    <x v="8"/>
    <n v="0"/>
    <n v="0"/>
    <n v="1.103"/>
    <n v="1.103"/>
    <n v="1.103"/>
    <n v="1.103"/>
    <m/>
    <n v="333.61"/>
    <n v="128.11000000000001"/>
    <m/>
    <n v="509.27716000000004"/>
    <n v="509.27716000000004"/>
    <n v="444.54209000000003"/>
    <n v="0"/>
    <n v="67.521303644565123"/>
    <n v="0"/>
    <n v="0"/>
    <n v="0"/>
    <n v="0"/>
    <n v="214.52930668554606"/>
    <n v="141.30648420697685"/>
    <n v="0"/>
    <n v="0"/>
    <n v="0"/>
    <n v="0"/>
    <n v="0"/>
    <n v="10.427597005706183"/>
    <m/>
    <n v="0.94900786060958131"/>
    <n v="3.834050245763565"/>
    <n v="20.452527046694957"/>
    <n v="0"/>
    <n v="0"/>
    <n v="0"/>
    <n v="0"/>
    <n v="0"/>
    <n v="0"/>
    <n v="0"/>
    <n v="0"/>
    <n v="0"/>
    <n v="0"/>
    <m/>
    <n v="0"/>
    <n v="0"/>
    <n v="0"/>
    <n v="0"/>
    <n v="0"/>
    <n v="14.965913033174271"/>
    <n v="0"/>
    <n v="0"/>
    <n v="0"/>
    <n v="0"/>
    <n v="0"/>
    <m/>
    <m/>
    <m/>
    <m/>
    <m/>
    <n v="53.352109999999996"/>
    <m/>
    <m/>
    <m/>
    <n v="156.27239724015112"/>
    <m/>
    <m/>
    <m/>
    <m/>
    <m/>
    <m/>
    <m/>
    <m/>
    <m/>
    <m/>
    <m/>
    <m/>
    <n v="390.12600000000009"/>
    <n v="-58.074959999999862"/>
    <m/>
    <m/>
    <m/>
    <m/>
    <n v="-71.198650000000015"/>
    <n v="6.4635799999999834"/>
    <n v="31"/>
    <n v="1.589551935380257"/>
    <n v="0.27986960380426096"/>
    <n v="1.4929487811693498"/>
    <n v="0"/>
    <n v="0"/>
    <n v="0"/>
    <n v="0"/>
    <n v="0"/>
    <n v="0"/>
    <n v="0"/>
    <n v="0"/>
    <n v="6.4629559860721315"/>
    <n v="0"/>
    <n v="0"/>
    <n v="0"/>
    <n v="0.68449822219831979"/>
    <n v="0"/>
    <n v="-6.3869199584139977"/>
    <m/>
    <n v="0"/>
    <n v="0"/>
    <n v="0"/>
    <n v="0"/>
    <n v="-0.83260796761164002"/>
    <n v="-0.11119273183815892"/>
    <n v="0"/>
    <n v="0"/>
    <m/>
    <m/>
    <m/>
    <n v="214.52930668554606"/>
    <n v="0"/>
    <n v="0"/>
    <n v="-71.198649999999986"/>
    <n v="6.463579999999979"/>
    <n v="0"/>
    <n v="0"/>
    <n v="-66.332660048131714"/>
    <n v="0"/>
    <n v="0"/>
    <n v="0"/>
    <n v="0"/>
    <n v="0"/>
    <n v="0"/>
    <n v="0"/>
    <n v="0"/>
    <n v="0"/>
    <n v="0"/>
    <n v="0"/>
    <n v="0"/>
    <n v="35.2943618770543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0"/>
    <s v="Regular"/>
    <s v="Convencional"/>
    <s v="B2"/>
    <s v="Rural"/>
    <s v="Aquicultura"/>
    <s v="IRRIG./AQUIC. PR"/>
    <s v="Não se aplica"/>
    <s v="Não se aplica"/>
    <s v="CATIVO"/>
    <x v="8"/>
    <n v="0"/>
    <n v="0"/>
    <n v="2.02"/>
    <n v="0.80800000000000005"/>
    <n v="2.02"/>
    <n v="0.80800000000000005"/>
    <m/>
    <n v="333.61"/>
    <n v="128.11000000000001"/>
    <m/>
    <n v="932.67440000000011"/>
    <n v="932.67440000000011"/>
    <n v="814.12059999999997"/>
    <n v="0"/>
    <n v="123.65642190573124"/>
    <n v="0"/>
    <n v="0"/>
    <n v="0"/>
    <n v="0"/>
    <n v="392.88232049392843"/>
    <n v="258.78431377886966"/>
    <n v="0"/>
    <n v="0"/>
    <n v="0"/>
    <n v="0"/>
    <n v="0"/>
    <n v="19.096777834566172"/>
    <m/>
    <n v="1.737983570653993"/>
    <n v="7.0215607402016333"/>
    <n v="37.456123875180253"/>
    <n v="0"/>
    <n v="0"/>
    <n v="0"/>
    <n v="0"/>
    <n v="0"/>
    <n v="0"/>
    <n v="0"/>
    <n v="0"/>
    <n v="0"/>
    <n v="0"/>
    <m/>
    <n v="0"/>
    <n v="0"/>
    <n v="0"/>
    <n v="0"/>
    <n v="0"/>
    <n v="27.408109090672735"/>
    <n v="0"/>
    <n v="0"/>
    <n v="0"/>
    <n v="0"/>
    <n v="0"/>
    <m/>
    <m/>
    <m/>
    <m/>
    <m/>
    <m/>
    <n v="527.55531999999994"/>
    <m/>
    <m/>
    <n v="286.19242286954238"/>
    <m/>
    <m/>
    <m/>
    <m/>
    <m/>
    <m/>
    <m/>
    <m/>
    <m/>
    <m/>
    <m/>
    <m/>
    <n v="287.27460000000002"/>
    <n v="-41.061959999999942"/>
    <m/>
    <m/>
    <m/>
    <m/>
    <n v="-130.39100000000002"/>
    <n v="11.837199999999971"/>
    <n v="31"/>
    <n v="2.9110561282576555"/>
    <n v="0.51254451467326145"/>
    <n v="2.7341401069465832"/>
    <n v="0"/>
    <n v="0"/>
    <n v="0"/>
    <n v="0"/>
    <n v="0"/>
    <n v="0"/>
    <n v="0"/>
    <n v="0"/>
    <n v="11.83605720024093"/>
    <n v="0"/>
    <n v="0"/>
    <n v="0"/>
    <n v="1.2535688203450661"/>
    <n v="0"/>
    <n v="-11.696807176787203"/>
    <m/>
    <n v="0"/>
    <n v="0"/>
    <n v="0"/>
    <n v="0"/>
    <n v="-1.5248124157529581"/>
    <n v="-0.20363492140805173"/>
    <n v="0"/>
    <n v="0"/>
    <m/>
    <m/>
    <m/>
    <n v="392.88232049392843"/>
    <n v="0"/>
    <n v="0"/>
    <n v="-130.39099999999996"/>
    <n v="11.837199999999939"/>
    <n v="0"/>
    <n v="0"/>
    <n v="-121.47957687871815"/>
    <n v="0"/>
    <n v="0"/>
    <n v="0"/>
    <n v="0"/>
    <n v="0"/>
    <n v="0"/>
    <n v="0"/>
    <n v="0"/>
    <n v="0"/>
    <n v="0"/>
    <n v="0"/>
    <n v="0"/>
    <n v="64.63699999242955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1"/>
    <s v="Regular"/>
    <s v="Convencional"/>
    <s v="B1"/>
    <s v="Residencial"/>
    <s v="Residencial"/>
    <s v="Não se aplica"/>
    <s v="Não se aplica"/>
    <s v="Não se aplica"/>
    <s v="CATIVO"/>
    <x v="9"/>
    <n v="0"/>
    <n v="0"/>
    <n v="4518.8620000000001"/>
    <n v="4518.8620000000001"/>
    <n v="4518.8620000000001"/>
    <n v="4518.8620000000001"/>
    <m/>
    <n v="333.61"/>
    <n v="128.11000000000001"/>
    <m/>
    <n v="2086448.9626400003"/>
    <n v="2086448.9626400003"/>
    <n v="1821236.9518599999"/>
    <n v="0"/>
    <n v="276626.88416127546"/>
    <n v="0"/>
    <n v="0"/>
    <n v="0"/>
    <n v="0"/>
    <n v="878901.47948110616"/>
    <n v="578916.13947099529"/>
    <n v="0"/>
    <n v="0"/>
    <n v="0"/>
    <n v="0"/>
    <n v="0"/>
    <n v="42720.645385674936"/>
    <m/>
    <n v="3887.9742148775467"/>
    <n v="15707.655450291601"/>
    <n v="83791.611310319204"/>
    <n v="0"/>
    <n v="0"/>
    <n v="0"/>
    <n v="0"/>
    <n v="0"/>
    <n v="0"/>
    <n v="0"/>
    <n v="0"/>
    <n v="0"/>
    <n v="0"/>
    <m/>
    <n v="0"/>
    <n v="0"/>
    <n v="0"/>
    <n v="0"/>
    <n v="0"/>
    <n v="61313.595377077021"/>
    <n v="0"/>
    <n v="0"/>
    <n v="0"/>
    <n v="395618.86"/>
    <n v="20592"/>
    <m/>
    <m/>
    <m/>
    <m/>
    <m/>
    <m/>
    <m/>
    <m/>
    <m/>
    <n v="640229.73484807229"/>
    <m/>
    <m/>
    <m/>
    <m/>
    <m/>
    <m/>
    <m/>
    <m/>
    <m/>
    <m/>
    <m/>
    <m/>
    <n v="1821236.1457999998"/>
    <n v="-265212.84684000048"/>
    <m/>
    <m/>
    <m/>
    <m/>
    <n v="-291692.54210000008"/>
    <n v="26480.531319999933"/>
    <n v="30"/>
    <n v="6512.2083751736209"/>
    <n v="1146.5930349828923"/>
    <n v="6116.4365504736779"/>
    <n v="0"/>
    <n v="0"/>
    <n v="0"/>
    <n v="0"/>
    <n v="0"/>
    <n v="0"/>
    <n v="0"/>
    <n v="0"/>
    <n v="26477.974807918421"/>
    <n v="0"/>
    <n v="0"/>
    <n v="0"/>
    <n v="2804.3091617040263"/>
    <n v="0"/>
    <n v="-26166.464095302421"/>
    <m/>
    <n v="0"/>
    <n v="0"/>
    <n v="0"/>
    <n v="0"/>
    <n v="-3411.0974666704205"/>
    <n v="-455.54361793258977"/>
    <n v="0"/>
    <n v="0"/>
    <m/>
    <m/>
    <m/>
    <n v="878901.47948110616"/>
    <n v="0"/>
    <n v="0"/>
    <n v="-291692.5421000002"/>
    <n v="26480.531319999951"/>
    <n v="0"/>
    <n v="0"/>
    <n v="-271757.15036302875"/>
    <n v="0"/>
    <n v="0"/>
    <n v="0"/>
    <n v="0"/>
    <n v="0"/>
    <n v="0"/>
    <n v="0"/>
    <n v="0"/>
    <n v="0"/>
    <n v="0"/>
    <n v="0"/>
    <n v="0"/>
    <n v="144596.8728018763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2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39.527000000000001"/>
    <n v="39.527000000000001"/>
    <n v="39.527000000000001"/>
    <n v="39.527000000000001"/>
    <m/>
    <n v="333.61"/>
    <n v="128.11000000000001"/>
    <m/>
    <n v="18250.406440000002"/>
    <n v="18250.406440000002"/>
    <n v="15930.56681"/>
    <n v="0"/>
    <n v="2419.6868260731876"/>
    <n v="0"/>
    <n v="0"/>
    <n v="0"/>
    <n v="0"/>
    <n v="7687.8512287938165"/>
    <n v="5063.8453320482085"/>
    <n v="0"/>
    <n v="0"/>
    <n v="0"/>
    <n v="0"/>
    <n v="0"/>
    <n v="373.68234528064215"/>
    <m/>
    <n v="34.008552770911081"/>
    <n v="137.39664919700493"/>
    <n v="732.93475664071775"/>
    <n v="0"/>
    <n v="0"/>
    <n v="0"/>
    <n v="0"/>
    <n v="0"/>
    <n v="0"/>
    <n v="0"/>
    <n v="0"/>
    <n v="0"/>
    <n v="0"/>
    <m/>
    <n v="0"/>
    <n v="0"/>
    <n v="0"/>
    <n v="0"/>
    <n v="0"/>
    <n v="536.31699407278279"/>
    <n v="0"/>
    <n v="0"/>
    <n v="0"/>
    <n v="7644.62"/>
    <n v="82"/>
    <m/>
    <m/>
    <m/>
    <m/>
    <m/>
    <m/>
    <m/>
    <m/>
    <m/>
    <n v="5600.1623261209916"/>
    <m/>
    <m/>
    <m/>
    <m/>
    <m/>
    <m/>
    <m/>
    <m/>
    <m/>
    <m/>
    <m/>
    <m/>
    <n v="15931.775900000001"/>
    <n v="-2318.6605400000008"/>
    <m/>
    <m/>
    <m/>
    <m/>
    <n v="-2551.4678500000005"/>
    <n v="231.62821999999943"/>
    <n v="30"/>
    <n v="56.963027515663271"/>
    <n v="10.029379718559397"/>
    <n v="53.501166340236409"/>
    <n v="0"/>
    <n v="0"/>
    <n v="0"/>
    <n v="0"/>
    <n v="0"/>
    <n v="0"/>
    <n v="0"/>
    <n v="0"/>
    <n v="231.60585789798188"/>
    <n v="0"/>
    <n v="0"/>
    <n v="0"/>
    <n v="24.529611268207645"/>
    <n v="0"/>
    <n v="-228.88103825587541"/>
    <m/>
    <n v="0"/>
    <n v="0"/>
    <n v="0"/>
    <n v="0"/>
    <n v="-29.837257602706529"/>
    <n v="-3.9846918507406244"/>
    <n v="0"/>
    <n v="0"/>
    <m/>
    <m/>
    <m/>
    <n v="7687.8512287938165"/>
    <n v="0"/>
    <n v="0"/>
    <n v="-2551.4678500000009"/>
    <n v="231.6282199999996"/>
    <n v="0"/>
    <n v="0"/>
    <n v="-2377.0907105371743"/>
    <n v="0"/>
    <n v="0"/>
    <n v="0"/>
    <n v="0"/>
    <n v="0"/>
    <n v="0"/>
    <n v="0"/>
    <n v="0"/>
    <n v="0"/>
    <n v="0"/>
    <n v="0"/>
    <n v="0"/>
    <n v="1264.805296386516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2.44"/>
    <n v="22.44"/>
    <n v="22.44"/>
    <n v="22.44"/>
    <m/>
    <n v="230.94"/>
    <n v="128.11000000000001"/>
    <m/>
    <n v="8057.0820000000003"/>
    <n v="8057.0820000000003"/>
    <n v="6886.8360000000011"/>
    <n v="0"/>
    <n v="0"/>
    <n v="0"/>
    <n v="0"/>
    <n v="0"/>
    <n v="0"/>
    <n v="4364.4946890513638"/>
    <n v="2874.8118817811064"/>
    <n v="0"/>
    <n v="0"/>
    <n v="0"/>
    <n v="0"/>
    <n v="0"/>
    <n v="0"/>
    <m/>
    <n v="19.307104616572083"/>
    <n v="78.001892579269636"/>
    <n v="416.09674245497274"/>
    <n v="0"/>
    <n v="0"/>
    <n v="0"/>
    <n v="0"/>
    <n v="0"/>
    <n v="0"/>
    <n v="0"/>
    <n v="0"/>
    <n v="0"/>
    <n v="0"/>
    <m/>
    <n v="0"/>
    <n v="0"/>
    <n v="0"/>
    <n v="0"/>
    <n v="0"/>
    <n v="304.47424158153279"/>
    <n v="0"/>
    <n v="0"/>
    <n v="0"/>
    <n v="321.64"/>
    <n v="23"/>
    <m/>
    <m/>
    <m/>
    <m/>
    <m/>
    <m/>
    <m/>
    <n v="4476.3312000000005"/>
    <m/>
    <n v="3179.286123362639"/>
    <m/>
    <m/>
    <m/>
    <m/>
    <m/>
    <m/>
    <m/>
    <m/>
    <m/>
    <m/>
    <m/>
    <m/>
    <n v="2410.5048000000002"/>
    <n v="-409.55999999999995"/>
    <m/>
    <m/>
    <m/>
    <m/>
    <n v="-1301.7443999999998"/>
    <n v="131.49839999999966"/>
    <n v="30"/>
    <n v="179.21645701717989"/>
    <n v="5.6938113412217746"/>
    <n v="30.373318811822401"/>
    <n v="0"/>
    <n v="0"/>
    <n v="0"/>
    <n v="0"/>
    <n v="0"/>
    <n v="0"/>
    <n v="0"/>
    <n v="0"/>
    <n v="131.48570473931022"/>
    <n v="0"/>
    <n v="0"/>
    <n v="0"/>
    <n v="13.925784321060974"/>
    <n v="0"/>
    <n v="0"/>
    <m/>
    <n v="0"/>
    <n v="0"/>
    <n v="0"/>
    <n v="0"/>
    <n v="0"/>
    <n v="-2.2621621962359839"/>
    <n v="0"/>
    <n v="0"/>
    <m/>
    <m/>
    <m/>
    <n v="4364.4946890513638"/>
    <n v="0"/>
    <n v="0"/>
    <n v="-1301.7443999999996"/>
    <n v="131.49839999999995"/>
    <n v="0"/>
    <n v="0"/>
    <n v="-1349.5057946328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4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47.252000000000002"/>
    <n v="47.252000000000002"/>
    <n v="47.252000000000002"/>
    <n v="47.252000000000002"/>
    <m/>
    <n v="230.94"/>
    <n v="128.11000000000001"/>
    <m/>
    <n v="16965.830600000001"/>
    <n v="16965.830600000001"/>
    <n v="14501.638800000001"/>
    <n v="0"/>
    <n v="0"/>
    <n v="0"/>
    <n v="0"/>
    <n v="0"/>
    <n v="0"/>
    <n v="9190.3343603856974"/>
    <n v="6053.5031656827468"/>
    <n v="0"/>
    <n v="0"/>
    <n v="0"/>
    <n v="0"/>
    <n v="0"/>
    <n v="0"/>
    <m/>
    <n v="40.65504934680321"/>
    <n v="164.24890499802356"/>
    <n v="876.17661650990954"/>
    <n v="0"/>
    <n v="0"/>
    <n v="0"/>
    <n v="0"/>
    <n v="0"/>
    <n v="0"/>
    <n v="0"/>
    <n v="0"/>
    <n v="0"/>
    <n v="0"/>
    <m/>
    <n v="0"/>
    <n v="0"/>
    <n v="0"/>
    <n v="0"/>
    <n v="0"/>
    <n v="641.13265878835057"/>
    <n v="0"/>
    <n v="0"/>
    <n v="0"/>
    <n v="1188.1099999999999"/>
    <n v="133"/>
    <m/>
    <m/>
    <m/>
    <m/>
    <m/>
    <m/>
    <m/>
    <n v="5800.6555200000003"/>
    <m/>
    <n v="6694.6358244710973"/>
    <m/>
    <m/>
    <m/>
    <m/>
    <m/>
    <m/>
    <m/>
    <m/>
    <m/>
    <m/>
    <m/>
    <m/>
    <n v="8700.6149999999998"/>
    <n v="-1479.3858800000016"/>
    <m/>
    <m/>
    <m/>
    <m/>
    <n v="-2741.0885199999998"/>
    <n v="276.89671999999933"/>
    <n v="30"/>
    <n v="377.37682829660389"/>
    <n v="11.989481884822254"/>
    <n v="63.95722194724749"/>
    <n v="0"/>
    <n v="0"/>
    <n v="0"/>
    <n v="0"/>
    <n v="0"/>
    <n v="0"/>
    <n v="0"/>
    <n v="0"/>
    <n v="276.86998753751777"/>
    <n v="0"/>
    <n v="0"/>
    <n v="0"/>
    <n v="29.323581138091527"/>
    <n v="0"/>
    <n v="0"/>
    <m/>
    <n v="0"/>
    <n v="0"/>
    <n v="0"/>
    <n v="0"/>
    <n v="0"/>
    <n v="-4.7634442110758712"/>
    <n v="0"/>
    <n v="0"/>
    <m/>
    <m/>
    <m/>
    <n v="9190.3343603856974"/>
    <n v="0"/>
    <n v="0"/>
    <n v="-2741.0885199999993"/>
    <n v="276.89671999999882"/>
    <n v="0"/>
    <n v="0"/>
    <n v="-2841.6598844916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5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9.460999999999999"/>
    <n v="49.460999999999999"/>
    <n v="49.460999999999999"/>
    <n v="49.460999999999999"/>
    <m/>
    <n v="230.94"/>
    <n v="128.11000000000001"/>
    <m/>
    <n v="17758.97205"/>
    <n v="17758.97205"/>
    <n v="15179.580900000001"/>
    <n v="0"/>
    <n v="0"/>
    <n v="0"/>
    <n v="0"/>
    <n v="0"/>
    <n v="0"/>
    <n v="9619.9764623515803"/>
    <n v="6336.5004672359755"/>
    <n v="0"/>
    <n v="0"/>
    <n v="0"/>
    <n v="0"/>
    <n v="0"/>
    <n v="0"/>
    <m/>
    <n v="42.555646231741164"/>
    <n v="171.92743355005592"/>
    <n v="917.13729851004473"/>
    <n v="0"/>
    <n v="0"/>
    <n v="0"/>
    <n v="0"/>
    <n v="0"/>
    <n v="0"/>
    <n v="0"/>
    <n v="0"/>
    <n v="0"/>
    <n v="0"/>
    <m/>
    <n v="0"/>
    <n v="0"/>
    <n v="0"/>
    <n v="0"/>
    <n v="0"/>
    <n v="671.10518996720998"/>
    <n v="0"/>
    <n v="0"/>
    <n v="0"/>
    <n v="3143.42"/>
    <n v="349"/>
    <m/>
    <m/>
    <m/>
    <m/>
    <m/>
    <m/>
    <m/>
    <n v="1517.9580900000012"/>
    <m/>
    <n v="7007.6056572031857"/>
    <m/>
    <m/>
    <m/>
    <m/>
    <m/>
    <m/>
    <m/>
    <m/>
    <m/>
    <m/>
    <m/>
    <m/>
    <n v="13661.346599999999"/>
    <n v="-2322.0055500000017"/>
    <m/>
    <m/>
    <m/>
    <m/>
    <n v="-2869.2326099999996"/>
    <n v="289.84145999999924"/>
    <n v="30"/>
    <n v="395.01894743880257"/>
    <n v="12.549982297155537"/>
    <n v="66.947180113705372"/>
    <n v="0"/>
    <n v="0"/>
    <n v="0"/>
    <n v="0"/>
    <n v="0"/>
    <n v="0"/>
    <n v="0"/>
    <n v="0"/>
    <n v="289.81347781243403"/>
    <n v="0"/>
    <n v="0"/>
    <n v="0"/>
    <n v="30.694439318359969"/>
    <n v="0"/>
    <n v="0"/>
    <m/>
    <n v="0"/>
    <n v="0"/>
    <n v="0"/>
    <n v="0"/>
    <n v="0"/>
    <n v="-4.986132102853297"/>
    <n v="0"/>
    <n v="0"/>
    <m/>
    <m/>
    <m/>
    <n v="9619.9764623515803"/>
    <n v="0"/>
    <n v="0"/>
    <n v="-2869.2326099999991"/>
    <n v="289.84145999999873"/>
    <n v="0"/>
    <n v="0"/>
    <n v="-2974.5056198011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6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5.545999999999999"/>
    <n v="25.545999999999999"/>
    <n v="25.545999999999999"/>
    <n v="25.545999999999999"/>
    <m/>
    <n v="230.94"/>
    <n v="128.11000000000001"/>
    <m/>
    <n v="9172.2913000000008"/>
    <n v="9172.2913000000008"/>
    <n v="7840.0673999999999"/>
    <n v="0"/>
    <n v="0"/>
    <n v="0"/>
    <n v="0"/>
    <n v="0"/>
    <n v="0"/>
    <n v="4968.5998808603445"/>
    <n v="3272.7247919777246"/>
    <n v="0"/>
    <n v="0"/>
    <n v="0"/>
    <n v="0"/>
    <n v="0"/>
    <n v="0"/>
    <m/>
    <n v="21.979469453429161"/>
    <n v="88.79841122237174"/>
    <n v="473.69016857195777"/>
    <n v="0"/>
    <n v="0"/>
    <n v="0"/>
    <n v="0"/>
    <n v="0"/>
    <n v="0"/>
    <n v="0"/>
    <n v="0"/>
    <n v="0"/>
    <n v="0"/>
    <m/>
    <n v="0"/>
    <n v="0"/>
    <n v="0"/>
    <n v="0"/>
    <n v="0"/>
    <n v="346.61760140115132"/>
    <n v="0"/>
    <n v="0"/>
    <n v="0"/>
    <n v="2612.1799999999998"/>
    <n v="243"/>
    <m/>
    <m/>
    <m/>
    <m/>
    <m/>
    <m/>
    <m/>
    <m/>
    <m/>
    <n v="3619.3423933788758"/>
    <m/>
    <m/>
    <m/>
    <m/>
    <m/>
    <m/>
    <m/>
    <m/>
    <m/>
    <m/>
    <m/>
    <m/>
    <n v="7841.2950000000001"/>
    <n v="-1331.0263000000014"/>
    <m/>
    <m/>
    <m/>
    <m/>
    <n v="-1481.9234599999997"/>
    <n v="149.69955999999962"/>
    <n v="30"/>
    <n v="204.02244255618825"/>
    <n v="6.481911966258977"/>
    <n v="34.577397609929392"/>
    <n v="0"/>
    <n v="0"/>
    <n v="0"/>
    <n v="0"/>
    <n v="0"/>
    <n v="0"/>
    <n v="0"/>
    <n v="0"/>
    <n v="149.68510754324507"/>
    <n v="0"/>
    <n v="0"/>
    <n v="0"/>
    <n v="15.853301526997541"/>
    <n v="0"/>
    <n v="0"/>
    <m/>
    <n v="0"/>
    <n v="0"/>
    <n v="0"/>
    <n v="0"/>
    <n v="0"/>
    <n v="-2.5752760902426175"/>
    <n v="0"/>
    <n v="0"/>
    <m/>
    <m/>
    <m/>
    <n v="4968.5998808603445"/>
    <n v="0"/>
    <n v="0"/>
    <n v="-1481.92346"/>
    <n v="149.69955999999956"/>
    <n v="0"/>
    <n v="0"/>
    <n v="-1536.2956786850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7"/>
    <s v="Regular"/>
    <s v="Branca"/>
    <s v="B1"/>
    <s v="Residencial"/>
    <s v="Residencial"/>
    <s v="Não se aplica"/>
    <s v="Não se aplica"/>
    <s v="Ponta"/>
    <s v="CATIVO"/>
    <x v="9"/>
    <n v="0"/>
    <n v="0"/>
    <n v="4.5999999999999999E-2"/>
    <n v="4.5999999999999999E-2"/>
    <n v="4.5999999999999999E-2"/>
    <n v="4.5999999999999999E-2"/>
    <m/>
    <n v="701.69"/>
    <n v="128.11000000000001"/>
    <m/>
    <n v="38.1708"/>
    <n v="38.1708"/>
    <n v="30.893599999999999"/>
    <n v="0"/>
    <n v="2.8159383206255626"/>
    <n v="0"/>
    <n v="0"/>
    <n v="0"/>
    <n v="0"/>
    <n v="24.156424352221311"/>
    <n v="5.8931081355584176"/>
    <n v="0"/>
    <n v="0"/>
    <n v="0"/>
    <n v="0"/>
    <n v="0"/>
    <n v="0.43487711900497222"/>
    <m/>
    <n v="3.9577843688160239E-2"/>
    <n v="0.43173915918156619"/>
    <n v="2.3029870561051653"/>
    <n v="0"/>
    <n v="0"/>
    <n v="0"/>
    <n v="0"/>
    <n v="0"/>
    <n v="0"/>
    <n v="0"/>
    <n v="0"/>
    <n v="0"/>
    <n v="0"/>
    <m/>
    <n v="0"/>
    <n v="0"/>
    <n v="0"/>
    <n v="0"/>
    <n v="0"/>
    <n v="0.6241450585004682"/>
    <n v="0"/>
    <n v="0"/>
    <n v="0"/>
    <n v="0"/>
    <n v="0"/>
    <m/>
    <m/>
    <m/>
    <m/>
    <m/>
    <m/>
    <m/>
    <m/>
    <m/>
    <n v="6.5172531940588856"/>
    <m/>
    <m/>
    <m/>
    <m/>
    <m/>
    <m/>
    <m/>
    <m/>
    <m/>
    <m/>
    <m/>
    <m/>
    <n v="33.580000000000005"/>
    <n v="-4.6207999999999885"/>
    <m/>
    <m/>
    <m/>
    <m/>
    <n v="-7.5467600000000026"/>
    <n v="0.2695599999999993"/>
    <n v="30"/>
    <n v="0.19198053049763963"/>
    <n v="3.151514969331437E-2"/>
    <n v="0.16810840590069098"/>
    <n v="0"/>
    <n v="0"/>
    <n v="0"/>
    <n v="0"/>
    <n v="0"/>
    <n v="0"/>
    <n v="0"/>
    <n v="0"/>
    <n v="0.26953397584707073"/>
    <n v="0"/>
    <n v="0"/>
    <n v="0"/>
    <n v="2.8546616700927174E-2"/>
    <n v="0"/>
    <n v="-0.26636293570901515"/>
    <m/>
    <n v="0"/>
    <n v="0"/>
    <n v="0"/>
    <n v="0"/>
    <n v="-3.4723451051800025E-2"/>
    <n v="-4.6372308835496978E-3"/>
    <n v="0"/>
    <n v="0"/>
    <m/>
    <m/>
    <m/>
    <n v="24.156424352221311"/>
    <n v="0"/>
    <n v="0"/>
    <n v="-7.5467600000000026"/>
    <n v="0.26955999999999936"/>
    <n v="0"/>
    <n v="0"/>
    <n v="-7.4691887522995479"/>
    <n v="0"/>
    <n v="0"/>
    <n v="0"/>
    <n v="0"/>
    <n v="0"/>
    <n v="0"/>
    <n v="0"/>
    <n v="0"/>
    <n v="0"/>
    <n v="0"/>
    <n v="0"/>
    <n v="0"/>
    <n v="1.471931682995920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8"/>
    <s v="Regular"/>
    <s v="Branca"/>
    <s v="B1"/>
    <s v="Residencial"/>
    <s v="Residencial"/>
    <s v="Não se aplica"/>
    <s v="Não se aplica"/>
    <s v="Fora ponta"/>
    <s v="CATIVO"/>
    <x v="9"/>
    <n v="0"/>
    <n v="0"/>
    <n v="0.35199999999999998"/>
    <n v="0.35199999999999998"/>
    <n v="0.35199999999999998"/>
    <n v="0.35199999999999998"/>
    <m/>
    <n v="234.02"/>
    <n v="128.11000000000001"/>
    <m/>
    <n v="127.46976000000001"/>
    <n v="127.46976000000001"/>
    <n v="116.28319999999999"/>
    <n v="0"/>
    <n v="21.548049757830391"/>
    <n v="0"/>
    <n v="0"/>
    <n v="0"/>
    <n v="0"/>
    <n v="36.969820243235262"/>
    <n v="45.095088341664407"/>
    <n v="0"/>
    <n v="0"/>
    <n v="0"/>
    <n v="0"/>
    <n v="0"/>
    <n v="3.3277553454293529"/>
    <m/>
    <n v="0.30285654300505227"/>
    <n v="0.66077291041939579"/>
    <n v="3.5245599701769952"/>
    <n v="0"/>
    <n v="0"/>
    <n v="0"/>
    <n v="0"/>
    <n v="0"/>
    <n v="0"/>
    <n v="0"/>
    <n v="0"/>
    <n v="0"/>
    <n v="0"/>
    <m/>
    <n v="0"/>
    <n v="0"/>
    <n v="0"/>
    <n v="0"/>
    <n v="0"/>
    <n v="4.7760665346122781"/>
    <n v="0"/>
    <n v="0"/>
    <n v="0"/>
    <n v="0"/>
    <n v="0"/>
    <m/>
    <m/>
    <m/>
    <m/>
    <m/>
    <m/>
    <m/>
    <m/>
    <m/>
    <n v="49.871154876276684"/>
    <m/>
    <m/>
    <m/>
    <m/>
    <m/>
    <m/>
    <m/>
    <m/>
    <m/>
    <m/>
    <m/>
    <m/>
    <n v="115.62249999999999"/>
    <n v="-11.877260000000035"/>
    <m/>
    <m/>
    <m/>
    <m/>
    <n v="-13.249280000000004"/>
    <n v="2.0627199999999948"/>
    <n v="30"/>
    <n v="0.24702600706258693"/>
    <n v="4.8233653914160013E-2"/>
    <n v="0.25727811040757764"/>
    <n v="0"/>
    <n v="0"/>
    <n v="0"/>
    <n v="0"/>
    <n v="0"/>
    <n v="0"/>
    <n v="0"/>
    <n v="0"/>
    <n v="2.0625208586558514"/>
    <n v="0"/>
    <n v="0"/>
    <n v="0"/>
    <n v="0.21844367562448674"/>
    <n v="0"/>
    <n v="-2.0382555080342044"/>
    <m/>
    <n v="0"/>
    <n v="0"/>
    <n v="0"/>
    <n v="0"/>
    <n v="-0.26570988630942649"/>
    <n v="-3.5484897195858567E-2"/>
    <n v="0"/>
    <n v="0"/>
    <m/>
    <m/>
    <m/>
    <n v="36.969820243235262"/>
    <n v="0"/>
    <n v="0"/>
    <n v="-13.249279999999999"/>
    <n v="2.0627199999999917"/>
    <n v="0"/>
    <n v="0"/>
    <n v="-11.43110261307833"/>
    <n v="0"/>
    <n v="0"/>
    <n v="0"/>
    <n v="0"/>
    <n v="0"/>
    <n v="0"/>
    <n v="0"/>
    <n v="0"/>
    <n v="0"/>
    <n v="0"/>
    <n v="0"/>
    <n v="0"/>
    <n v="11.26347722640356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29"/>
    <s v="Regular"/>
    <s v="Branca"/>
    <s v="B1"/>
    <s v="Residencial"/>
    <s v="Residencial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.4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30"/>
    <s v="Regular"/>
    <s v="Branca"/>
    <s v="B1"/>
    <s v="Residencial"/>
    <s v="Residencial"/>
    <s v="Não se aplica"/>
    <s v="Não se aplica"/>
    <s v="Intermediário"/>
    <s v="CATIVO"/>
    <x v="9"/>
    <n v="0"/>
    <n v="0"/>
    <n v="3.2000000000000001E-2"/>
    <n v="3.2000000000000001E-2"/>
    <n v="3.2000000000000001E-2"/>
    <n v="3.2000000000000001E-2"/>
    <m/>
    <n v="467.85"/>
    <n v="128.11000000000001"/>
    <m/>
    <n v="19.070720000000001"/>
    <n v="19.070720000000001"/>
    <n v="16.031359999999999"/>
    <n v="0"/>
    <n v="1.9589136143482178"/>
    <n v="0"/>
    <n v="0"/>
    <n v="0"/>
    <n v="0"/>
    <n v="10.082686299650431"/>
    <n v="4.0995534856058562"/>
    <n v="0"/>
    <n v="0"/>
    <n v="0"/>
    <n v="0"/>
    <n v="0"/>
    <n v="0.3025232132208503"/>
    <m/>
    <n v="2.7532413000459298E-2"/>
    <n v="0.18020343490417026"/>
    <n v="0.96124624740825926"/>
    <n v="0"/>
    <n v="0"/>
    <n v="0"/>
    <n v="0"/>
    <n v="0"/>
    <n v="0"/>
    <n v="0"/>
    <n v="0"/>
    <n v="0"/>
    <n v="0"/>
    <m/>
    <n v="0"/>
    <n v="0"/>
    <n v="0"/>
    <n v="0"/>
    <n v="0"/>
    <n v="0.43418786678293442"/>
    <n v="0"/>
    <n v="0"/>
    <n v="0"/>
    <n v="0"/>
    <n v="0"/>
    <m/>
    <m/>
    <m/>
    <m/>
    <m/>
    <m/>
    <m/>
    <m/>
    <m/>
    <n v="4.5337413523887911"/>
    <m/>
    <m/>
    <m/>
    <m/>
    <m/>
    <m/>
    <m/>
    <m/>
    <m/>
    <m/>
    <m/>
    <m/>
    <n v="15.029399999999999"/>
    <n v="-4.0713200000000036"/>
    <m/>
    <m/>
    <m/>
    <m/>
    <n v="-3.2268800000000013"/>
    <n v="0.18751999999999952"/>
    <n v="30"/>
    <n v="7.8004157270070706E-2"/>
    <n v="1.3154095720712633E-2"/>
    <n v="7.0166948572918386E-2"/>
    <n v="0"/>
    <n v="0"/>
    <n v="0"/>
    <n v="0"/>
    <n v="0"/>
    <n v="0"/>
    <n v="0"/>
    <n v="0"/>
    <n v="0.18750189624144031"/>
    <n v="0"/>
    <n v="0"/>
    <n v="0"/>
    <n v="1.9858515965862411E-2"/>
    <n v="0"/>
    <n v="-0.18529595527583687"/>
    <m/>
    <n v="0"/>
    <n v="0"/>
    <n v="0"/>
    <n v="0"/>
    <n v="-2.4155444209947863E-2"/>
    <n v="-3.2258997450780487E-3"/>
    <n v="0"/>
    <n v="0"/>
    <m/>
    <m/>
    <m/>
    <n v="10.082686299650431"/>
    <n v="0"/>
    <n v="0"/>
    <n v="-3.2268800000000013"/>
    <n v="0.18751999999999924"/>
    <n v="0"/>
    <n v="0"/>
    <n v="-3.1175759294602878"/>
    <n v="0"/>
    <n v="0"/>
    <n v="0"/>
    <n v="0"/>
    <n v="0"/>
    <n v="0"/>
    <n v="0"/>
    <n v="0"/>
    <n v="0"/>
    <n v="0"/>
    <n v="0"/>
    <n v="0"/>
    <n v="1.023952475127596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1"/>
    <s v="Regular"/>
    <s v="Convencional"/>
    <s v="B3"/>
    <s v="Industrial"/>
    <s v="Não se aplica"/>
    <s v="Não se aplica"/>
    <s v="Não se aplica"/>
    <s v="Não se aplica"/>
    <s v="CATIVO"/>
    <x v="9"/>
    <n v="0"/>
    <n v="0"/>
    <n v="391.52"/>
    <n v="391.52"/>
    <n v="391.52"/>
    <n v="391.52"/>
    <m/>
    <n v="333.61"/>
    <n v="128.11000000000001"/>
    <m/>
    <n v="180772.61440000002"/>
    <n v="180772.61440000002"/>
    <n v="157794.30559999999"/>
    <n v="0"/>
    <n v="23967.30807155044"/>
    <n v="0"/>
    <n v="0"/>
    <n v="0"/>
    <n v="0"/>
    <n v="76149.151544446955"/>
    <n v="50158.036896387639"/>
    <n v="0"/>
    <n v="0"/>
    <n v="0"/>
    <n v="0"/>
    <n v="0"/>
    <n v="3701.371513757103"/>
    <m/>
    <n v="336.85907306061949"/>
    <n v="1360.9314163384868"/>
    <n v="7259.8126829755302"/>
    <n v="0"/>
    <n v="0"/>
    <n v="0"/>
    <n v="0"/>
    <n v="0"/>
    <n v="0"/>
    <n v="0"/>
    <n v="0"/>
    <n v="0"/>
    <n v="0"/>
    <m/>
    <n v="0"/>
    <n v="0"/>
    <n v="0"/>
    <n v="0"/>
    <n v="0"/>
    <n v="5312.2885500892025"/>
    <n v="0"/>
    <n v="0"/>
    <n v="0"/>
    <n v="52596.99"/>
    <n v="226"/>
    <m/>
    <m/>
    <m/>
    <m/>
    <m/>
    <m/>
    <m/>
    <m/>
    <m/>
    <n v="55470.32544647684"/>
    <m/>
    <m/>
    <m/>
    <m/>
    <m/>
    <m/>
    <m/>
    <m/>
    <m/>
    <m/>
    <m/>
    <m/>
    <n v="157794.30559999999"/>
    <n v="-22978.338799999998"/>
    <m/>
    <m/>
    <m/>
    <m/>
    <n v="-25272.616000000002"/>
    <n v="2294.3071999999943"/>
    <n v="30"/>
    <n v="564.22608679969562"/>
    <n v="99.342291279641358"/>
    <n v="529.93590825333013"/>
    <n v="0"/>
    <n v="0"/>
    <n v="0"/>
    <n v="0"/>
    <n v="0"/>
    <n v="0"/>
    <n v="0"/>
    <n v="0"/>
    <n v="2294.0857005140278"/>
    <n v="0"/>
    <n v="0"/>
    <n v="0"/>
    <n v="242.96894284232621"/>
    <n v="0"/>
    <n v="-2267.0960127998624"/>
    <m/>
    <n v="0"/>
    <n v="0"/>
    <n v="0"/>
    <n v="0"/>
    <n v="-295.54185990871201"/>
    <n v="-39.468883381029968"/>
    <n v="0"/>
    <n v="0"/>
    <m/>
    <m/>
    <m/>
    <n v="76149.151544446955"/>
    <n v="0"/>
    <n v="0"/>
    <n v="-25272.616000000009"/>
    <n v="2294.3071999999956"/>
    <n v="0"/>
    <n v="0"/>
    <n v="-23545.388088888969"/>
    <n v="0"/>
    <n v="0"/>
    <n v="0"/>
    <n v="0"/>
    <n v="0"/>
    <n v="0"/>
    <n v="0"/>
    <n v="0"/>
    <n v="0"/>
    <n v="0"/>
    <n v="0"/>
    <n v="0"/>
    <n v="12528.05853318614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2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12.25"/>
    <n v="12.25"/>
    <n v="12.25"/>
    <n v="12.25"/>
    <m/>
    <n v="333.61"/>
    <n v="128.11000000000001"/>
    <m/>
    <n v="5656.0700000000006"/>
    <n v="5656.0700000000006"/>
    <n v="4937.1175000000003"/>
    <n v="0"/>
    <n v="749.89661799267708"/>
    <n v="0"/>
    <n v="0"/>
    <n v="0"/>
    <n v="0"/>
    <n v="2382.5784287379324"/>
    <n v="1569.3603187084916"/>
    <n v="0"/>
    <n v="0"/>
    <n v="0"/>
    <n v="0"/>
    <n v="0"/>
    <n v="115.80966756110675"/>
    <m/>
    <n v="10.539751851738325"/>
    <n v="42.581247063103966"/>
    <n v="227.14728587671192"/>
    <n v="0"/>
    <n v="0"/>
    <n v="0"/>
    <n v="0"/>
    <n v="0"/>
    <n v="0"/>
    <n v="0"/>
    <n v="0"/>
    <n v="0"/>
    <n v="0"/>
    <m/>
    <n v="0"/>
    <n v="0"/>
    <n v="0"/>
    <n v="0"/>
    <n v="0"/>
    <n v="166.21254275284207"/>
    <n v="0"/>
    <n v="0"/>
    <n v="0"/>
    <n v="1996.32"/>
    <n v="5"/>
    <m/>
    <m/>
    <m/>
    <m/>
    <m/>
    <m/>
    <m/>
    <m/>
    <m/>
    <n v="1735.5728614613336"/>
    <m/>
    <m/>
    <m/>
    <m/>
    <m/>
    <m/>
    <m/>
    <m/>
    <m/>
    <m/>
    <m/>
    <m/>
    <n v="4937.1175000000003"/>
    <n v="-718.98250000000098"/>
    <m/>
    <m/>
    <m/>
    <m/>
    <n v="-790.73750000000018"/>
    <n v="71.784999999999826"/>
    <n v="30"/>
    <n v="17.653681965917713"/>
    <n v="3.1082526261125949"/>
    <n v="16.580800153512683"/>
    <n v="0"/>
    <n v="0"/>
    <n v="0"/>
    <n v="0"/>
    <n v="0"/>
    <n v="0"/>
    <n v="0"/>
    <n v="0"/>
    <n v="71.778069654926412"/>
    <n v="0"/>
    <n v="0"/>
    <n v="0"/>
    <n v="7.6020881431817031"/>
    <n v="0"/>
    <n v="-70.933607879031342"/>
    <m/>
    <n v="0"/>
    <n v="0"/>
    <n v="0"/>
    <n v="0"/>
    <n v="-9.2470059866206782"/>
    <n v="-1.2349147461626906"/>
    <n v="0"/>
    <n v="0"/>
    <m/>
    <m/>
    <m/>
    <n v="2382.5784287379324"/>
    <n v="0"/>
    <n v="0"/>
    <n v="-790.73750000000018"/>
    <n v="71.784999999999854"/>
    <n v="0"/>
    <n v="0"/>
    <n v="-736.69545384371145"/>
    <n v="0"/>
    <n v="0"/>
    <n v="0"/>
    <n v="0"/>
    <n v="0"/>
    <n v="0"/>
    <n v="0"/>
    <n v="0"/>
    <n v="0"/>
    <n v="0"/>
    <n v="0"/>
    <n v="0"/>
    <n v="391.9818068847831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3"/>
    <s v="Regular"/>
    <s v="Azul"/>
    <s v="A3"/>
    <s v="Industrial"/>
    <s v="Não se aplica"/>
    <s v="Não se aplica"/>
    <s v="Não se aplica"/>
    <s v="Ponta"/>
    <s v="CATIVO"/>
    <x v="9"/>
    <n v="2467"/>
    <n v="2467"/>
    <n v="78.682000000000002"/>
    <n v="78.682000000000002"/>
    <n v="78.682000000000002"/>
    <n v="78.682000000000002"/>
    <n v="28.46"/>
    <n v="75.12"/>
    <n v="128.11000000000001"/>
    <n v="70210.820000000007"/>
    <n v="15990.542860000003"/>
    <n v="86201.362860000023"/>
    <n v="69752.439920000004"/>
    <n v="0"/>
    <n v="3227.1228585243157"/>
    <n v="0"/>
    <n v="0"/>
    <n v="0"/>
    <n v="0"/>
    <n v="56721.183695226238"/>
    <n v="10080.033354826248"/>
    <n v="0"/>
    <n v="0"/>
    <n v="0"/>
    <n v="0"/>
    <n v="0"/>
    <n v="743.84785820759191"/>
    <m/>
    <n v="19.257891580945493"/>
    <n v="2031.0094594708951"/>
    <n v="11449.194481302569"/>
    <n v="0"/>
    <n v="0"/>
    <n v="0"/>
    <n v="0"/>
    <n v="0"/>
    <n v="0"/>
    <n v="0"/>
    <n v="0"/>
    <n v="0"/>
    <n v="0"/>
    <m/>
    <n v="0"/>
    <n v="0"/>
    <n v="0"/>
    <n v="0"/>
    <n v="0"/>
    <n v="233.47946010130801"/>
    <n v="0"/>
    <n v="0"/>
    <n v="0"/>
    <n v="0"/>
    <n v="0"/>
    <m/>
    <m/>
    <m/>
    <m/>
    <m/>
    <m/>
    <m/>
    <m/>
    <m/>
    <n v="10313.512814927555"/>
    <m/>
    <m/>
    <m/>
    <m/>
    <m/>
    <m/>
    <m/>
    <m/>
    <m/>
    <m/>
    <m/>
    <m/>
    <n v="69752.030800000008"/>
    <n v="-16449.362059999985"/>
    <m/>
    <m/>
    <m/>
    <m/>
    <n v="-16909.999460000003"/>
    <n v="461.07651999999882"/>
    <n v="30"/>
    <n v="1088.8016274486145"/>
    <n v="148.25518089464026"/>
    <n v="835.74322660497091"/>
    <n v="0"/>
    <n v="0"/>
    <n v="0"/>
    <n v="0"/>
    <n v="0"/>
    <n v="0"/>
    <n v="0"/>
    <n v="0"/>
    <n v="461.03200625215686"/>
    <n v="0"/>
    <n v="0"/>
    <n v="0"/>
    <n v="10.678685290028398"/>
    <n v="0"/>
    <n v="-305.25736739122249"/>
    <m/>
    <n v="0"/>
    <n v="0"/>
    <n v="0"/>
    <n v="0"/>
    <n v="-59.393708166472379"/>
    <n v="-2.2563960354900949"/>
    <n v="0"/>
    <n v="0"/>
    <m/>
    <m/>
    <n v="56721.183695226238"/>
    <n v="0"/>
    <n v="0"/>
    <n v="0"/>
    <n v="-16909.999460000014"/>
    <n v="461.07651999999871"/>
    <n v="0"/>
    <n v="0"/>
    <n v="-17538.24246072831"/>
    <n v="0"/>
    <n v="0"/>
    <n v="0"/>
    <n v="0"/>
    <n v="0"/>
    <n v="0"/>
    <n v="0"/>
    <n v="0"/>
    <n v="0"/>
    <n v="0"/>
    <n v="0"/>
    <n v="0"/>
    <n v="1686.86378731728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4"/>
    <s v="Regular"/>
    <s v="Azul"/>
    <s v="A3"/>
    <s v="Industrial"/>
    <s v="Não se aplica"/>
    <s v="Não se aplica"/>
    <s v="Não se aplica"/>
    <s v="Fora ponta"/>
    <s v="CATIVO"/>
    <x v="9"/>
    <n v="2495"/>
    <n v="2495"/>
    <n v="783.94200000000001"/>
    <n v="783.94200000000001"/>
    <n v="783.94200000000001"/>
    <n v="783.94200000000001"/>
    <n v="9.92"/>
    <n v="75.12"/>
    <n v="128.11000000000001"/>
    <n v="24750.400000000001"/>
    <n v="159320.53266000003"/>
    <n v="184070.93266000002"/>
    <n v="182219.37552"/>
    <n v="0"/>
    <n v="32153.188123805561"/>
    <n v="0"/>
    <n v="0"/>
    <n v="0"/>
    <n v="0"/>
    <n v="12275.945075492917"/>
    <n v="100431.62995665081"/>
    <n v="0"/>
    <n v="0"/>
    <n v="0"/>
    <n v="0"/>
    <n v="0"/>
    <n v="7411.2704005868691"/>
    <m/>
    <n v="191.87450804185929"/>
    <n v="1854.3925424157287"/>
    <n v="10612.595659840872"/>
    <n v="0"/>
    <n v="0"/>
    <n v="0"/>
    <n v="0"/>
    <n v="0"/>
    <n v="0"/>
    <n v="0"/>
    <n v="0"/>
    <n v="0"/>
    <n v="0"/>
    <m/>
    <n v="0"/>
    <n v="0"/>
    <n v="0"/>
    <n v="0"/>
    <n v="0"/>
    <n v="2326.2544789245267"/>
    <n v="0"/>
    <n v="0"/>
    <n v="0"/>
    <n v="0"/>
    <n v="0"/>
    <m/>
    <m/>
    <m/>
    <m/>
    <m/>
    <m/>
    <m/>
    <m/>
    <m/>
    <n v="102757.88443557534"/>
    <m/>
    <m/>
    <m/>
    <m/>
    <m/>
    <m/>
    <m/>
    <m/>
    <m/>
    <m/>
    <m/>
    <m/>
    <n v="182218.9664"/>
    <n v="-1851.9962600000144"/>
    <m/>
    <m/>
    <m/>
    <m/>
    <n v="-6445.457260000001"/>
    <n v="4593.9001199999884"/>
    <n v="30"/>
    <n v="1954.2366513519955"/>
    <n v="135.36288594989333"/>
    <n v="774.67501787079163"/>
    <n v="0"/>
    <n v="0"/>
    <n v="0"/>
    <n v="0"/>
    <n v="0"/>
    <n v="0"/>
    <n v="0"/>
    <n v="0"/>
    <n v="4593.4566107283463"/>
    <n v="0"/>
    <n v="0"/>
    <n v="0"/>
    <n v="106.39625204793265"/>
    <n v="0"/>
    <n v="-3041.4080870772195"/>
    <m/>
    <n v="0"/>
    <n v="0"/>
    <n v="0"/>
    <n v="0"/>
    <n v="-591.76460140109248"/>
    <n v="-22.481426766657876"/>
    <n v="0"/>
    <n v="0"/>
    <m/>
    <m/>
    <n v="12275.945075492917"/>
    <n v="0"/>
    <n v="0"/>
    <n v="0"/>
    <n v="-6445.4572599999956"/>
    <n v="4593.9001199999911"/>
    <n v="0"/>
    <n v="0"/>
    <n v="-3795.7335715245172"/>
    <n v="0"/>
    <n v="0"/>
    <n v="0"/>
    <n v="0"/>
    <n v="0"/>
    <n v="0"/>
    <n v="0"/>
    <n v="0"/>
    <n v="0"/>
    <n v="0"/>
    <n v="0"/>
    <n v="0"/>
    <n v="16806.93641693254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5"/>
    <s v="Regular"/>
    <s v="Azul"/>
    <s v="A3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3990.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36"/>
    <s v="Regular"/>
    <s v="Azul"/>
    <s v="A4"/>
    <s v="Industrial"/>
    <s v="Não se aplica"/>
    <s v="Não se aplica"/>
    <s v="Não se aplica"/>
    <s v="Ponta"/>
    <s v="CATIVO"/>
    <x v="9"/>
    <n v="5950"/>
    <n v="5950"/>
    <n v="322.58199999999999"/>
    <n v="322.58199999999999"/>
    <n v="322.58199999999999"/>
    <n v="322.58199999999999"/>
    <n v="52.19"/>
    <n v="96.28"/>
    <n v="128.11000000000001"/>
    <n v="310530.5"/>
    <n v="72384.174980000011"/>
    <n v="382914.67498000001"/>
    <n v="299397.82047999999"/>
    <n v="0"/>
    <n v="17180.06050759372"/>
    <n v="0"/>
    <n v="0"/>
    <n v="0"/>
    <n v="0"/>
    <n v="278065.19684509444"/>
    <n v="41326.317577928377"/>
    <n v="0"/>
    <n v="0"/>
    <n v="0"/>
    <n v="0"/>
    <n v="0"/>
    <n v="3049.64197397526"/>
    <m/>
    <n v="158.58152174673396"/>
    <n v="5138.5963261425695"/>
    <n v="27335.990188088927"/>
    <n v="0"/>
    <n v="0"/>
    <n v="0"/>
    <n v="0"/>
    <n v="0"/>
    <n v="0"/>
    <n v="0"/>
    <n v="0"/>
    <n v="0"/>
    <n v="0"/>
    <m/>
    <n v="0"/>
    <n v="0"/>
    <n v="0"/>
    <n v="0"/>
    <n v="0"/>
    <n v="1689.8830052905225"/>
    <n v="0"/>
    <n v="0"/>
    <n v="0"/>
    <n v="0"/>
    <n v="0"/>
    <m/>
    <m/>
    <m/>
    <m/>
    <m/>
    <m/>
    <m/>
    <m/>
    <m/>
    <n v="43016.200583218902"/>
    <m/>
    <m/>
    <m/>
    <m/>
    <m/>
    <m/>
    <m/>
    <m/>
    <m/>
    <m/>
    <m/>
    <m/>
    <n v="299397.37119999999"/>
    <n v="-83517.333780000044"/>
    <m/>
    <m/>
    <m/>
    <m/>
    <n v="-85407.18501999999"/>
    <n v="1890.3305199999952"/>
    <n v="30"/>
    <n v="2450.7809071908996"/>
    <n v="375.09600180555663"/>
    <n v="1995.4127497392255"/>
    <n v="0"/>
    <n v="0"/>
    <n v="0"/>
    <n v="0"/>
    <n v="0"/>
    <n v="0"/>
    <n v="0"/>
    <n v="0"/>
    <n v="1890.1480216673881"/>
    <n v="0"/>
    <n v="0"/>
    <n v="0"/>
    <n v="77.290433953517322"/>
    <n v="0"/>
    <n v="-1625.0822395302548"/>
    <m/>
    <n v="0"/>
    <n v="0"/>
    <n v="0"/>
    <n v="0"/>
    <n v="-243.50348450416868"/>
    <n v="-18.580575940377628"/>
    <n v="0"/>
    <n v="0"/>
    <m/>
    <m/>
    <n v="278065.19684509444"/>
    <n v="0"/>
    <n v="0"/>
    <n v="0"/>
    <n v="-85407.185020000004"/>
    <n v="1890.3305199999959"/>
    <n v="0"/>
    <n v="0"/>
    <n v="-85978.016050639417"/>
    <n v="0"/>
    <n v="0"/>
    <n v="0"/>
    <n v="0"/>
    <n v="0"/>
    <n v="0"/>
    <n v="0"/>
    <n v="0"/>
    <n v="0"/>
    <n v="0"/>
    <n v="0"/>
    <n v="0"/>
    <n v="8980.266077453146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7"/>
    <s v="Regular"/>
    <s v="Azul"/>
    <s v="A4"/>
    <s v="Industrial"/>
    <s v="Não se aplica"/>
    <s v="Não se aplica"/>
    <s v="Não se aplica"/>
    <s v="Fora ponta"/>
    <s v="CATIVO"/>
    <x v="9"/>
    <n v="6108"/>
    <n v="6108"/>
    <n v="2791.9110000000001"/>
    <n v="2791.9110000000001"/>
    <n v="2791.9110000000001"/>
    <n v="2791.9110000000001"/>
    <n v="18.12"/>
    <n v="96.28"/>
    <n v="128.11000000000001"/>
    <n v="110676.96"/>
    <n v="626476.9092900001"/>
    <n v="737153.86929000006"/>
    <n v="715435.48704000004"/>
    <n v="0"/>
    <n v="148691.49522235119"/>
    <n v="0"/>
    <n v="0"/>
    <n v="0"/>
    <n v="0"/>
    <n v="79763.995246263992"/>
    <n v="357674.63973597909"/>
    <n v="0"/>
    <n v="0"/>
    <n v="0"/>
    <n v="0"/>
    <n v="0"/>
    <n v="26394.308960832415"/>
    <m/>
    <n v="1372.5052698583486"/>
    <n v="4855.0684763126137"/>
    <n v="26028.148911402761"/>
    <n v="0"/>
    <n v="0"/>
    <n v="0"/>
    <n v="0"/>
    <n v="0"/>
    <n v="0"/>
    <n v="0"/>
    <n v="0"/>
    <n v="0"/>
    <n v="0"/>
    <m/>
    <n v="0"/>
    <n v="0"/>
    <n v="0"/>
    <n v="0"/>
    <n v="0"/>
    <n v="14625.747720528945"/>
    <n v="0"/>
    <n v="0"/>
    <n v="0"/>
    <n v="0"/>
    <n v="0"/>
    <m/>
    <m/>
    <m/>
    <m/>
    <m/>
    <m/>
    <m/>
    <m/>
    <m/>
    <n v="372300.387456508"/>
    <m/>
    <m/>
    <m/>
    <m/>
    <m/>
    <m/>
    <m/>
    <m/>
    <m/>
    <m/>
    <m/>
    <m/>
    <n v="715435.26240000001"/>
    <n v="-21718.636890000082"/>
    <m/>
    <m/>
    <m/>
    <m/>
    <n v="-38078.980710000011"/>
    <n v="16360.598459999959"/>
    <n v="30"/>
    <n v="2949.0919694491895"/>
    <n v="354.39965671016398"/>
    <n v="1899.9458162139272"/>
    <n v="0"/>
    <n v="0"/>
    <n v="0"/>
    <n v="0"/>
    <n v="0"/>
    <n v="0"/>
    <n v="0"/>
    <n v="0"/>
    <n v="16359.01895741676"/>
    <n v="0"/>
    <n v="0"/>
    <n v="0"/>
    <n v="668.94002997562893"/>
    <n v="0"/>
    <n v="-14064.904366794042"/>
    <m/>
    <n v="0"/>
    <n v="0"/>
    <n v="0"/>
    <n v="0"/>
    <n v="-2107.4953249887403"/>
    <n v="-160.81279908449847"/>
    <n v="0"/>
    <n v="0"/>
    <m/>
    <m/>
    <n v="79763.995246263992"/>
    <n v="0"/>
    <n v="0"/>
    <n v="0"/>
    <n v="-38078.980710000033"/>
    <n v="16360.598460000008"/>
    <n v="0"/>
    <n v="0"/>
    <n v="-24663.101104907037"/>
    <n v="0"/>
    <n v="0"/>
    <n v="0"/>
    <n v="0"/>
    <n v="0"/>
    <n v="0"/>
    <n v="0"/>
    <n v="0"/>
    <n v="0"/>
    <n v="0"/>
    <n v="0"/>
    <n v="0"/>
    <n v="77723.19486074328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38"/>
    <s v="Regular"/>
    <s v="Azul"/>
    <s v="A4"/>
    <s v="Industr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39"/>
    <s v="Regular"/>
    <s v="Verde"/>
    <s v="A4"/>
    <s v="Industrial"/>
    <s v="Não se aplica"/>
    <s v="Não se aplica"/>
    <s v="Não se aplica"/>
    <s v="Ponta"/>
    <s v="CATIVO"/>
    <x v="9"/>
    <n v="0"/>
    <n v="0"/>
    <n v="867.57"/>
    <n v="867.57"/>
    <n v="867.57"/>
    <n v="867.57"/>
    <m/>
    <n v="1351.49"/>
    <n v="128.11000000000001"/>
    <m/>
    <n v="1283656.5719999999"/>
    <n v="1283656.5719999999"/>
    <n v="990686.8587000001"/>
    <n v="0"/>
    <n v="46205.011732127292"/>
    <n v="0"/>
    <n v="0"/>
    <n v="0"/>
    <n v="0"/>
    <n v="975100.64346609078"/>
    <n v="111145.30054709602"/>
    <n v="0"/>
    <n v="0"/>
    <n v="0"/>
    <n v="0"/>
    <n v="0"/>
    <n v="8201.8770029379084"/>
    <m/>
    <n v="426.49797825611472"/>
    <n v="18021.623082303751"/>
    <n v="95859.611680966875"/>
    <n v="0"/>
    <n v="0"/>
    <n v="0"/>
    <n v="0"/>
    <n v="0"/>
    <n v="0"/>
    <n v="0"/>
    <n v="0"/>
    <n v="0"/>
    <n v="0"/>
    <m/>
    <n v="0"/>
    <n v="0"/>
    <n v="0"/>
    <n v="0"/>
    <n v="0"/>
    <n v="4544.8654881546363"/>
    <n v="0"/>
    <n v="0"/>
    <n v="0"/>
    <n v="0"/>
    <n v="0"/>
    <m/>
    <m/>
    <m/>
    <m/>
    <m/>
    <m/>
    <m/>
    <m/>
    <m/>
    <n v="115690.16603525066"/>
    <m/>
    <m/>
    <m/>
    <m/>
    <m/>
    <m/>
    <m/>
    <m/>
    <m/>
    <m/>
    <m/>
    <m/>
    <n v="990686.8587000001"/>
    <n v="-292969.74329999986"/>
    <m/>
    <m/>
    <m/>
    <m/>
    <n v="-298053.67349999998"/>
    <n v="5083.9601999999877"/>
    <n v="30"/>
    <n v="8528.741398105456"/>
    <n v="1315.5029769176836"/>
    <n v="6997.3500142900739"/>
    <n v="0"/>
    <n v="0"/>
    <n v="0"/>
    <n v="0"/>
    <n v="0"/>
    <n v="0"/>
    <n v="0"/>
    <n v="0"/>
    <n v="5083.4693788183213"/>
    <n v="0"/>
    <n v="0"/>
    <n v="0"/>
    <n v="207.86919848303023"/>
    <n v="0"/>
    <n v="-4370.5866990385839"/>
    <m/>
    <n v="0"/>
    <n v="0"/>
    <n v="0"/>
    <n v="0"/>
    <n v="-654.89183541326383"/>
    <n v="-49.97163595176869"/>
    <n v="0"/>
    <n v="0"/>
    <m/>
    <m/>
    <m/>
    <n v="975100.64346609078"/>
    <n v="0"/>
    <n v="0"/>
    <n v="-298053.67349999992"/>
    <n v="5083.9602000000014"/>
    <n v="0"/>
    <n v="0"/>
    <n v="-301502.0208430487"/>
    <n v="0"/>
    <n v="0"/>
    <n v="0"/>
    <n v="0"/>
    <n v="0"/>
    <n v="0"/>
    <n v="0"/>
    <n v="0"/>
    <n v="0"/>
    <n v="0"/>
    <n v="0"/>
    <n v="0"/>
    <n v="24152.02782801280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0"/>
    <s v="Regular"/>
    <s v="Verde"/>
    <s v="A4"/>
    <s v="Industrial"/>
    <s v="Não se aplica"/>
    <s v="Não se aplica"/>
    <s v="Não se aplica"/>
    <s v="Fora ponta"/>
    <s v="CATIVO"/>
    <x v="9"/>
    <n v="0"/>
    <n v="0"/>
    <n v="12988.965"/>
    <n v="12988.965"/>
    <n v="12988.965"/>
    <n v="12988.965"/>
    <m/>
    <n v="96.28"/>
    <n v="128.11000000000001"/>
    <m/>
    <n v="2914593.85635"/>
    <n v="2914593.85635"/>
    <n v="2917841.0976"/>
    <n v="0"/>
    <n v="691765.8289396714"/>
    <n v="0"/>
    <n v="0"/>
    <n v="0"/>
    <n v="0"/>
    <n v="0"/>
    <n v="1664029.8981300769"/>
    <n v="0"/>
    <n v="0"/>
    <n v="0"/>
    <n v="0"/>
    <n v="0"/>
    <n v="122795.73213166129"/>
    <m/>
    <n v="6385.38367179528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044.190964819529"/>
    <n v="0"/>
    <n v="0"/>
    <n v="0"/>
    <n v="0"/>
    <n v="0"/>
    <m/>
    <m/>
    <m/>
    <m/>
    <m/>
    <m/>
    <m/>
    <m/>
    <m/>
    <n v="1732074.0890948966"/>
    <m/>
    <m/>
    <m/>
    <m/>
    <m/>
    <m/>
    <m/>
    <m/>
    <m/>
    <m/>
    <m/>
    <m/>
    <n v="2917842.2207999998"/>
    <n v="3248.3344499995001"/>
    <m/>
    <m/>
    <m/>
    <m/>
    <n v="-72868.093649999995"/>
    <n v="76115.334899999812"/>
    <n v="30"/>
    <n v="3232.2083072271198"/>
    <n v="0"/>
    <n v="0"/>
    <n v="0"/>
    <n v="0"/>
    <n v="0"/>
    <n v="0"/>
    <n v="0"/>
    <n v="0"/>
    <n v="0"/>
    <n v="0"/>
    <n v="76107.986491053365"/>
    <n v="0"/>
    <n v="0"/>
    <n v="0"/>
    <n v="3112.1474274976499"/>
    <n v="0"/>
    <n v="-65434.947800497524"/>
    <m/>
    <n v="0"/>
    <n v="0"/>
    <n v="0"/>
    <n v="0"/>
    <n v="-9804.819356327047"/>
    <n v="-748.158454499654"/>
    <n v="0"/>
    <n v="0"/>
    <m/>
    <m/>
    <m/>
    <n v="0"/>
    <n v="0"/>
    <n v="0"/>
    <n v="-72868.093649999937"/>
    <n v="76115.334899999667"/>
    <n v="0"/>
    <n v="0"/>
    <n v="0"/>
    <n v="0"/>
    <n v="0"/>
    <n v="0"/>
    <n v="0"/>
    <n v="0"/>
    <n v="0"/>
    <n v="0"/>
    <n v="0"/>
    <n v="0"/>
    <n v="0"/>
    <n v="0"/>
    <n v="0"/>
    <n v="361596.002786039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1"/>
    <s v="Regular"/>
    <s v="Verde"/>
    <s v="A4"/>
    <s v="Industrial"/>
    <s v="Não se aplica"/>
    <s v="Não se aplica"/>
    <s v="Não se aplica"/>
    <s v="Não se aplica"/>
    <s v="CATIVO"/>
    <x v="9"/>
    <n v="50300"/>
    <n v="50300"/>
    <n v="0"/>
    <n v="0"/>
    <n v="0"/>
    <n v="0"/>
    <n v="18.12"/>
    <m/>
    <m/>
    <n v="911436"/>
    <m/>
    <n v="911436"/>
    <n v="726835"/>
    <n v="0"/>
    <n v="0"/>
    <n v="0"/>
    <n v="0"/>
    <n v="0"/>
    <n v="0"/>
    <n v="656864.59739474114"/>
    <m/>
    <m/>
    <m/>
    <n v="0"/>
    <n v="0"/>
    <n v="0"/>
    <n v="0"/>
    <m/>
    <n v="0"/>
    <n v="39981.981722089789"/>
    <n v="214344.44830444644"/>
    <n v="0"/>
    <n v="0"/>
    <m/>
    <m/>
    <n v="0"/>
    <n v="0"/>
    <n v="0"/>
    <m/>
    <m/>
    <n v="0"/>
    <m/>
    <n v="0"/>
    <n v="0"/>
    <n v="0"/>
    <n v="0"/>
    <m/>
    <n v="0"/>
    <n v="0"/>
    <n v="0"/>
    <n v="0"/>
    <n v="1338927.8400000001"/>
    <n v="97"/>
    <m/>
    <m/>
    <m/>
    <m/>
    <m/>
    <m/>
    <m/>
    <m/>
    <m/>
    <n v="0"/>
    <m/>
    <m/>
    <m/>
    <m/>
    <m/>
    <m/>
    <m/>
    <m/>
    <m/>
    <m/>
    <m/>
    <m/>
    <n v="726835"/>
    <n v="-184601.03000000003"/>
    <m/>
    <m/>
    <m/>
    <m/>
    <n v="-184601.00000000009"/>
    <n v="0"/>
    <n v="30"/>
    <n v="18564.763799620443"/>
    <n v="2918.5171467782056"/>
    <n v="15646.246652842237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56864.59739474114"/>
    <m/>
    <n v="0"/>
    <n v="0"/>
    <n v="-184601"/>
    <m/>
    <n v="0"/>
    <m/>
    <n v="-203103.14105710934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42"/>
    <s v="Regular"/>
    <s v="Convencional"/>
    <s v="B3"/>
    <s v="Comercial"/>
    <s v="Não se aplica"/>
    <s v="Não se aplica"/>
    <s v="Não se aplica"/>
    <s v="Não se aplica"/>
    <s v="CATIVO"/>
    <x v="9"/>
    <n v="0"/>
    <n v="0"/>
    <n v="989.36900000000003"/>
    <n v="989.36900000000003"/>
    <n v="989.36900000000003"/>
    <n v="989.36900000000003"/>
    <m/>
    <n v="333.61"/>
    <n v="128.11000000000001"/>
    <m/>
    <n v="456811.45468000008"/>
    <n v="456811.45468000008"/>
    <n v="398745.38806999999"/>
    <n v="0"/>
    <n v="60565.262616065054"/>
    <n v="0"/>
    <n v="0"/>
    <n v="0"/>
    <n v="0"/>
    <n v="192428.50918057302"/>
    <n v="126749.09789063687"/>
    <n v="0"/>
    <n v="0"/>
    <n v="0"/>
    <n v="0"/>
    <n v="0"/>
    <n v="9353.3465294093567"/>
    <m/>
    <n v="851.24112243285674"/>
    <n v="3439.0665980062126"/>
    <n v="18345.508822902579"/>
    <n v="0"/>
    <n v="0"/>
    <n v="0"/>
    <n v="0"/>
    <n v="0"/>
    <n v="0"/>
    <n v="0"/>
    <n v="0"/>
    <n v="0"/>
    <n v="0"/>
    <m/>
    <n v="0"/>
    <n v="0"/>
    <n v="0"/>
    <n v="0"/>
    <n v="0"/>
    <n v="13424.125486598907"/>
    <n v="0"/>
    <n v="0"/>
    <n v="0"/>
    <n v="132282.78"/>
    <n v="1669"/>
    <m/>
    <m/>
    <m/>
    <m/>
    <m/>
    <m/>
    <m/>
    <m/>
    <m/>
    <n v="140173.22337723579"/>
    <m/>
    <m/>
    <m/>
    <m/>
    <m/>
    <m/>
    <m/>
    <m/>
    <m/>
    <m/>
    <m/>
    <m/>
    <n v="398745.79110000003"/>
    <n v="-58065.693580000079"/>
    <m/>
    <m/>
    <m/>
    <m/>
    <n v="-63863.768950000012"/>
    <n v="5797.7023399999853"/>
    <n v="30"/>
    <n v="1425.7963814644609"/>
    <n v="251.03745244444053"/>
    <n v="1339.1452789453651"/>
    <n v="0"/>
    <n v="0"/>
    <n v="0"/>
    <n v="0"/>
    <n v="0"/>
    <n v="0"/>
    <n v="0"/>
    <n v="0"/>
    <n v="5797.1426119530661"/>
    <n v="0"/>
    <n v="0"/>
    <n v="0"/>
    <n v="613.98125258216714"/>
    <n v="0"/>
    <n v="-5728.9398117281089"/>
    <m/>
    <n v="0"/>
    <n v="0"/>
    <n v="0"/>
    <n v="0"/>
    <n v="-746.83274007974615"/>
    <n v="-99.737662652753897"/>
    <n v="0"/>
    <n v="0"/>
    <m/>
    <m/>
    <m/>
    <n v="192428.50918057302"/>
    <n v="0"/>
    <n v="0"/>
    <n v="-63863.768950000056"/>
    <n v="5797.7023399999889"/>
    <n v="0"/>
    <n v="0"/>
    <n v="-59499.073018277471"/>
    <n v="0"/>
    <n v="0"/>
    <n v="0"/>
    <n v="0"/>
    <n v="0"/>
    <n v="0"/>
    <n v="0"/>
    <n v="0"/>
    <n v="0"/>
    <n v="0"/>
    <n v="0"/>
    <n v="0"/>
    <n v="31658.33863639110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3"/>
    <s v="Refaturamento - Regular"/>
    <s v="Convencional"/>
    <s v="B3"/>
    <s v="Comercial"/>
    <s v="Não se aplica"/>
    <s v="Não se aplica"/>
    <s v="Não se aplica"/>
    <s v="Não se aplica"/>
    <s v="CATIVO"/>
    <x v="9"/>
    <n v="0"/>
    <n v="0"/>
    <n v="-2.0790000000000002"/>
    <n v="-2.0790000000000002"/>
    <n v="-2.0790000000000002"/>
    <n v="-2.0790000000000002"/>
    <m/>
    <n v="333.61"/>
    <n v="128.11000000000001"/>
    <m/>
    <n v="-959.91588000000024"/>
    <n v="-959.91588000000024"/>
    <n v="-837.89937000000009"/>
    <n v="0"/>
    <n v="-127.26816888218578"/>
    <n v="0"/>
    <n v="0"/>
    <n v="0"/>
    <n v="0"/>
    <n v="-404.35759619152344"/>
    <n v="-266.34286551795549"/>
    <n v="0"/>
    <n v="0"/>
    <n v="0"/>
    <n v="0"/>
    <n v="0"/>
    <n v="-19.654555008942118"/>
    <m/>
    <n v="-1.78874645712359"/>
    <n v="-7.2266459301382158"/>
    <n v="-38.550139374504823"/>
    <n v="0"/>
    <n v="0"/>
    <n v="0"/>
    <n v="0"/>
    <n v="0"/>
    <n v="0"/>
    <n v="0"/>
    <n v="0"/>
    <n v="0"/>
    <n v="0"/>
    <m/>
    <n v="0"/>
    <n v="0"/>
    <n v="0"/>
    <n v="0"/>
    <n v="0"/>
    <n v="-28.208642970053774"/>
    <n v="0"/>
    <n v="0"/>
    <n v="0"/>
    <n v="-283.08"/>
    <n v="0"/>
    <m/>
    <m/>
    <m/>
    <m/>
    <m/>
    <m/>
    <m/>
    <m/>
    <m/>
    <n v="-294.55150848800929"/>
    <m/>
    <m/>
    <m/>
    <m/>
    <m/>
    <m/>
    <m/>
    <m/>
    <m/>
    <m/>
    <m/>
    <m/>
    <n v="-838.30240000000003"/>
    <n v="121.58348000000024"/>
    <m/>
    <m/>
    <m/>
    <m/>
    <n v="134.19945000000004"/>
    <n v="-12.18293999999997"/>
    <n v="30"/>
    <n v="-2.9960820250731786"/>
    <n v="-0.52751487426025356"/>
    <n v="-2.8139986546247258"/>
    <n v="0"/>
    <n v="0"/>
    <n v="0"/>
    <n v="0"/>
    <n v="0"/>
    <n v="0"/>
    <n v="0"/>
    <n v="0"/>
    <n v="-12.18176382143605"/>
    <n v="0"/>
    <n v="0"/>
    <n v="0"/>
    <n v="-1.2901829591571214"/>
    <n v="0"/>
    <n v="12.038446594327027"/>
    <m/>
    <n v="0"/>
    <n v="0"/>
    <n v="0"/>
    <n v="0"/>
    <n v="1.5693490160150496"/>
    <n v="0.20958267406303954"/>
    <n v="0"/>
    <n v="0"/>
    <m/>
    <m/>
    <m/>
    <n v="-404.35759619152344"/>
    <n v="0"/>
    <n v="0"/>
    <n v="134.19945000000007"/>
    <n v="-12.182939999999974"/>
    <n v="0"/>
    <n v="0"/>
    <n v="125.0277427380471"/>
    <n v="0"/>
    <n v="0"/>
    <n v="0"/>
    <n v="0"/>
    <n v="0"/>
    <n v="0"/>
    <n v="0"/>
    <n v="0"/>
    <n v="0"/>
    <n v="0"/>
    <n v="0"/>
    <n v="0"/>
    <n v="-66.5249123684460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4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8.2810000000000006"/>
    <n v="8.2810000000000006"/>
    <n v="8.2810000000000006"/>
    <n v="8.2810000000000006"/>
    <m/>
    <n v="333.61"/>
    <n v="128.11000000000001"/>
    <m/>
    <n v="3823.5033200000007"/>
    <n v="3823.5033200000007"/>
    <n v="3337.49143"/>
    <n v="0"/>
    <n v="506.93011376304975"/>
    <n v="0"/>
    <n v="0"/>
    <n v="0"/>
    <n v="0"/>
    <n v="1610.6230178268424"/>
    <n v="1060.8875754469404"/>
    <n v="0"/>
    <n v="0"/>
    <n v="0"/>
    <n v="0"/>
    <n v="0"/>
    <n v="78.287335271308166"/>
    <m/>
    <n v="7.1248722517751082"/>
    <n v="28.784923014658283"/>
    <n v="153.55156525265727"/>
    <n v="0"/>
    <n v="0"/>
    <n v="0"/>
    <n v="0"/>
    <n v="0"/>
    <n v="0"/>
    <n v="0"/>
    <n v="0"/>
    <n v="0"/>
    <n v="0"/>
    <m/>
    <n v="0"/>
    <n v="0"/>
    <n v="0"/>
    <n v="0"/>
    <n v="0"/>
    <n v="112.35967890092125"/>
    <n v="0"/>
    <n v="0"/>
    <n v="0"/>
    <n v="2377.1799999999998"/>
    <n v="15"/>
    <m/>
    <m/>
    <m/>
    <m/>
    <m/>
    <m/>
    <m/>
    <m/>
    <m/>
    <n v="1173.2472543478616"/>
    <m/>
    <m/>
    <m/>
    <m/>
    <m/>
    <m/>
    <m/>
    <m/>
    <m/>
    <m/>
    <m/>
    <m/>
    <n v="3337.0883999999996"/>
    <n v="-486.44492000000173"/>
    <m/>
    <m/>
    <m/>
    <m/>
    <n v="-534.5385500000001"/>
    <n v="48.526659999999879"/>
    <n v="30"/>
    <n v="11.93388900896116"/>
    <n v="2.1011787752521158"/>
    <n v="11.208620903774573"/>
    <n v="0"/>
    <n v="0"/>
    <n v="0"/>
    <n v="0"/>
    <n v="0"/>
    <n v="0"/>
    <n v="0"/>
    <n v="0"/>
    <n v="48.521975086730208"/>
    <n v="0"/>
    <n v="0"/>
    <n v="0"/>
    <n v="5.1390115847908362"/>
    <n v="0"/>
    <n v="-47.951118926225149"/>
    <m/>
    <n v="0"/>
    <n v="0"/>
    <n v="0"/>
    <n v="0"/>
    <n v="-6.2509760469555715"/>
    <n v="-0.83480236840597932"/>
    <n v="0"/>
    <n v="0"/>
    <m/>
    <m/>
    <m/>
    <n v="1610.6230178268424"/>
    <n v="0"/>
    <n v="0"/>
    <n v="-534.53855000000021"/>
    <n v="48.526659999999993"/>
    <n v="0"/>
    <n v="0"/>
    <n v="-498.00612679834899"/>
    <n v="0"/>
    <n v="0"/>
    <n v="0"/>
    <n v="0"/>
    <n v="0"/>
    <n v="0"/>
    <n v="0"/>
    <n v="0"/>
    <n v="0"/>
    <n v="0"/>
    <n v="0"/>
    <n v="0"/>
    <n v="264.9797014541134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5"/>
    <s v="Regular"/>
    <s v="Verde"/>
    <s v="A4"/>
    <s v="Comercial"/>
    <s v="Não se aplica"/>
    <s v="Não se aplica"/>
    <s v="Não se aplica"/>
    <s v="Ponta"/>
    <s v="CATIVO"/>
    <x v="9"/>
    <n v="0"/>
    <n v="0"/>
    <n v="34.24"/>
    <n v="34.24"/>
    <n v="34.24"/>
    <n v="34.24"/>
    <m/>
    <n v="1351.49"/>
    <n v="128.11000000000001"/>
    <m/>
    <n v="50661.504000000008"/>
    <n v="50661.504000000008"/>
    <n v="39098.998400000004"/>
    <n v="0"/>
    <n v="1823.5526835967571"/>
    <n v="0"/>
    <n v="0"/>
    <n v="0"/>
    <n v="0"/>
    <n v="38483.86416344381"/>
    <n v="4386.5222295982658"/>
    <n v="0"/>
    <n v="0"/>
    <n v="0"/>
    <n v="0"/>
    <n v="0"/>
    <n v="323.69983814630979"/>
    <m/>
    <n v="16.832406348178669"/>
    <n v="711.2513968187933"/>
    <n v="3783.2487337693856"/>
    <n v="0"/>
    <n v="0"/>
    <n v="0"/>
    <n v="0"/>
    <n v="0"/>
    <n v="0"/>
    <n v="0"/>
    <n v="0"/>
    <n v="0"/>
    <n v="0"/>
    <m/>
    <n v="0"/>
    <n v="0"/>
    <n v="0"/>
    <n v="0"/>
    <n v="0"/>
    <n v="179.37018835876614"/>
    <n v="0"/>
    <n v="0"/>
    <n v="0"/>
    <n v="0"/>
    <n v="0"/>
    <m/>
    <m/>
    <m/>
    <m/>
    <m/>
    <m/>
    <m/>
    <m/>
    <m/>
    <n v="4565.8924179570322"/>
    <m/>
    <m/>
    <m/>
    <m/>
    <m/>
    <m/>
    <m/>
    <m/>
    <m/>
    <m/>
    <m/>
    <m/>
    <n v="39098.998400000004"/>
    <n v="-11562.53560000001"/>
    <m/>
    <m/>
    <m/>
    <m/>
    <n v="-11763.151999999998"/>
    <n v="200.64639999999952"/>
    <n v="30"/>
    <n v="336.60005010677196"/>
    <n v="51.91837192348919"/>
    <n v="276.16130627994517"/>
    <n v="0"/>
    <n v="0"/>
    <n v="0"/>
    <n v="0"/>
    <n v="0"/>
    <n v="0"/>
    <n v="0"/>
    <n v="0"/>
    <n v="200.62702897834151"/>
    <n v="0"/>
    <n v="0"/>
    <n v="0"/>
    <n v="8.2038813652604006"/>
    <n v="0"/>
    <n v="-172.49200476627948"/>
    <m/>
    <n v="0"/>
    <n v="0"/>
    <n v="0"/>
    <n v="0"/>
    <n v="-25.846325304644211"/>
    <n v="-1.9722083693402936"/>
    <n v="0"/>
    <n v="0"/>
    <m/>
    <m/>
    <m/>
    <n v="38483.86416344381"/>
    <n v="0"/>
    <n v="0"/>
    <n v="-11763.152000000002"/>
    <n v="200.64639999999963"/>
    <n v="0"/>
    <n v="0"/>
    <n v="-11899.246393565918"/>
    <n v="0"/>
    <n v="0"/>
    <n v="0"/>
    <n v="0"/>
    <n v="0"/>
    <n v="0"/>
    <n v="0"/>
    <n v="0"/>
    <n v="0"/>
    <n v="0"/>
    <n v="0"/>
    <n v="0"/>
    <n v="953.1973590962786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6"/>
    <s v="Regular"/>
    <s v="Verde"/>
    <s v="A4"/>
    <s v="Comercial"/>
    <s v="Não se aplica"/>
    <s v="Não se aplica"/>
    <s v="Não se aplica"/>
    <s v="Fora ponta"/>
    <s v="CATIVO"/>
    <x v="9"/>
    <n v="0"/>
    <n v="0"/>
    <n v="381.92899999999997"/>
    <n v="381.92899999999997"/>
    <n v="381.92899999999997"/>
    <n v="381.92899999999997"/>
    <m/>
    <n v="96.28"/>
    <n v="128.11000000000001"/>
    <m/>
    <n v="85701.048310000013"/>
    <n v="85701.048310000013"/>
    <n v="85796.530559999999"/>
    <n v="0"/>
    <n v="20340.760890579022"/>
    <n v="0"/>
    <n v="0"/>
    <n v="0"/>
    <n v="0"/>
    <n v="0"/>
    <n v="48929.323850123714"/>
    <n v="0"/>
    <n v="0"/>
    <n v="0"/>
    <n v="0"/>
    <n v="0"/>
    <n v="3610.6996344445661"/>
    <m/>
    <n v="187.756545682054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00.7791083433171"/>
    <n v="0"/>
    <n v="0"/>
    <n v="0"/>
    <n v="0"/>
    <n v="0"/>
    <m/>
    <m/>
    <m/>
    <m/>
    <m/>
    <m/>
    <m/>
    <m/>
    <m/>
    <n v="50930.102958467032"/>
    <m/>
    <m/>
    <m/>
    <m/>
    <m/>
    <m/>
    <m/>
    <m/>
    <m/>
    <m/>
    <m/>
    <m/>
    <n v="85796.7552"/>
    <n v="95.676890000002459"/>
    <m/>
    <m/>
    <m/>
    <m/>
    <n v="-2142.6216899999995"/>
    <n v="2238.1039399999941"/>
    <n v="30"/>
    <n v="95.040219645743491"/>
    <n v="0"/>
    <n v="0"/>
    <n v="0"/>
    <n v="0"/>
    <n v="0"/>
    <n v="0"/>
    <n v="0"/>
    <n v="0"/>
    <n v="0"/>
    <n v="0"/>
    <n v="2237.8878665499069"/>
    <n v="0"/>
    <n v="0"/>
    <n v="0"/>
    <n v="91.509935921510987"/>
    <n v="0"/>
    <n v="-1924.0566264129775"/>
    <m/>
    <n v="0"/>
    <n v="0"/>
    <n v="0"/>
    <n v="0"/>
    <n v="-288.30202036441187"/>
    <n v="-21.998936048299328"/>
    <n v="0"/>
    <n v="0"/>
    <m/>
    <m/>
    <m/>
    <n v="0"/>
    <n v="0"/>
    <n v="0"/>
    <n v="-2142.6216899999999"/>
    <n v="2238.1039399999936"/>
    <n v="0"/>
    <n v="0"/>
    <n v="0"/>
    <n v="0"/>
    <n v="0"/>
    <n v="0"/>
    <n v="0"/>
    <n v="0"/>
    <n v="0"/>
    <n v="0"/>
    <n v="0"/>
    <n v="0"/>
    <n v="0"/>
    <n v="0"/>
    <n v="0"/>
    <n v="10632.40987623488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7"/>
    <s v="Regular"/>
    <s v="Verde"/>
    <s v="A4"/>
    <s v="Comercial"/>
    <s v="Não se aplica"/>
    <s v="Não se aplica"/>
    <s v="Não se aplica"/>
    <s v="Não se aplica"/>
    <s v="CATIVO"/>
    <x v="9"/>
    <n v="1647"/>
    <n v="1647"/>
    <n v="0"/>
    <n v="0"/>
    <n v="0"/>
    <n v="0"/>
    <n v="18.12"/>
    <m/>
    <m/>
    <n v="29843.640000000003"/>
    <m/>
    <n v="29843.640000000003"/>
    <n v="23799.149999999998"/>
    <n v="0"/>
    <n v="0"/>
    <n v="0"/>
    <n v="0"/>
    <n v="0"/>
    <n v="0"/>
    <n v="21508.071409724424"/>
    <m/>
    <m/>
    <m/>
    <n v="0"/>
    <n v="0"/>
    <n v="0"/>
    <n v="0"/>
    <m/>
    <n v="0"/>
    <n v="1309.1515685145505"/>
    <n v="7018.3957526326694"/>
    <n v="0"/>
    <n v="0"/>
    <m/>
    <m/>
    <n v="0"/>
    <n v="0"/>
    <n v="0"/>
    <m/>
    <m/>
    <n v="0"/>
    <m/>
    <n v="0"/>
    <n v="0"/>
    <n v="0"/>
    <n v="0"/>
    <m/>
    <n v="0"/>
    <n v="0"/>
    <n v="0"/>
    <n v="0"/>
    <n v="43947.39"/>
    <n v="17"/>
    <m/>
    <m/>
    <m/>
    <m/>
    <m/>
    <m/>
    <m/>
    <m/>
    <m/>
    <n v="0"/>
    <m/>
    <m/>
    <m/>
    <m/>
    <m/>
    <m/>
    <m/>
    <m/>
    <m/>
    <m/>
    <m/>
    <m/>
    <n v="23799.149999999998"/>
    <n v="-6044.52"/>
    <m/>
    <m/>
    <m/>
    <m/>
    <n v="-6044.4900000000025"/>
    <n v="0"/>
    <n v="30"/>
    <n v="607.87606318041435"/>
    <n v="95.562579338840806"/>
    <n v="512.3134838415744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508.071409724424"/>
    <m/>
    <n v="0"/>
    <n v="0"/>
    <n v="-6044.4900000000052"/>
    <m/>
    <n v="0"/>
    <m/>
    <n v="-6650.3155729832797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48"/>
    <s v="Regular"/>
    <s v="Convencional"/>
    <s v="B2"/>
    <s v="Rural"/>
    <s v="Não se aplica"/>
    <s v="Não se aplica"/>
    <s v="Não se aplica"/>
    <s v="Não se aplica"/>
    <s v="CATIVO"/>
    <x v="9"/>
    <n v="0"/>
    <n v="0"/>
    <n v="934.24300000000005"/>
    <n v="934.24300000000005"/>
    <n v="934.24300000000005"/>
    <n v="934.24300000000005"/>
    <m/>
    <n v="333.61"/>
    <n v="128.11000000000001"/>
    <m/>
    <n v="431358.67796000006"/>
    <n v="431358.67796000006"/>
    <n v="376527.95629"/>
    <n v="0"/>
    <n v="57190.666619047559"/>
    <n v="0"/>
    <n v="0"/>
    <n v="0"/>
    <n v="0"/>
    <n v="181706.71175505407"/>
    <n v="119686.84834540224"/>
    <n v="0"/>
    <n v="0"/>
    <n v="0"/>
    <n v="0"/>
    <n v="0"/>
    <n v="8832.1935715339641"/>
    <m/>
    <n v="803.81137871212798"/>
    <n v="3247.4475102020765"/>
    <n v="17323.327493821795"/>
    <n v="0"/>
    <n v="0"/>
    <n v="0"/>
    <n v="0"/>
    <n v="0"/>
    <n v="0"/>
    <n v="0"/>
    <n v="0"/>
    <n v="0"/>
    <n v="0"/>
    <m/>
    <n v="0"/>
    <n v="0"/>
    <n v="0"/>
    <n v="0"/>
    <n v="0"/>
    <n v="12676.155475840282"/>
    <n v="0"/>
    <n v="0"/>
    <n v="0"/>
    <n v="66596.97"/>
    <n v="2318"/>
    <m/>
    <m/>
    <m/>
    <m/>
    <m/>
    <n v="45189.333909999994"/>
    <m/>
    <m/>
    <m/>
    <n v="132363.00382124251"/>
    <m/>
    <m/>
    <m/>
    <m/>
    <m/>
    <m/>
    <m/>
    <m/>
    <m/>
    <m/>
    <m/>
    <m/>
    <n v="331337.55840000004"/>
    <n v="-48264.087360000005"/>
    <m/>
    <m/>
    <m/>
    <m/>
    <n v="-60305.385650000011"/>
    <n v="5474.6639799999866"/>
    <n v="30"/>
    <n v="1346.3533715008816"/>
    <n v="237.05006189202595"/>
    <n v="1264.5303247198499"/>
    <n v="0"/>
    <n v="0"/>
    <n v="0"/>
    <n v="0"/>
    <n v="0"/>
    <n v="0"/>
    <n v="0"/>
    <n v="0"/>
    <n v="5474.1354390716297"/>
    <n v="0"/>
    <n v="0"/>
    <n v="0"/>
    <n v="579.7712353592251"/>
    <n v="0"/>
    <n v="-5409.7327857738637"/>
    <m/>
    <n v="0"/>
    <n v="0"/>
    <n v="0"/>
    <n v="0"/>
    <n v="-705.22045828232331"/>
    <n v="-94.180445485654673"/>
    <n v="0"/>
    <n v="0"/>
    <m/>
    <m/>
    <m/>
    <n v="181706.71175505407"/>
    <n v="0"/>
    <n v="0"/>
    <n v="-60305.385650000011"/>
    <n v="5474.663979999983"/>
    <n v="0"/>
    <n v="0"/>
    <n v="-56183.883337576379"/>
    <n v="0"/>
    <n v="0"/>
    <n v="0"/>
    <n v="0"/>
    <n v="0"/>
    <n v="0"/>
    <n v="0"/>
    <n v="0"/>
    <n v="0"/>
    <n v="0"/>
    <n v="0"/>
    <n v="0"/>
    <n v="29894.3885068947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49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29.890999999999998"/>
    <n v="29.890999999999998"/>
    <n v="29.890999999999998"/>
    <n v="29.890999999999998"/>
    <m/>
    <n v="333.61"/>
    <n v="128.11000000000001"/>
    <m/>
    <n v="13801.272519999999"/>
    <n v="13801.272519999999"/>
    <n v="12046.969730000001"/>
    <n v="0"/>
    <n v="1829.8089639525804"/>
    <n v="0"/>
    <n v="0"/>
    <n v="0"/>
    <n v="0"/>
    <n v="5813.6858623188191"/>
    <n v="3829.3672886951445"/>
    <n v="0"/>
    <n v="0"/>
    <n v="0"/>
    <n v="0"/>
    <n v="0"/>
    <n v="282.58504269951356"/>
    <m/>
    <n v="25.717854906147775"/>
    <n v="103.90171885414208"/>
    <n v="554.25792017475885"/>
    <n v="0"/>
    <n v="0"/>
    <n v="0"/>
    <n v="0"/>
    <n v="0"/>
    <n v="0"/>
    <n v="0"/>
    <n v="0"/>
    <n v="0"/>
    <n v="0"/>
    <m/>
    <n v="0"/>
    <n v="0"/>
    <n v="0"/>
    <n v="0"/>
    <n v="0"/>
    <n v="405.57217268777163"/>
    <n v="0"/>
    <n v="0"/>
    <n v="0"/>
    <n v="6494.27"/>
    <n v="41"/>
    <m/>
    <m/>
    <m/>
    <m/>
    <m/>
    <n v="1445.8276699999997"/>
    <m/>
    <m/>
    <m/>
    <n v="4234.9394613829163"/>
    <m/>
    <m/>
    <m/>
    <m/>
    <m/>
    <m/>
    <m/>
    <m/>
    <m/>
    <m/>
    <m/>
    <m/>
    <n v="10600.787400000001"/>
    <n v="-1544.5537199999981"/>
    <m/>
    <m/>
    <m/>
    <m/>
    <n v="-1929.4640500000003"/>
    <n v="175.16125999999954"/>
    <n v="30"/>
    <n v="43.076425113737059"/>
    <n v="7.5843901426230076"/>
    <n v="40.458505909277392"/>
    <n v="0"/>
    <n v="0"/>
    <n v="0"/>
    <n v="0"/>
    <n v="0"/>
    <n v="0"/>
    <n v="0"/>
    <n v="0"/>
    <n v="175.1443493922784"/>
    <n v="0"/>
    <n v="0"/>
    <n v="0"/>
    <n v="18.549715647987284"/>
    <n v="0"/>
    <n v="-173.0837937234387"/>
    <m/>
    <n v="0"/>
    <n v="0"/>
    <n v="0"/>
    <n v="0"/>
    <n v="-22.563449464985979"/>
    <n v="-3.0132927900039981"/>
    <n v="0"/>
    <n v="0"/>
    <m/>
    <m/>
    <m/>
    <n v="5813.6858623188191"/>
    <n v="0"/>
    <n v="0"/>
    <n v="-1929.4640499999996"/>
    <n v="175.16125999999986"/>
    <n v="0"/>
    <n v="0"/>
    <n v="-1797.5970457830513"/>
    <n v="0"/>
    <n v="0"/>
    <n v="0"/>
    <n v="0"/>
    <n v="0"/>
    <n v="0"/>
    <n v="0"/>
    <n v="0"/>
    <n v="0"/>
    <n v="0"/>
    <n v="0"/>
    <n v="0"/>
    <n v="956.4676073137185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0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486.8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51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51.66300000000001"/>
    <n v="151.66300000000001"/>
    <n v="151.66300000000001"/>
    <n v="151.66300000000001"/>
    <m/>
    <n v="333.61"/>
    <n v="128.11000000000001"/>
    <m/>
    <n v="70025.840360000002"/>
    <n v="70025.840360000002"/>
    <n v="61124.738890000008"/>
    <n v="0"/>
    <n v="9284.2098591529302"/>
    <n v="0"/>
    <n v="0"/>
    <n v="0"/>
    <n v="0"/>
    <n v="29497.876917361718"/>
    <n v="19429.705633982529"/>
    <n v="0"/>
    <n v="0"/>
    <n v="0"/>
    <n v="0"/>
    <n v="0"/>
    <n v="1433.7993152098068"/>
    <m/>
    <n v="130.48901102777057"/>
    <n v="527.18364680257446"/>
    <n v="2812.2317402383478"/>
    <n v="0"/>
    <n v="0"/>
    <n v="0"/>
    <n v="0"/>
    <n v="0"/>
    <n v="0"/>
    <n v="0"/>
    <n v="0"/>
    <n v="0"/>
    <n v="0"/>
    <m/>
    <n v="0"/>
    <n v="0"/>
    <n v="0"/>
    <n v="0"/>
    <n v="0"/>
    <n v="2057.8198262468809"/>
    <n v="0"/>
    <n v="0"/>
    <n v="0"/>
    <n v="17096.05"/>
    <n v="217"/>
    <m/>
    <m/>
    <m/>
    <m/>
    <m/>
    <m/>
    <m/>
    <m/>
    <m/>
    <n v="21487.525460229408"/>
    <m/>
    <m/>
    <m/>
    <m/>
    <m/>
    <m/>
    <m/>
    <m/>
    <m/>
    <m/>
    <m/>
    <m/>
    <n v="61123.529800000004"/>
    <n v="-8902.3405600000115"/>
    <m/>
    <m/>
    <m/>
    <m/>
    <n v="-9789.8466500000031"/>
    <n v="888.74517999999784"/>
    <n v="30"/>
    <n v="218.56411167323677"/>
    <n v="38.482197390540023"/>
    <n v="205.28113417813847"/>
    <n v="0"/>
    <n v="0"/>
    <n v="0"/>
    <n v="0"/>
    <n v="0"/>
    <n v="0"/>
    <n v="0"/>
    <n v="0"/>
    <n v="888.65937780205059"/>
    <n v="0"/>
    <n v="0"/>
    <n v="0"/>
    <n v="94.118815841580727"/>
    <n v="0"/>
    <n v="-878.20438953122721"/>
    <m/>
    <n v="0"/>
    <n v="0"/>
    <n v="0"/>
    <n v="0"/>
    <n v="-114.48397297541624"/>
    <n v="-15.289051032430379"/>
    <n v="0"/>
    <n v="0"/>
    <m/>
    <m/>
    <m/>
    <n v="29497.876917361718"/>
    <n v="0"/>
    <n v="0"/>
    <n v="-9789.8466499999995"/>
    <n v="888.74517999999807"/>
    <n v="0"/>
    <n v="0"/>
    <n v="-9120.7708258203093"/>
    <n v="0"/>
    <n v="0"/>
    <n v="0"/>
    <n v="0"/>
    <n v="0"/>
    <n v="0"/>
    <n v="0"/>
    <n v="0"/>
    <n v="0"/>
    <n v="0"/>
    <n v="0"/>
    <n v="0"/>
    <n v="4852.99075735239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2"/>
    <s v="Sistema de Compensação"/>
    <s v="Convencional"/>
    <s v="B3"/>
    <s v="Poder público"/>
    <s v="Não se aplica"/>
    <s v="Não se aplica"/>
    <s v="Não se aplica"/>
    <s v="Não se aplica"/>
    <s v="CATIVO"/>
    <x v="9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86.61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30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3"/>
    <s v="Regular"/>
    <s v="Verde"/>
    <s v="A4"/>
    <s v="Poder público"/>
    <s v="Não se aplica"/>
    <s v="Não se aplica"/>
    <s v="Não se aplica"/>
    <s v="Ponta"/>
    <s v="CATIVO"/>
    <x v="9"/>
    <n v="0"/>
    <n v="0"/>
    <n v="2.0720000000000001"/>
    <n v="2.0720000000000001"/>
    <n v="2.0720000000000001"/>
    <n v="2.0720000000000001"/>
    <m/>
    <n v="1351.49"/>
    <n v="128.11000000000001"/>
    <m/>
    <n v="3065.7312000000002"/>
    <n v="3065.7312000000002"/>
    <n v="2366.0375200000003"/>
    <n v="0"/>
    <n v="110.35050118027104"/>
    <n v="0"/>
    <n v="0"/>
    <n v="0"/>
    <n v="0"/>
    <n v="2328.8132753112027"/>
    <n v="265.44608819297918"/>
    <n v="0"/>
    <n v="0"/>
    <n v="0"/>
    <n v="0"/>
    <n v="0"/>
    <n v="19.588378056050054"/>
    <m/>
    <n v="1.0185965523781018"/>
    <n v="43.04068032151109"/>
    <n v="228.93958459025021"/>
    <n v="0"/>
    <n v="0"/>
    <n v="0"/>
    <n v="0"/>
    <n v="0"/>
    <n v="0"/>
    <n v="0"/>
    <n v="0"/>
    <n v="0"/>
    <n v="0"/>
    <m/>
    <n v="0"/>
    <n v="0"/>
    <n v="0"/>
    <n v="0"/>
    <n v="0"/>
    <n v="10.854410931056174"/>
    <n v="0"/>
    <n v="0"/>
    <n v="0"/>
    <n v="0"/>
    <n v="0"/>
    <m/>
    <m/>
    <m/>
    <m/>
    <m/>
    <m/>
    <m/>
    <m/>
    <m/>
    <n v="276.30049912403535"/>
    <m/>
    <m/>
    <m/>
    <m/>
    <m/>
    <m/>
    <m/>
    <m/>
    <m/>
    <m/>
    <m/>
    <m/>
    <n v="2363.7536999999998"/>
    <n v="-702.00750000000107"/>
    <m/>
    <m/>
    <m/>
    <m/>
    <n v="-711.83559999999989"/>
    <n v="12.141919999999971"/>
    <n v="30"/>
    <n v="20.369021723750848"/>
    <n v="3.1417893290148768"/>
    <n v="16.711630450118179"/>
    <n v="0"/>
    <n v="0"/>
    <n v="0"/>
    <n v="0"/>
    <n v="0"/>
    <n v="0"/>
    <n v="0"/>
    <n v="0"/>
    <n v="12.140747781633252"/>
    <n v="0"/>
    <n v="0"/>
    <n v="0"/>
    <n v="0.49644983028094458"/>
    <n v="0"/>
    <n v="-10.438184400576247"/>
    <m/>
    <n v="0"/>
    <n v="0"/>
    <n v="0"/>
    <n v="0"/>
    <n v="-1.5640650125941242"/>
    <n v="-0.11934625412596644"/>
    <n v="0"/>
    <n v="0"/>
    <m/>
    <m/>
    <m/>
    <n v="2328.8132753112027"/>
    <n v="0"/>
    <n v="0"/>
    <n v="-711.83559999999989"/>
    <n v="12.141919999999971"/>
    <n v="0"/>
    <n v="0"/>
    <n v="-720.07121867606861"/>
    <n v="0"/>
    <n v="0"/>
    <n v="0"/>
    <n v="0"/>
    <n v="0"/>
    <n v="0"/>
    <n v="0"/>
    <n v="0"/>
    <n v="0"/>
    <n v="0"/>
    <n v="0"/>
    <n v="0"/>
    <n v="57.68180280512527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4"/>
    <s v="Regular"/>
    <s v="Verde"/>
    <s v="A4"/>
    <s v="Poder público"/>
    <s v="Não se aplica"/>
    <s v="Não se aplica"/>
    <s v="Não se aplica"/>
    <s v="Fora ponta"/>
    <s v="CATIVO"/>
    <x v="9"/>
    <n v="0"/>
    <n v="0"/>
    <n v="21.259"/>
    <n v="21.259"/>
    <n v="21.259"/>
    <n v="21.259"/>
    <m/>
    <n v="96.28"/>
    <n v="128.11000000000001"/>
    <m/>
    <n v="4770.3070100000004"/>
    <n v="4770.3070100000004"/>
    <n v="4775.62176"/>
    <n v="0"/>
    <n v="1132.2110543394701"/>
    <n v="0"/>
    <n v="0"/>
    <n v="0"/>
    <n v="0"/>
    <n v="0"/>
    <n v="2723.5127359529652"/>
    <n v="0"/>
    <n v="0"/>
    <n v="0"/>
    <n v="0"/>
    <n v="0"/>
    <n v="200.97940593318924"/>
    <m/>
    <n v="10.450938275582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36772296492433"/>
    <n v="0"/>
    <n v="0"/>
    <n v="0"/>
    <n v="0"/>
    <n v="0"/>
    <m/>
    <m/>
    <m/>
    <m/>
    <m/>
    <m/>
    <m/>
    <m/>
    <m/>
    <n v="2834.8804589178894"/>
    <m/>
    <m/>
    <m/>
    <m/>
    <m/>
    <m/>
    <m/>
    <m/>
    <m/>
    <m/>
    <m/>
    <m/>
    <n v="4775.8464000000004"/>
    <n v="5.5093900000001668"/>
    <m/>
    <m/>
    <m/>
    <m/>
    <n v="-119.26298999999999"/>
    <n v="124.57773999999969"/>
    <n v="30"/>
    <n v="5.2901456277168108"/>
    <n v="0"/>
    <n v="0"/>
    <n v="0"/>
    <n v="0"/>
    <n v="0"/>
    <n v="0"/>
    <n v="0"/>
    <n v="0"/>
    <n v="0"/>
    <n v="0"/>
    <n v="124.56571288114947"/>
    <n v="0"/>
    <n v="0"/>
    <n v="0"/>
    <n v="5.0936423464974041"/>
    <n v="0"/>
    <n v="-107.09718251537197"/>
    <m/>
    <n v="0"/>
    <n v="0"/>
    <n v="0"/>
    <n v="0"/>
    <n v="-16.047518389352547"/>
    <n v="-1.2245086952045945"/>
    <n v="0"/>
    <n v="0"/>
    <m/>
    <m/>
    <m/>
    <n v="0"/>
    <n v="0"/>
    <n v="0"/>
    <n v="-119.26298999999995"/>
    <n v="124.57773999999972"/>
    <n v="0"/>
    <n v="0"/>
    <n v="0"/>
    <n v="0"/>
    <n v="0"/>
    <n v="0"/>
    <n v="0"/>
    <n v="0"/>
    <n v="0"/>
    <n v="0"/>
    <n v="0"/>
    <n v="0"/>
    <n v="0"/>
    <n v="0"/>
    <n v="0"/>
    <n v="591.8230916188022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5"/>
    <s v="Regular"/>
    <s v="Verde"/>
    <s v="A4"/>
    <s v="Poder público"/>
    <s v="Não se aplica"/>
    <s v="Não se aplica"/>
    <s v="Não se aplica"/>
    <s v="Não se aplica"/>
    <s v="CATIVO"/>
    <x v="9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3314.96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0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56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993.78499999999997"/>
    <n v="993.78499999999997"/>
    <n v="993.78499999999997"/>
    <n v="993.78499999999997"/>
    <m/>
    <n v="183.49"/>
    <n v="70.459999999999994"/>
    <m/>
    <n v="252371.70074999999"/>
    <n v="252371.70074999999"/>
    <n v="220282.38309999998"/>
    <n v="0"/>
    <n v="33459.575982164817"/>
    <n v="0"/>
    <n v="0"/>
    <n v="0"/>
    <n v="0"/>
    <n v="106308.07241565998"/>
    <n v="70023.159949408015"/>
    <n v="0"/>
    <n v="0"/>
    <n v="0"/>
    <n v="0"/>
    <n v="0"/>
    <n v="5167.3021030586042"/>
    <m/>
    <n v="470.27232748480583"/>
    <n v="1899.9291866884698"/>
    <n v="10135.066205897407"/>
    <n v="0"/>
    <n v="0"/>
    <n v="0"/>
    <n v="0"/>
    <n v="0"/>
    <n v="0"/>
    <n v="0"/>
    <n v="0"/>
    <n v="0"/>
    <n v="0"/>
    <m/>
    <n v="0"/>
    <n v="0"/>
    <n v="0"/>
    <n v="0"/>
    <n v="0"/>
    <n v="7416.2238767181989"/>
    <n v="0"/>
    <n v="0"/>
    <n v="0"/>
    <n v="73427.44"/>
    <n v="5"/>
    <m/>
    <m/>
    <m/>
    <m/>
    <m/>
    <m/>
    <m/>
    <m/>
    <m/>
    <n v="77439.383826126214"/>
    <m/>
    <m/>
    <m/>
    <m/>
    <m/>
    <m/>
    <m/>
    <m/>
    <m/>
    <m/>
    <m/>
    <m/>
    <n v="220283.4914"/>
    <n v="-32088.239350000018"/>
    <m/>
    <m/>
    <m/>
    <m/>
    <n v="-35289.305350000017"/>
    <n v="3199.9877000000129"/>
    <n v="30"/>
    <n v="787.68819452030584"/>
    <n v="138.68687018961032"/>
    <n v="739.81736851491587"/>
    <n v="0"/>
    <n v="0"/>
    <n v="0"/>
    <n v="0"/>
    <n v="0"/>
    <n v="0"/>
    <n v="0"/>
    <n v="0"/>
    <n v="3202.6598304987565"/>
    <n v="0"/>
    <n v="0"/>
    <n v="0"/>
    <n v="339.19695028205024"/>
    <n v="0"/>
    <n v="-3164.9808594559472"/>
    <m/>
    <n v="0"/>
    <n v="0"/>
    <n v="0"/>
    <n v="0"/>
    <n v="-412.5914052593871"/>
    <n v="-55.100560249666103"/>
    <n v="0"/>
    <n v="0"/>
    <m/>
    <m/>
    <m/>
    <n v="106308.07241565998"/>
    <n v="0"/>
    <n v="0"/>
    <n v="-35289.30535000001"/>
    <n v="3199.9877000000124"/>
    <n v="0"/>
    <n v="0"/>
    <n v="-32870.554316648399"/>
    <n v="0"/>
    <n v="0"/>
    <n v="0"/>
    <n v="0"/>
    <n v="0"/>
    <n v="0"/>
    <n v="0"/>
    <n v="0"/>
    <n v="0"/>
    <n v="0"/>
    <n v="0"/>
    <n v="0"/>
    <n v="17489.80424287731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7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75.765000000000001"/>
    <n v="71.219099999999997"/>
    <n v="75.765000000000001"/>
    <n v="71.219099999999997"/>
    <m/>
    <n v="333.61"/>
    <n v="128.11000000000001"/>
    <m/>
    <n v="34982.215800000005"/>
    <n v="34982.215800000005"/>
    <n v="30535.567950000001"/>
    <n v="0"/>
    <n v="4638.0340622216472"/>
    <n v="0"/>
    <n v="0"/>
    <n v="0"/>
    <n v="0"/>
    <n v="14736.004461496281"/>
    <n v="9706.3334324039897"/>
    <n v="0"/>
    <n v="0"/>
    <n v="0"/>
    <n v="0"/>
    <n v="0"/>
    <n v="716.27097655242881"/>
    <m/>
    <n v="65.187289718118706"/>
    <n v="263.36066806008751"/>
    <n v="1404.8827848529861"/>
    <n v="0"/>
    <n v="0"/>
    <n v="0"/>
    <n v="0"/>
    <n v="0"/>
    <n v="0"/>
    <n v="0"/>
    <n v="0"/>
    <n v="0"/>
    <n v="0"/>
    <m/>
    <n v="0"/>
    <n v="0"/>
    <n v="0"/>
    <n v="0"/>
    <n v="0"/>
    <n v="1028.0076164627822"/>
    <n v="0"/>
    <n v="0"/>
    <n v="0"/>
    <n v="9567.7000000000007"/>
    <n v="27"/>
    <m/>
    <m/>
    <m/>
    <m/>
    <n v="1832.1340770000015"/>
    <m/>
    <m/>
    <m/>
    <m/>
    <n v="10734.341048866772"/>
    <m/>
    <m/>
    <m/>
    <m/>
    <m/>
    <m/>
    <m/>
    <m/>
    <m/>
    <m/>
    <m/>
    <m/>
    <n v="28703.796600000001"/>
    <n v="-4179.516251999994"/>
    <m/>
    <m/>
    <m/>
    <m/>
    <n v="-4890.6307500000012"/>
    <n v="443.98289999999889"/>
    <n v="30"/>
    <n v="109.18622156308993"/>
    <n v="19.22422532387111"/>
    <n v="102.55055703109292"/>
    <n v="0"/>
    <n v="0"/>
    <n v="0"/>
    <n v="0"/>
    <n v="0"/>
    <n v="0"/>
    <n v="0"/>
    <n v="0"/>
    <n v="443.94003652289757"/>
    <n v="0"/>
    <n v="0"/>
    <n v="0"/>
    <n v="47.018139442298889"/>
    <n v="0"/>
    <n v="-438.71712660855519"/>
    <m/>
    <n v="0"/>
    <n v="0"/>
    <n v="0"/>
    <n v="0"/>
    <n v="-57.191788455209348"/>
    <n v="-7.6378216933074512"/>
    <n v="0"/>
    <n v="0"/>
    <m/>
    <m/>
    <m/>
    <n v="14736.004461496281"/>
    <n v="0"/>
    <n v="0"/>
    <n v="-4890.6307500000003"/>
    <n v="443.98289999999906"/>
    <n v="0"/>
    <n v="0"/>
    <n v="-4556.3862090178609"/>
    <n v="0"/>
    <n v="0"/>
    <n v="0"/>
    <n v="0"/>
    <n v="0"/>
    <n v="0"/>
    <n v="0"/>
    <n v="0"/>
    <n v="0"/>
    <n v="0"/>
    <n v="0"/>
    <n v="0"/>
    <n v="2424.36747743882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8"/>
    <s v="Regular"/>
    <s v="Azul"/>
    <s v="A4"/>
    <s v="Serviço público"/>
    <s v="Água, esgoto e saneamento"/>
    <s v="Não se aplica"/>
    <s v="Não se aplica"/>
    <s v="Ponta"/>
    <s v="CATIVO"/>
    <x v="9"/>
    <n v="497"/>
    <n v="467.18"/>
    <n v="15.795"/>
    <n v="14.847300000000001"/>
    <n v="15.795"/>
    <n v="14.847300000000001"/>
    <n v="52.19"/>
    <n v="96.28"/>
    <n v="128.11000000000001"/>
    <n v="25938.43"/>
    <n v="3544.2400500000003"/>
    <n v="29482.670050000001"/>
    <n v="22503.768800000002"/>
    <n v="0"/>
    <n v="841.20953964400633"/>
    <n v="0"/>
    <n v="0"/>
    <n v="0"/>
    <n v="0"/>
    <n v="23226.622324707889"/>
    <n v="2023.5139782857652"/>
    <n v="0"/>
    <n v="0"/>
    <n v="0"/>
    <n v="0"/>
    <n v="0"/>
    <n v="149.32356727572906"/>
    <m/>
    <n v="7.764832309272256"/>
    <n v="429.22392841896755"/>
    <n v="2283.35918041684"/>
    <n v="0"/>
    <n v="0"/>
    <n v="0"/>
    <n v="0"/>
    <n v="0"/>
    <n v="0"/>
    <n v="0"/>
    <n v="0"/>
    <n v="0"/>
    <n v="0"/>
    <m/>
    <n v="0"/>
    <n v="0"/>
    <n v="0"/>
    <n v="0"/>
    <n v="0"/>
    <n v="82.743928888046469"/>
    <n v="0"/>
    <n v="0"/>
    <n v="0"/>
    <n v="0"/>
    <n v="0"/>
    <m/>
    <m/>
    <m/>
    <m/>
    <n v="1350.2261279999996"/>
    <m/>
    <m/>
    <m/>
    <m/>
    <n v="2106.2579071738119"/>
    <m/>
    <m/>
    <m/>
    <m/>
    <m/>
    <m/>
    <m/>
    <m/>
    <m/>
    <m/>
    <m/>
    <m/>
    <n v="21154.1492"/>
    <n v="-6559.5906469999936"/>
    <m/>
    <m/>
    <m/>
    <m/>
    <n v="-7071.4599499999986"/>
    <n v="92.55869999999976"/>
    <n v="30"/>
    <n v="201.93767105678489"/>
    <n v="31.331548386111194"/>
    <n v="166.6756532135114"/>
    <n v="0"/>
    <n v="0"/>
    <n v="0"/>
    <n v="0"/>
    <n v="0"/>
    <n v="0"/>
    <n v="0"/>
    <n v="0"/>
    <n v="92.549764097923571"/>
    <n v="0"/>
    <n v="0"/>
    <n v="0"/>
    <n v="3.7844715585364384"/>
    <n v="0"/>
    <n v="-79.571005119257734"/>
    <m/>
    <n v="0"/>
    <n v="0"/>
    <n v="0"/>
    <n v="0"/>
    <n v="-11.922976290503954"/>
    <n v="-0.90978478953650477"/>
    <n v="0"/>
    <n v="0"/>
    <m/>
    <m/>
    <n v="23226.622324707889"/>
    <n v="0"/>
    <n v="0"/>
    <n v="0"/>
    <n v="-7071.4599500000004"/>
    <n v="92.55869999999959"/>
    <n v="0"/>
    <n v="0"/>
    <n v="-7181.6931054063516"/>
    <n v="0"/>
    <n v="0"/>
    <n v="0"/>
    <n v="0"/>
    <n v="0"/>
    <n v="0"/>
    <n v="0"/>
    <n v="0"/>
    <n v="0"/>
    <n v="0"/>
    <n v="0"/>
    <n v="0"/>
    <n v="439.7123915574100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59"/>
    <s v="Regular"/>
    <s v="Azul"/>
    <s v="A4"/>
    <s v="Serviço público"/>
    <s v="Água, esgoto e saneamento"/>
    <s v="Não se aplica"/>
    <s v="Não se aplica"/>
    <s v="Fora ponta"/>
    <s v="CATIVO"/>
    <x v="9"/>
    <n v="497"/>
    <n v="467.18"/>
    <n v="136.583"/>
    <n v="128.38802000000001"/>
    <n v="136.583"/>
    <n v="128.38802000000001"/>
    <n v="18.12"/>
    <n v="96.28"/>
    <n v="128.11000000000001"/>
    <n v="9005.6400000000012"/>
    <n v="30647.859370000002"/>
    <n v="39653.499370000005"/>
    <n v="37863.655119999996"/>
    <n v="0"/>
    <n v="7274.1324820004629"/>
    <n v="0"/>
    <n v="0"/>
    <n v="0"/>
    <n v="0"/>
    <n v="6490.2923440394898"/>
    <n v="17497.791053890767"/>
    <n v="0"/>
    <n v="0"/>
    <n v="0"/>
    <n v="0"/>
    <n v="0"/>
    <n v="1291.235250979481"/>
    <m/>
    <n v="67.14429194664973"/>
    <n v="395.05059474907807"/>
    <n v="2117.8765568053655"/>
    <n v="0"/>
    <n v="0"/>
    <n v="0"/>
    <n v="0"/>
    <n v="0"/>
    <n v="0"/>
    <n v="0"/>
    <n v="0"/>
    <n v="0"/>
    <n v="0"/>
    <m/>
    <n v="0"/>
    <n v="0"/>
    <n v="0"/>
    <n v="0"/>
    <n v="0"/>
    <n v="715.50579546160498"/>
    <n v="0"/>
    <n v="0"/>
    <n v="0"/>
    <n v="0"/>
    <n v="0"/>
    <m/>
    <m/>
    <m/>
    <m/>
    <n v="2271.8193071999967"/>
    <m/>
    <m/>
    <m/>
    <m/>
    <n v="18213.296849352373"/>
    <m/>
    <m/>
    <m/>
    <m/>
    <m/>
    <m/>
    <m/>
    <m/>
    <m/>
    <m/>
    <m/>
    <m/>
    <n v="35592.280599999998"/>
    <n v="-1682.0388078000105"/>
    <m/>
    <m/>
    <m/>
    <m/>
    <n v="-2590.2206300000007"/>
    <n v="800.37637999999799"/>
    <n v="30"/>
    <n v="217.42082718780148"/>
    <n v="28.837038209717036"/>
    <n v="154.59611503901806"/>
    <n v="0"/>
    <n v="0"/>
    <n v="0"/>
    <n v="0"/>
    <n v="0"/>
    <n v="0"/>
    <n v="0"/>
    <n v="0"/>
    <n v="800.29910919827307"/>
    <n v="0"/>
    <n v="0"/>
    <n v="0"/>
    <n v="32.72519651026164"/>
    <n v="0"/>
    <n v="-688.06879342852608"/>
    <m/>
    <n v="0"/>
    <n v="0"/>
    <n v="0"/>
    <n v="0"/>
    <n v="-103.10071989147832"/>
    <n v="-7.8671184494627653"/>
    <n v="0"/>
    <n v="0"/>
    <m/>
    <m/>
    <n v="6490.2923440394898"/>
    <n v="0"/>
    <n v="0"/>
    <n v="0"/>
    <n v="-2590.2206300000034"/>
    <n v="800.37637999999788"/>
    <n v="0"/>
    <n v="0"/>
    <n v="-2006.8043957332666"/>
    <n v="0"/>
    <n v="0"/>
    <n v="0"/>
    <n v="0"/>
    <n v="0"/>
    <n v="0"/>
    <n v="0"/>
    <n v="0"/>
    <n v="0"/>
    <n v="0"/>
    <n v="0"/>
    <n v="0"/>
    <n v="3802.294243500205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0"/>
    <s v="Regular"/>
    <s v="Azul"/>
    <s v="A4"/>
    <s v="Serviço público"/>
    <s v="Água, esgoto e saneamento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434.87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61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0.999"/>
    <n v="0.999"/>
    <n v="0.999"/>
    <n v="0.999"/>
    <m/>
    <n v="333.61"/>
    <n v="128.11000000000001"/>
    <m/>
    <n v="461.25828000000001"/>
    <n v="461.25828000000001"/>
    <n v="402.62696999999997"/>
    <n v="0"/>
    <n v="61.154834397933421"/>
    <n v="0"/>
    <n v="0"/>
    <n v="0"/>
    <n v="0"/>
    <n v="194.30170206605669"/>
    <n v="127.9829353787578"/>
    <n v="0"/>
    <n v="0"/>
    <n v="0"/>
    <n v="0"/>
    <n v="0"/>
    <n v="9.4443965627384188"/>
    <m/>
    <n v="0.85952751835808872"/>
    <n v="3.4725441482482333"/>
    <n v="18.524092946190628"/>
    <n v="0"/>
    <n v="0"/>
    <n v="0"/>
    <n v="0"/>
    <n v="0"/>
    <n v="0"/>
    <n v="0"/>
    <n v="0"/>
    <n v="0"/>
    <n v="0"/>
    <m/>
    <n v="0"/>
    <n v="0"/>
    <n v="0"/>
    <n v="0"/>
    <n v="0"/>
    <n v="13.554802466129734"/>
    <n v="0"/>
    <n v="0"/>
    <n v="0"/>
    <n v="134.19999999999999"/>
    <n v="2"/>
    <m/>
    <m/>
    <m/>
    <m/>
    <m/>
    <m/>
    <m/>
    <m/>
    <m/>
    <n v="141.53773784488754"/>
    <m/>
    <m/>
    <m/>
    <m/>
    <m/>
    <m/>
    <m/>
    <m/>
    <m/>
    <m/>
    <m/>
    <m/>
    <n v="403.03"/>
    <n v="-58.258280000000013"/>
    <m/>
    <m/>
    <m/>
    <m/>
    <n v="-64.485450000000014"/>
    <n v="5.854139999999985"/>
    <n v="30"/>
    <n v="1.4396757782818668"/>
    <n v="0.25348117334583575"/>
    <n v="1.3521811717027923"/>
    <n v="0"/>
    <n v="0"/>
    <n v="0"/>
    <n v="0"/>
    <n v="0"/>
    <n v="0"/>
    <n v="0"/>
    <n v="0"/>
    <n v="5.8535748232874738"/>
    <n v="0"/>
    <n v="0"/>
    <n v="0"/>
    <n v="0.61995804530926613"/>
    <n v="0"/>
    <n v="-5.7847081037675352"/>
    <m/>
    <n v="0"/>
    <n v="0"/>
    <n v="0"/>
    <n v="0"/>
    <n v="-0.75410277392930958"/>
    <n v="-0.10070855766665543"/>
    <n v="0"/>
    <n v="0"/>
    <m/>
    <m/>
    <m/>
    <n v="194.30170206605669"/>
    <n v="0"/>
    <n v="0"/>
    <n v="-64.485450000000014"/>
    <n v="5.8541399999999868"/>
    <n v="0"/>
    <n v="0"/>
    <n v="-60.07826599100963"/>
    <n v="0"/>
    <n v="0"/>
    <n v="0"/>
    <n v="0"/>
    <n v="0"/>
    <n v="0"/>
    <n v="0"/>
    <n v="0"/>
    <n v="0"/>
    <n v="0"/>
    <n v="0"/>
    <n v="0"/>
    <n v="31.96651633288966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2"/>
    <s v="Sistema de Compensação"/>
    <s v="Convencional"/>
    <s v="B3"/>
    <s v="Consumo próprio"/>
    <s v="Não se aplica"/>
    <s v="Não se aplica"/>
    <s v="Não se aplica"/>
    <s v="Não se aplica"/>
    <s v="CATIVO"/>
    <x v="9"/>
    <n v="0"/>
    <n v="0"/>
    <n v="0.03"/>
    <n v="0.03"/>
    <n v="0.03"/>
    <n v="0.03"/>
    <m/>
    <n v="333.61"/>
    <n v="128.11000000000001"/>
    <m/>
    <n v="13.851600000000001"/>
    <n v="13.851600000000001"/>
    <n v="12.0909"/>
    <n v="0"/>
    <n v="1.8364815134514538"/>
    <n v="0"/>
    <n v="0"/>
    <n v="0"/>
    <n v="0"/>
    <n v="5.8348859479296298"/>
    <n v="3.8433313927554895"/>
    <n v="0"/>
    <n v="0"/>
    <n v="0"/>
    <n v="0"/>
    <n v="0"/>
    <n v="0.28361551239454713"/>
    <m/>
    <n v="2.581163718793059E-2"/>
    <n v="0.1042806050524995"/>
    <n v="0.55627906745317202"/>
    <n v="0"/>
    <n v="0"/>
    <n v="0"/>
    <n v="0"/>
    <n v="0"/>
    <n v="0"/>
    <n v="0"/>
    <n v="0"/>
    <n v="0"/>
    <n v="0"/>
    <m/>
    <n v="0"/>
    <n v="0"/>
    <n v="0"/>
    <n v="0"/>
    <n v="0"/>
    <n v="0.40705112510900099"/>
    <n v="0"/>
    <n v="0"/>
    <n v="0"/>
    <n v="4.03"/>
    <n v="1"/>
    <m/>
    <m/>
    <m/>
    <m/>
    <m/>
    <m/>
    <m/>
    <m/>
    <m/>
    <n v="4.2503825178644909"/>
    <m/>
    <m/>
    <m/>
    <m/>
    <m/>
    <m/>
    <m/>
    <m/>
    <m/>
    <m/>
    <m/>
    <m/>
    <n v="12.0909"/>
    <n v="-1.7907000000000011"/>
    <m/>
    <m/>
    <m/>
    <m/>
    <n v="-1.9365000000000003"/>
    <n v="0.17579999999999954"/>
    <n v="30"/>
    <n v="4.3233506855312243E-2"/>
    <n v="7.6120472476226969E-3"/>
    <n v="4.0606041192275955E-2"/>
    <n v="0"/>
    <n v="0"/>
    <n v="0"/>
    <n v="0"/>
    <n v="0"/>
    <n v="0"/>
    <n v="0"/>
    <n v="0"/>
    <n v="0.17578302772635102"/>
    <n v="0"/>
    <n v="0"/>
    <n v="0"/>
    <n v="1.8617358717996024E-2"/>
    <n v="0"/>
    <n v="-0.17371495807109683"/>
    <m/>
    <n v="0"/>
    <n v="0"/>
    <n v="0"/>
    <n v="0"/>
    <n v="-2.2645728946826149E-2"/>
    <n v="-3.0242810110106717E-3"/>
    <n v="0"/>
    <n v="0"/>
    <m/>
    <m/>
    <m/>
    <n v="5.8348859479296298"/>
    <n v="0"/>
    <n v="0"/>
    <n v="-1.9365000000000006"/>
    <n v="0.17579999999999973"/>
    <n v="0"/>
    <n v="0"/>
    <n v="-1.8041521318621498"/>
    <n v="0"/>
    <n v="0"/>
    <n v="0"/>
    <n v="0"/>
    <n v="0"/>
    <n v="0"/>
    <n v="0"/>
    <n v="0"/>
    <n v="0"/>
    <n v="0"/>
    <n v="0"/>
    <n v="0"/>
    <n v="0.959955445432121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3"/>
    <s v="Regular"/>
    <s v="Verde"/>
    <s v="A4"/>
    <s v="Consumo próprio"/>
    <s v="Não se aplica"/>
    <s v="Não se aplica"/>
    <s v="Não se aplica"/>
    <s v="Ponta"/>
    <s v="CATIVO"/>
    <x v="9"/>
    <n v="0"/>
    <n v="0"/>
    <n v="1.014"/>
    <n v="1.014"/>
    <n v="1.014"/>
    <n v="1.014"/>
    <m/>
    <n v="1351.49"/>
    <n v="128.11000000000001"/>
    <m/>
    <n v="1500.3144"/>
    <n v="1500.3144"/>
    <n v="1157.8967400000001"/>
    <n v="0"/>
    <n v="54.003575384553493"/>
    <n v="0"/>
    <n v="0"/>
    <n v="0"/>
    <n v="0"/>
    <n v="1139.6798557748839"/>
    <n v="129.90460107513556"/>
    <n v="0"/>
    <n v="0"/>
    <n v="0"/>
    <n v="0"/>
    <n v="0"/>
    <n v="9.5862043189356925"/>
    <m/>
    <n v="0.49848306182982388"/>
    <n v="21.063344520276178"/>
    <n v="112.03896659001626"/>
    <n v="0"/>
    <n v="0"/>
    <n v="0"/>
    <n v="0"/>
    <n v="0"/>
    <n v="0"/>
    <n v="0"/>
    <n v="0"/>
    <n v="0"/>
    <n v="0"/>
    <m/>
    <n v="0"/>
    <n v="0"/>
    <n v="0"/>
    <n v="0"/>
    <n v="0"/>
    <n v="5.3119559286153288"/>
    <n v="0"/>
    <n v="0"/>
    <n v="0"/>
    <n v="0"/>
    <n v="0"/>
    <m/>
    <m/>
    <m/>
    <m/>
    <m/>
    <m/>
    <m/>
    <m/>
    <m/>
    <n v="135.21655700375089"/>
    <m/>
    <m/>
    <m/>
    <m/>
    <m/>
    <m/>
    <m/>
    <m/>
    <m/>
    <m/>
    <m/>
    <m/>
    <n v="1153.3290999999999"/>
    <n v="-347.01530000000002"/>
    <m/>
    <m/>
    <m/>
    <m/>
    <n v="-348.35969999999998"/>
    <n v="5.9420399999999853"/>
    <n v="30"/>
    <n v="9.9682374651946475"/>
    <n v="1.5375358975005256"/>
    <n v="8.1783751334072576"/>
    <n v="0"/>
    <n v="0"/>
    <n v="0"/>
    <n v="0"/>
    <n v="0"/>
    <n v="0"/>
    <n v="0"/>
    <n v="0"/>
    <n v="5.9414663371506435"/>
    <n v="0"/>
    <n v="0"/>
    <n v="0"/>
    <n v="0.2429537296838209"/>
    <n v="0"/>
    <n v="-5.1082620570387647"/>
    <m/>
    <n v="0"/>
    <n v="0"/>
    <n v="0"/>
    <n v="0"/>
    <n v="-0.76542563840272315"/>
    <n v="-5.8405937106047245E-2"/>
    <n v="0"/>
    <n v="0"/>
    <m/>
    <m/>
    <m/>
    <n v="1139.6798557748839"/>
    <n v="0"/>
    <n v="0"/>
    <n v="-348.35969999999986"/>
    <n v="5.9420399999999916"/>
    <n v="0"/>
    <n v="0"/>
    <n v="-352.39006551039267"/>
    <n v="0"/>
    <n v="0"/>
    <n v="0"/>
    <n v="0"/>
    <n v="0"/>
    <n v="0"/>
    <n v="0"/>
    <n v="0"/>
    <n v="0"/>
    <n v="0"/>
    <n v="0"/>
    <n v="0"/>
    <n v="28.22844982837694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4"/>
    <s v="Regular"/>
    <s v="Verde"/>
    <s v="A4"/>
    <s v="Consumo próprio"/>
    <s v="Não se aplica"/>
    <s v="Não se aplica"/>
    <s v="Não se aplica"/>
    <s v="Fora ponta"/>
    <s v="CATIVO"/>
    <x v="9"/>
    <n v="0"/>
    <n v="0"/>
    <n v="12.244"/>
    <n v="12.244"/>
    <n v="12.244"/>
    <n v="12.244"/>
    <m/>
    <n v="96.28"/>
    <n v="128.11000000000001"/>
    <m/>
    <n v="2747.4311600000001"/>
    <n v="2747.4311600000001"/>
    <n v="2750.4921599999998"/>
    <n v="0"/>
    <n v="652.09050987028888"/>
    <n v="0"/>
    <n v="0"/>
    <n v="0"/>
    <n v="0"/>
    <n v="0"/>
    <n v="1568.5916524299405"/>
    <n v="0"/>
    <n v="0"/>
    <n v="0"/>
    <n v="0"/>
    <n v="0"/>
    <n v="115.75294445862784"/>
    <m/>
    <n v="6.0191583915624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141605907264378"/>
    <n v="0"/>
    <n v="0"/>
    <n v="0"/>
    <n v="0"/>
    <n v="0"/>
    <m/>
    <m/>
    <m/>
    <m/>
    <m/>
    <m/>
    <m/>
    <m/>
    <m/>
    <n v="1632.7332583372049"/>
    <m/>
    <m/>
    <m/>
    <m/>
    <m/>
    <m/>
    <m/>
    <m/>
    <m/>
    <m/>
    <m/>
    <m/>
    <n v="2749.5936000000002"/>
    <n v="2.1324399999998604"/>
    <m/>
    <m/>
    <m/>
    <m/>
    <n v="-68.688839999999985"/>
    <n v="71.749839999999821"/>
    <n v="30"/>
    <n v="3.0468292518830822"/>
    <n v="0"/>
    <n v="0"/>
    <n v="0"/>
    <n v="0"/>
    <n v="0"/>
    <n v="0"/>
    <n v="0"/>
    <n v="0"/>
    <n v="0"/>
    <n v="0"/>
    <n v="71.742913049381286"/>
    <n v="0"/>
    <n v="0"/>
    <n v="0"/>
    <n v="2.9336543059652058"/>
    <n v="0"/>
    <n v="-61.682012452053868"/>
    <m/>
    <n v="0"/>
    <n v="0"/>
    <n v="0"/>
    <n v="0"/>
    <n v="-9.2424768408313014"/>
    <n v="-0.70524881057834499"/>
    <n v="0"/>
    <n v="0"/>
    <m/>
    <m/>
    <m/>
    <n v="0"/>
    <n v="0"/>
    <n v="0"/>
    <n v="-68.688840000000027"/>
    <n v="71.749839999999722"/>
    <n v="0"/>
    <n v="0"/>
    <n v="0"/>
    <n v="0"/>
    <n v="0"/>
    <n v="0"/>
    <n v="0"/>
    <n v="0"/>
    <n v="0"/>
    <n v="0"/>
    <n v="0"/>
    <n v="0"/>
    <n v="0"/>
    <n v="0"/>
    <n v="0"/>
    <n v="340.857139742255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5"/>
    <s v="Regular"/>
    <s v="Verde"/>
    <s v="A4"/>
    <s v="Consumo próprio"/>
    <s v="Não se aplica"/>
    <s v="Não se aplica"/>
    <s v="Não se aplica"/>
    <s v="Não se aplica"/>
    <s v="CATIVO"/>
    <x v="9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1562.89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0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66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4.1"/>
    <n v="9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67"/>
    <s v="Regular"/>
    <s v="Convencional"/>
    <s v="B2"/>
    <s v="Rural"/>
    <s v="Agropecuária rural"/>
    <s v="IRRIG./AQUIC."/>
    <s v="Não se aplica"/>
    <s v="Não se aplica"/>
    <s v="CATIVO"/>
    <x v="9"/>
    <n v="0"/>
    <n v="0"/>
    <n v="9.1449999999999996"/>
    <n v="9.1449999999999996"/>
    <n v="9.1449999999999996"/>
    <n v="9.1449999999999996"/>
    <m/>
    <n v="333.61"/>
    <n v="128.11000000000001"/>
    <m/>
    <n v="4222.4294"/>
    <n v="4222.4294"/>
    <n v="3685.7093500000001"/>
    <n v="0"/>
    <n v="559.82078135045151"/>
    <n v="0"/>
    <n v="0"/>
    <n v="0"/>
    <n v="0"/>
    <n v="1778.6677331272156"/>
    <n v="1171.5755195582983"/>
    <n v="0"/>
    <n v="0"/>
    <n v="0"/>
    <n v="0"/>
    <n v="0"/>
    <n v="86.455462028271114"/>
    <m/>
    <n v="7.8682474027875076"/>
    <n v="31.788204440170265"/>
    <n v="169.57240239530861"/>
    <n v="0"/>
    <n v="0"/>
    <n v="0"/>
    <n v="0"/>
    <n v="0"/>
    <n v="0"/>
    <n v="0"/>
    <n v="0"/>
    <n v="0"/>
    <n v="0"/>
    <m/>
    <n v="0"/>
    <n v="0"/>
    <n v="0"/>
    <n v="0"/>
    <n v="0"/>
    <n v="124.08275130406047"/>
    <n v="0"/>
    <n v="0"/>
    <n v="0"/>
    <n v="0"/>
    <n v="0"/>
    <m/>
    <m/>
    <m/>
    <m/>
    <m/>
    <n v="442.34364999999991"/>
    <m/>
    <m/>
    <m/>
    <n v="1295.6582708623587"/>
    <m/>
    <m/>
    <m/>
    <m/>
    <m/>
    <m/>
    <m/>
    <m/>
    <m/>
    <m/>
    <m/>
    <m/>
    <n v="3245.1390000000001"/>
    <n v="-470.6873999999998"/>
    <m/>
    <m/>
    <m/>
    <m/>
    <n v="-590.30975000000012"/>
    <n v="53.589699999999866"/>
    <n v="30"/>
    <n v="13.179014006394027"/>
    <n v="2.3204057359836519"/>
    <n v="12.378074890112117"/>
    <n v="0"/>
    <n v="0"/>
    <n v="0"/>
    <n v="0"/>
    <n v="0"/>
    <n v="0"/>
    <n v="0"/>
    <n v="0"/>
    <n v="53.58452628524924"/>
    <n v="0"/>
    <n v="0"/>
    <n v="0"/>
    <n v="5.6751915158691162"/>
    <n v="0"/>
    <n v="-52.954109718672726"/>
    <m/>
    <n v="0"/>
    <n v="0"/>
    <n v="0"/>
    <n v="0"/>
    <n v="-6.9031730406241678"/>
    <n v="-0.92190166152308617"/>
    <n v="0"/>
    <n v="0"/>
    <m/>
    <m/>
    <m/>
    <n v="1778.6677331272156"/>
    <n v="0"/>
    <n v="0"/>
    <n v="-590.30974999999989"/>
    <n v="53.589699999999766"/>
    <n v="0"/>
    <n v="0"/>
    <n v="-549.965708195979"/>
    <n v="0"/>
    <n v="0"/>
    <n v="0"/>
    <n v="0"/>
    <n v="0"/>
    <n v="0"/>
    <n v="0"/>
    <n v="0"/>
    <n v="0"/>
    <n v="0"/>
    <n v="0"/>
    <n v="0"/>
    <n v="292.6264182825585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8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0.64200000000000002"/>
    <n v="0.25679999999999997"/>
    <n v="0.64200000000000002"/>
    <n v="0.25679999999999997"/>
    <m/>
    <n v="333.61"/>
    <n v="128.11000000000001"/>
    <m/>
    <n v="296.42424000000005"/>
    <n v="296.42424000000005"/>
    <n v="258.74526000000003"/>
    <n v="0"/>
    <n v="39.300704387861117"/>
    <n v="0"/>
    <n v="0"/>
    <n v="0"/>
    <n v="0"/>
    <n v="124.86655928569409"/>
    <n v="82.247291804967489"/>
    <n v="0"/>
    <n v="0"/>
    <n v="0"/>
    <n v="0"/>
    <n v="0"/>
    <n v="6.0693719652433087"/>
    <m/>
    <n v="0.5523690358217147"/>
    <n v="2.2316049481234894"/>
    <n v="11.904372043497881"/>
    <n v="0"/>
    <n v="0"/>
    <n v="0"/>
    <n v="0"/>
    <n v="0"/>
    <n v="0"/>
    <n v="0"/>
    <n v="0"/>
    <n v="0"/>
    <n v="0"/>
    <m/>
    <n v="0"/>
    <n v="0"/>
    <n v="0"/>
    <n v="0"/>
    <n v="0"/>
    <n v="8.7108940773326218"/>
    <n v="0"/>
    <n v="0"/>
    <n v="0"/>
    <n v="0"/>
    <n v="0"/>
    <m/>
    <m/>
    <m/>
    <m/>
    <m/>
    <m/>
    <n v="167.66857200000004"/>
    <m/>
    <m/>
    <n v="90.958185882300114"/>
    <m/>
    <m/>
    <m/>
    <m/>
    <m/>
    <m/>
    <m/>
    <m/>
    <m/>
    <m/>
    <m/>
    <m/>
    <n v="92.211600000000004"/>
    <n v="-12.161376000000004"/>
    <m/>
    <m/>
    <m/>
    <m/>
    <n v="-41.441100000000006"/>
    <n v="3.7621199999999906"/>
    <n v="30"/>
    <n v="0.92519704670363012"/>
    <n v="0.16289781109912571"/>
    <n v="0.86896928151470654"/>
    <n v="0"/>
    <n v="0"/>
    <n v="0"/>
    <n v="0"/>
    <n v="0"/>
    <n v="0"/>
    <n v="0"/>
    <n v="0"/>
    <n v="3.761756793343892"/>
    <n v="0"/>
    <n v="0"/>
    <n v="0"/>
    <n v="0.39841147656511389"/>
    <n v="0"/>
    <n v="-3.7175001027214805"/>
    <m/>
    <n v="0"/>
    <n v="0"/>
    <n v="0"/>
    <n v="0"/>
    <n v="-0.4846185994620793"/>
    <n v="-6.4719613635628392E-2"/>
    <n v="0"/>
    <n v="0"/>
    <m/>
    <m/>
    <m/>
    <n v="124.86655928569409"/>
    <n v="0"/>
    <n v="0"/>
    <n v="-41.441100000000006"/>
    <n v="3.7621199999999959"/>
    <n v="0"/>
    <n v="0"/>
    <n v="-38.608855621850026"/>
    <n v="0"/>
    <n v="0"/>
    <n v="0"/>
    <n v="0"/>
    <n v="0"/>
    <n v="0"/>
    <n v="0"/>
    <n v="0"/>
    <n v="0"/>
    <n v="0"/>
    <n v="0"/>
    <n v="0"/>
    <n v="20.54304653224741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69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3.2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70"/>
    <s v="Regular"/>
    <s v="Convencional"/>
    <s v="B2"/>
    <s v="Rural"/>
    <s v="Aquicultura"/>
    <s v="IRRIG./AQUIC."/>
    <s v="Não se aplica"/>
    <s v="Não se aplica"/>
    <s v="CATIVO"/>
    <x v="9"/>
    <n v="0"/>
    <n v="0"/>
    <n v="0.81"/>
    <n v="0.81"/>
    <n v="0.81"/>
    <n v="0.81"/>
    <m/>
    <n v="333.61"/>
    <n v="128.11000000000001"/>
    <m/>
    <n v="373.99320000000006"/>
    <n v="373.99320000000006"/>
    <n v="326.45429999999999"/>
    <n v="0"/>
    <n v="49.585000863189265"/>
    <n v="0"/>
    <n v="0"/>
    <n v="0"/>
    <n v="0"/>
    <n v="157.54192059410002"/>
    <n v="103.76994760439823"/>
    <n v="0"/>
    <n v="0"/>
    <n v="0"/>
    <n v="0"/>
    <n v="0"/>
    <n v="7.6576188346527729"/>
    <m/>
    <n v="0.69691420407412596"/>
    <n v="2.8155763364174868"/>
    <n v="15.019534821235647"/>
    <n v="0"/>
    <n v="0"/>
    <n v="0"/>
    <n v="0"/>
    <n v="0"/>
    <n v="0"/>
    <n v="0"/>
    <n v="0"/>
    <n v="0"/>
    <n v="0"/>
    <m/>
    <n v="0"/>
    <n v="0"/>
    <n v="0"/>
    <n v="0"/>
    <n v="0"/>
    <n v="10.990380377943028"/>
    <n v="0"/>
    <n v="0"/>
    <n v="0"/>
    <n v="0"/>
    <n v="0"/>
    <m/>
    <m/>
    <m/>
    <m/>
    <m/>
    <n v="39.179699999999997"/>
    <m/>
    <m/>
    <m/>
    <n v="114.76032798234125"/>
    <m/>
    <m/>
    <m/>
    <m/>
    <m/>
    <m/>
    <m/>
    <m/>
    <m/>
    <m/>
    <m/>
    <m/>
    <n v="287.27460000000002"/>
    <n v="-41.87459999999993"/>
    <m/>
    <m/>
    <m/>
    <m/>
    <n v="-52.285500000000013"/>
    <n v="4.7465999999999884"/>
    <n v="30"/>
    <n v="1.1673046850933986"/>
    <n v="0.20552527568581258"/>
    <n v="1.0963631121914528"/>
    <n v="0"/>
    <n v="0"/>
    <n v="0"/>
    <n v="0"/>
    <n v="0"/>
    <n v="0"/>
    <n v="0"/>
    <n v="0"/>
    <n v="4.7461417486114641"/>
    <n v="0"/>
    <n v="0"/>
    <n v="0"/>
    <n v="0.50266868538589193"/>
    <n v="0"/>
    <n v="-4.6903038679196243"/>
    <m/>
    <n v="0"/>
    <n v="0"/>
    <n v="0"/>
    <n v="0"/>
    <n v="-0.61143468156430547"/>
    <n v="-8.1655587297288057E-2"/>
    <n v="0"/>
    <n v="0"/>
    <m/>
    <m/>
    <m/>
    <n v="157.54192059410002"/>
    <n v="0"/>
    <n v="0"/>
    <n v="-52.285500000000013"/>
    <n v="4.7465999999999866"/>
    <n v="0"/>
    <n v="0"/>
    <n v="-48.712107560278056"/>
    <n v="0"/>
    <n v="0"/>
    <n v="0"/>
    <n v="0"/>
    <n v="0"/>
    <n v="0"/>
    <n v="0"/>
    <n v="0"/>
    <n v="0"/>
    <n v="0"/>
    <n v="0"/>
    <n v="0"/>
    <n v="25.91879702666729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1"/>
    <s v="Regular"/>
    <s v="Convencional"/>
    <s v="B2"/>
    <s v="Rural"/>
    <s v="Aquicultura"/>
    <s v="IRRIG./AQUIC. PR"/>
    <s v="Não se aplica"/>
    <s v="Não se aplica"/>
    <s v="CATIVO"/>
    <x v="9"/>
    <n v="0"/>
    <n v="0"/>
    <n v="1.109"/>
    <n v="0.44359999999999999"/>
    <n v="1.109"/>
    <n v="0.44359999999999999"/>
    <m/>
    <n v="333.61"/>
    <n v="128.11000000000001"/>
    <m/>
    <n v="512.04748000000006"/>
    <n v="512.04748000000006"/>
    <n v="446.96027000000004"/>
    <n v="0"/>
    <n v="67.888599947255415"/>
    <n v="0"/>
    <n v="0"/>
    <n v="0"/>
    <n v="0"/>
    <n v="215.696283875132"/>
    <n v="142.07515048552793"/>
    <n v="0"/>
    <n v="0"/>
    <n v="0"/>
    <n v="0"/>
    <n v="0"/>
    <n v="10.484320108185091"/>
    <m/>
    <n v="0.95417018804716747"/>
    <n v="3.8549063667740651"/>
    <n v="20.563782860185594"/>
    <n v="0"/>
    <n v="0"/>
    <n v="0"/>
    <n v="0"/>
    <n v="0"/>
    <n v="0"/>
    <n v="0"/>
    <n v="0"/>
    <n v="0"/>
    <n v="0"/>
    <m/>
    <n v="0"/>
    <n v="0"/>
    <n v="0"/>
    <n v="0"/>
    <n v="0"/>
    <n v="15.047323258196071"/>
    <n v="0"/>
    <n v="0"/>
    <n v="0"/>
    <n v="0"/>
    <n v="0"/>
    <m/>
    <m/>
    <m/>
    <m/>
    <m/>
    <m/>
    <n v="289.63309400000003"/>
    <m/>
    <m/>
    <n v="157.12247374372399"/>
    <m/>
    <m/>
    <m/>
    <m/>
    <m/>
    <m/>
    <m/>
    <m/>
    <m/>
    <m/>
    <m/>
    <m/>
    <n v="156.05040000000002"/>
    <n v="-24.223151999999942"/>
    <m/>
    <m/>
    <m/>
    <m/>
    <n v="-71.585950000000011"/>
    <n v="6.4987399999999838"/>
    <n v="30"/>
    <n v="1.5981986367513628"/>
    <n v="0.28139201325378504"/>
    <n v="1.501069989407803"/>
    <n v="0"/>
    <n v="0"/>
    <n v="0"/>
    <n v="0"/>
    <n v="0"/>
    <n v="0"/>
    <n v="0"/>
    <n v="0"/>
    <n v="6.4981125916174278"/>
    <n v="0"/>
    <n v="0"/>
    <n v="0"/>
    <n v="0.68822169394191768"/>
    <n v="0"/>
    <n v="-6.421662950028221"/>
    <m/>
    <n v="0"/>
    <n v="0"/>
    <n v="0"/>
    <n v="0"/>
    <n v="-0.83713711340100438"/>
    <n v="-0.11179758804036111"/>
    <n v="0"/>
    <n v="0"/>
    <m/>
    <m/>
    <m/>
    <n v="215.696283875132"/>
    <n v="0"/>
    <n v="0"/>
    <n v="-71.585950000000025"/>
    <n v="6.498739999999998"/>
    <n v="0"/>
    <n v="0"/>
    <n v="-66.693490474504159"/>
    <n v="0"/>
    <n v="0"/>
    <n v="0"/>
    <n v="0"/>
    <n v="0"/>
    <n v="0"/>
    <n v="0"/>
    <n v="0"/>
    <n v="0"/>
    <n v="0"/>
    <n v="0"/>
    <n v="0"/>
    <n v="35.4863529661407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2"/>
    <s v="Regular"/>
    <s v="Convencional"/>
    <s v="B1"/>
    <s v="Residencial"/>
    <s v="Residencial"/>
    <s v="Não se aplica"/>
    <s v="Não se aplica"/>
    <s v="Não se aplica"/>
    <s v="CATIVO"/>
    <x v="10"/>
    <n v="0"/>
    <n v="0"/>
    <n v="4603.3459999999995"/>
    <n v="4603.3459999999995"/>
    <n v="4603.3459999999995"/>
    <n v="4603.3459999999995"/>
    <m/>
    <n v="333.61"/>
    <n v="128.11000000000001"/>
    <m/>
    <n v="2125456.91512"/>
    <n v="2125456.91512"/>
    <n v="1855286.5383799998"/>
    <n v="0"/>
    <n v="281798.66096735653"/>
    <n v="0"/>
    <n v="0"/>
    <n v="0"/>
    <n v="0"/>
    <n v="895333.29629526893"/>
    <n v="589739.4731171804"/>
    <n v="0"/>
    <n v="0"/>
    <n v="0"/>
    <n v="0"/>
    <n v="0"/>
    <n v="43519.344483979628"/>
    <m/>
    <n v="3960.6632267503842"/>
    <n v="16001.323538200111"/>
    <n v="85358.167334809652"/>
    <n v="0"/>
    <n v="0"/>
    <n v="0"/>
    <n v="0"/>
    <n v="0"/>
    <n v="0"/>
    <n v="0"/>
    <n v="0"/>
    <n v="0"/>
    <n v="0"/>
    <m/>
    <n v="0"/>
    <n v="0"/>
    <n v="0"/>
    <n v="0"/>
    <n v="0"/>
    <n v="62459.905618867306"/>
    <n v="0"/>
    <n v="0"/>
    <n v="0"/>
    <n v="305859.92"/>
    <n v="20670"/>
    <m/>
    <m/>
    <m/>
    <m/>
    <m/>
    <m/>
    <m/>
    <m/>
    <m/>
    <n v="652199.37873604766"/>
    <m/>
    <m/>
    <m/>
    <m/>
    <m/>
    <m/>
    <m/>
    <m/>
    <m/>
    <m/>
    <m/>
    <m/>
    <n v="1855288.1505"/>
    <n v="-270168.79461999936"/>
    <m/>
    <m/>
    <m/>
    <m/>
    <n v="-297145.98430000001"/>
    <n v="26975.607559999928"/>
    <n v="31"/>
    <n v="6633.9596949459519"/>
    <n v="1168.0295749718316"/>
    <n v="6230.7885766099644"/>
    <n v="0"/>
    <n v="0"/>
    <n v="0"/>
    <n v="0"/>
    <n v="0"/>
    <n v="0"/>
    <n v="0"/>
    <n v="0"/>
    <n v="26973.003251732793"/>
    <n v="0"/>
    <n v="0"/>
    <n v="0"/>
    <n v="2856.7381261683986"/>
    <n v="0"/>
    <n v="-26655.66857922505"/>
    <m/>
    <n v="0"/>
    <n v="0"/>
    <n v="0"/>
    <n v="0"/>
    <n v="-3474.8708588152076"/>
    <n v="-464.06039649706418"/>
    <n v="0"/>
    <n v="0"/>
    <m/>
    <m/>
    <m/>
    <n v="895333.29629526893"/>
    <n v="0"/>
    <n v="0"/>
    <n v="-297145.98429999989"/>
    <n v="26975.607560000033"/>
    <n v="0"/>
    <n v="0"/>
    <n v="-276837.88331996999"/>
    <n v="0"/>
    <n v="0"/>
    <n v="0"/>
    <n v="0"/>
    <n v="0"/>
    <n v="0"/>
    <n v="0"/>
    <n v="0"/>
    <n v="0"/>
    <n v="0"/>
    <n v="0"/>
    <n v="0"/>
    <n v="147300.235330272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3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36699999999999999"/>
    <n v="-0.36699999999999999"/>
    <n v="-0.36699999999999999"/>
    <n v="-0.36699999999999999"/>
    <m/>
    <n v="333.61"/>
    <n v="128.11000000000001"/>
    <m/>
    <n v="-169.45124000000001"/>
    <n v="-169.45124000000001"/>
    <n v="-147.91201000000001"/>
    <n v="0"/>
    <n v="-22.466290514556121"/>
    <n v="0"/>
    <n v="0"/>
    <n v="0"/>
    <n v="0"/>
    <n v="-71.380104763005804"/>
    <n v="-47.016754038042158"/>
    <n v="0"/>
    <n v="0"/>
    <n v="0"/>
    <n v="0"/>
    <n v="0"/>
    <n v="-3.4695631016266266"/>
    <m/>
    <n v="-0.31576236159901755"/>
    <n v="-1.2756994018089105"/>
    <n v="-6.8051472585104715"/>
    <n v="0"/>
    <n v="0"/>
    <n v="0"/>
    <n v="0"/>
    <n v="0"/>
    <n v="0"/>
    <n v="0"/>
    <n v="0"/>
    <n v="0"/>
    <n v="0"/>
    <m/>
    <n v="0"/>
    <n v="0"/>
    <n v="0"/>
    <n v="0"/>
    <n v="0"/>
    <n v="-4.9795920971667789"/>
    <n v="0"/>
    <n v="0"/>
    <n v="0"/>
    <n v="-51.89"/>
    <n v="0"/>
    <m/>
    <m/>
    <m/>
    <m/>
    <m/>
    <m/>
    <m/>
    <m/>
    <m/>
    <n v="-51.996346135208938"/>
    <m/>
    <m/>
    <m/>
    <m/>
    <m/>
    <m/>
    <m/>
    <m/>
    <m/>
    <m/>
    <m/>
    <m/>
    <n v="-149.12110000000001"/>
    <n v="20.300139999999999"/>
    <m/>
    <m/>
    <m/>
    <m/>
    <n v="23.689850000000003"/>
    <n v="-2.1506199999999946"/>
    <n v="31"/>
    <n v="-0.52888990052998963"/>
    <n v="-9.3120711329250927E-2"/>
    <n v="-0.49674723725217618"/>
    <n v="0"/>
    <n v="0"/>
    <n v="0"/>
    <n v="0"/>
    <n v="0"/>
    <n v="0"/>
    <n v="0"/>
    <n v="0"/>
    <n v="-2.1504123725190212"/>
    <n v="0"/>
    <n v="0"/>
    <n v="0"/>
    <n v="-0.22775235498348412"/>
    <n v="0"/>
    <n v="2.1251129870697554"/>
    <m/>
    <n v="0"/>
    <n v="0"/>
    <n v="0"/>
    <n v="0"/>
    <n v="0.27703275078283962"/>
    <n v="3.6997037701363866E-2"/>
    <n v="0"/>
    <n v="0"/>
    <m/>
    <m/>
    <m/>
    <n v="-71.380104763005804"/>
    <n v="0"/>
    <n v="0"/>
    <n v="23.689850000000007"/>
    <n v="-2.1506199999999964"/>
    <n v="0"/>
    <n v="0"/>
    <n v="22.070794413113639"/>
    <n v="0"/>
    <n v="0"/>
    <n v="0"/>
    <n v="0"/>
    <n v="0"/>
    <n v="0"/>
    <n v="0"/>
    <n v="0"/>
    <n v="0"/>
    <n v="0"/>
    <n v="0"/>
    <n v="0"/>
    <n v="-11.74345494911962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4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39.75"/>
    <n v="39.75"/>
    <n v="39.75"/>
    <n v="39.75"/>
    <m/>
    <n v="333.61"/>
    <n v="128.11000000000001"/>
    <m/>
    <n v="18353.370000000003"/>
    <n v="18353.370000000003"/>
    <n v="16020.442500000001"/>
    <n v="0"/>
    <n v="2433.3380053231767"/>
    <n v="0"/>
    <n v="0"/>
    <n v="0"/>
    <n v="0"/>
    <n v="7731.2238810067602"/>
    <n v="5092.4140954010236"/>
    <n v="0"/>
    <n v="0"/>
    <n v="0"/>
    <n v="0"/>
    <n v="0"/>
    <n v="375.79055392277496"/>
    <m/>
    <n v="34.200419274008034"/>
    <n v="138.17180169456185"/>
    <n v="737.06976437545291"/>
    <n v="0"/>
    <n v="0"/>
    <n v="0"/>
    <n v="0"/>
    <n v="0"/>
    <n v="0"/>
    <n v="0"/>
    <n v="0"/>
    <n v="0"/>
    <n v="0"/>
    <m/>
    <n v="0"/>
    <n v="0"/>
    <n v="0"/>
    <n v="0"/>
    <n v="0"/>
    <n v="539.34274076942631"/>
    <n v="0"/>
    <n v="0"/>
    <n v="0"/>
    <n v="4945.71"/>
    <n v="92"/>
    <m/>
    <m/>
    <m/>
    <m/>
    <m/>
    <m/>
    <m/>
    <m/>
    <m/>
    <n v="5631.7568361704498"/>
    <m/>
    <m/>
    <m/>
    <m/>
    <m/>
    <m/>
    <m/>
    <m/>
    <m/>
    <m/>
    <m/>
    <m/>
    <n v="16020.442500000001"/>
    <n v="-2332.9575000000004"/>
    <m/>
    <m/>
    <m/>
    <m/>
    <n v="-2565.8625000000006"/>
    <n v="232.93499999999941"/>
    <n v="31"/>
    <n v="57.284396583287162"/>
    <n v="10.085962603100057"/>
    <n v="53.803004579765684"/>
    <n v="0"/>
    <n v="0"/>
    <n v="0"/>
    <n v="0"/>
    <n v="0"/>
    <n v="0"/>
    <n v="0"/>
    <n v="0"/>
    <n v="232.91251173741512"/>
    <n v="0"/>
    <n v="0"/>
    <n v="0"/>
    <n v="24.668000301344705"/>
    <n v="0"/>
    <n v="-230.17231944420382"/>
    <m/>
    <n v="0"/>
    <n v="0"/>
    <n v="0"/>
    <n v="0"/>
    <n v="-30.005590854544607"/>
    <n v="-4.0071723395891397"/>
    <n v="0"/>
    <n v="0"/>
    <m/>
    <m/>
    <m/>
    <n v="7731.2238810067602"/>
    <n v="0"/>
    <n v="0"/>
    <n v="-2565.8625000000011"/>
    <n v="232.93499999999949"/>
    <n v="0"/>
    <n v="0"/>
    <n v="-2390.5015747173493"/>
    <n v="0"/>
    <n v="0"/>
    <n v="0"/>
    <n v="0"/>
    <n v="0"/>
    <n v="0"/>
    <n v="0"/>
    <n v="0"/>
    <n v="0"/>
    <n v="0"/>
    <n v="0"/>
    <n v="0"/>
    <n v="1271.940965197561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5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1.09"/>
    <n v="21.09"/>
    <n v="21.09"/>
    <n v="21.09"/>
    <m/>
    <n v="230.94"/>
    <n v="128.11000000000001"/>
    <m/>
    <n v="7572.3644999999997"/>
    <n v="7572.3644999999997"/>
    <n v="6472.5209999999997"/>
    <n v="0"/>
    <n v="0"/>
    <n v="0"/>
    <n v="0"/>
    <n v="0"/>
    <n v="0"/>
    <n v="4101.9248213945302"/>
    <n v="2701.8619691071094"/>
    <n v="0"/>
    <n v="0"/>
    <n v="0"/>
    <n v="0"/>
    <n v="0"/>
    <n v="0"/>
    <m/>
    <n v="18.145580943115206"/>
    <n v="73.309265351907143"/>
    <n v="391.06418441957993"/>
    <n v="0"/>
    <n v="0"/>
    <n v="0"/>
    <n v="0"/>
    <n v="0"/>
    <n v="0"/>
    <n v="0"/>
    <n v="0"/>
    <n v="0"/>
    <n v="0"/>
    <m/>
    <n v="0"/>
    <n v="0"/>
    <n v="0"/>
    <n v="0"/>
    <n v="0"/>
    <n v="286.15694095162769"/>
    <n v="0"/>
    <n v="0"/>
    <n v="0"/>
    <n v="309.32"/>
    <n v="21"/>
    <m/>
    <m/>
    <m/>
    <m/>
    <m/>
    <m/>
    <m/>
    <n v="4207.0331999999999"/>
    <m/>
    <n v="2988.0189100587372"/>
    <m/>
    <m/>
    <m/>
    <m/>
    <m/>
    <m/>
    <m/>
    <m/>
    <m/>
    <m/>
    <m/>
    <m/>
    <n v="2265.4877999999999"/>
    <n v="-384.92250000000058"/>
    <m/>
    <m/>
    <m/>
    <m/>
    <n v="-1223.4308999999998"/>
    <n v="123.58739999999969"/>
    <n v="31"/>
    <n v="168.43471829288364"/>
    <n v="5.3512692150787586"/>
    <n v="28.546046958170052"/>
    <n v="0"/>
    <n v="0"/>
    <n v="0"/>
    <n v="0"/>
    <n v="0"/>
    <n v="0"/>
    <n v="0"/>
    <n v="0"/>
    <n v="123.57546849162418"/>
    <n v="0"/>
    <n v="0"/>
    <n v="0"/>
    <n v="13.088003178751194"/>
    <n v="0"/>
    <n v="0"/>
    <m/>
    <n v="0"/>
    <n v="0"/>
    <n v="0"/>
    <n v="0"/>
    <n v="0"/>
    <n v="-2.1260695507405032"/>
    <n v="0"/>
    <n v="0"/>
    <m/>
    <m/>
    <m/>
    <n v="4101.9248213945302"/>
    <n v="0"/>
    <n v="0"/>
    <n v="-1223.4308999999998"/>
    <n v="123.58739999999943"/>
    <n v="0"/>
    <n v="0"/>
    <n v="-1268.3189486990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6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44.747999999999998"/>
    <n v="44.747999999999998"/>
    <n v="44.747999999999998"/>
    <n v="44.747999999999998"/>
    <m/>
    <n v="230.94"/>
    <n v="128.11000000000001"/>
    <m/>
    <n v="16066.769400000001"/>
    <n v="16066.769400000001"/>
    <n v="13733.161199999999"/>
    <n v="0"/>
    <n v="0"/>
    <n v="0"/>
    <n v="0"/>
    <n v="0"/>
    <n v="0"/>
    <n v="8703.3158799318353"/>
    <n v="5732.713105434088"/>
    <n v="0"/>
    <n v="0"/>
    <n v="0"/>
    <n v="0"/>
    <n v="0"/>
    <n v="0"/>
    <m/>
    <n v="38.500638029517269"/>
    <n v="155.54495049630825"/>
    <n v="829.74585701315141"/>
    <n v="0"/>
    <n v="0"/>
    <n v="0"/>
    <n v="0"/>
    <n v="0"/>
    <n v="0"/>
    <n v="0"/>
    <n v="0"/>
    <n v="0"/>
    <n v="0"/>
    <m/>
    <n v="0"/>
    <n v="0"/>
    <n v="0"/>
    <n v="0"/>
    <n v="0"/>
    <n v="607.15745821258588"/>
    <n v="0"/>
    <n v="0"/>
    <n v="0"/>
    <n v="1124.94"/>
    <n v="109"/>
    <m/>
    <m/>
    <m/>
    <m/>
    <m/>
    <m/>
    <m/>
    <n v="5493.2644799999998"/>
    <m/>
    <n v="6339.8705636466739"/>
    <m/>
    <m/>
    <m/>
    <m/>
    <m/>
    <m/>
    <m/>
    <m/>
    <m/>
    <m/>
    <m/>
    <m/>
    <n v="8240.2649999999994"/>
    <n v="-1400.27412"/>
    <m/>
    <m/>
    <m/>
    <m/>
    <n v="-2595.8314799999994"/>
    <n v="262.22327999999931"/>
    <n v="31"/>
    <n v="357.37869958131796"/>
    <n v="11.354129674554002"/>
    <n v="60.567971042398767"/>
    <n v="0"/>
    <n v="0"/>
    <n v="0"/>
    <n v="0"/>
    <n v="0"/>
    <n v="0"/>
    <n v="0"/>
    <n v="0"/>
    <n v="262.19796415662495"/>
    <n v="0"/>
    <n v="0"/>
    <n v="0"/>
    <n v="27.76965226376285"/>
    <n v="0"/>
    <n v="0"/>
    <m/>
    <n v="0"/>
    <n v="0"/>
    <n v="0"/>
    <n v="0"/>
    <n v="0"/>
    <n v="-4.5110175560235177"/>
    <n v="0"/>
    <n v="0"/>
    <m/>
    <m/>
    <m/>
    <n v="8703.3158799318353"/>
    <n v="0"/>
    <n v="0"/>
    <n v="-2595.8314799999998"/>
    <n v="262.22327999999925"/>
    <n v="0"/>
    <n v="0"/>
    <n v="-2691.0733198855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7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48.317999999999998"/>
    <n v="48.317999999999998"/>
    <n v="48.317999999999998"/>
    <n v="48.317999999999998"/>
    <m/>
    <n v="230.94"/>
    <n v="128.11000000000001"/>
    <m/>
    <n v="17348.5779"/>
    <n v="17348.5779"/>
    <n v="14828.7942"/>
    <n v="0"/>
    <n v="0"/>
    <n v="0"/>
    <n v="0"/>
    <n v="0"/>
    <n v="0"/>
    <n v="9397.6673077354626"/>
    <n v="6190.0695411719917"/>
    <n v="0"/>
    <n v="0"/>
    <n v="0"/>
    <n v="0"/>
    <n v="0"/>
    <n v="0"/>
    <m/>
    <n v="41.572222854881005"/>
    <n v="167.9543424975557"/>
    <n v="895.94306604007886"/>
    <n v="0"/>
    <n v="0"/>
    <n v="0"/>
    <n v="0"/>
    <n v="0"/>
    <n v="0"/>
    <n v="0"/>
    <n v="0"/>
    <n v="0"/>
    <n v="0"/>
    <m/>
    <n v="0"/>
    <n v="0"/>
    <n v="0"/>
    <n v="0"/>
    <n v="0"/>
    <n v="655.59654210055703"/>
    <n v="0"/>
    <n v="0"/>
    <n v="0"/>
    <n v="2257.4299999999998"/>
    <n v="332"/>
    <m/>
    <m/>
    <m/>
    <m/>
    <m/>
    <m/>
    <m/>
    <n v="1482.8794200000011"/>
    <m/>
    <n v="6845.6660832725483"/>
    <m/>
    <m/>
    <m/>
    <m/>
    <m/>
    <m/>
    <m/>
    <m/>
    <m/>
    <m/>
    <m/>
    <m/>
    <n v="13346.467199999999"/>
    <n v="-2267.5244999999995"/>
    <m/>
    <m/>
    <m/>
    <m/>
    <n v="-2802.9271799999992"/>
    <n v="283.14347999999927"/>
    <n v="31"/>
    <n v="385.8904086522316"/>
    <n v="12.259963297021102"/>
    <n v="65.400089944279671"/>
    <n v="0"/>
    <n v="0"/>
    <n v="0"/>
    <n v="0"/>
    <n v="0"/>
    <n v="0"/>
    <n v="0"/>
    <n v="0"/>
    <n v="283.11614445606028"/>
    <n v="0"/>
    <n v="0"/>
    <n v="0"/>
    <n v="29.985117951204302"/>
    <n v="0"/>
    <n v="0"/>
    <m/>
    <n v="0"/>
    <n v="0"/>
    <n v="0"/>
    <n v="0"/>
    <n v="0"/>
    <n v="-4.8709069963337868"/>
    <n v="0"/>
    <n v="0"/>
    <m/>
    <m/>
    <m/>
    <n v="9397.6673077354626"/>
    <n v="0"/>
    <n v="0"/>
    <n v="-2802.9271799999988"/>
    <n v="283.14347999999882"/>
    <n v="0"/>
    <n v="0"/>
    <n v="-2905.767423577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8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24.925999999999998"/>
    <n v="24.925999999999998"/>
    <n v="24.925999999999998"/>
    <n v="24.925999999999998"/>
    <m/>
    <n v="230.94"/>
    <n v="128.11000000000001"/>
    <m/>
    <n v="8949.6803"/>
    <n v="8949.6803"/>
    <n v="7649.7893999999997"/>
    <n v="0"/>
    <n v="0"/>
    <n v="0"/>
    <n v="0"/>
    <n v="0"/>
    <n v="0"/>
    <n v="4848.0122379364648"/>
    <n v="3193.2959431941108"/>
    <n v="0"/>
    <n v="0"/>
    <n v="0"/>
    <n v="0"/>
    <n v="0"/>
    <n v="0"/>
    <m/>
    <n v="21.446028951545262"/>
    <n v="86.643278717953407"/>
    <n v="462.19373451125887"/>
    <n v="0"/>
    <n v="0"/>
    <n v="0"/>
    <n v="0"/>
    <n v="0"/>
    <n v="0"/>
    <n v="0"/>
    <n v="0"/>
    <n v="0"/>
    <n v="0"/>
    <m/>
    <n v="0"/>
    <n v="0"/>
    <n v="0"/>
    <n v="0"/>
    <n v="0"/>
    <n v="338.20521148223196"/>
    <n v="0"/>
    <n v="0"/>
    <n v="0"/>
    <n v="1566.87"/>
    <n v="241"/>
    <m/>
    <m/>
    <m/>
    <m/>
    <m/>
    <m/>
    <m/>
    <m/>
    <m/>
    <n v="3531.5011546763426"/>
    <m/>
    <m/>
    <m/>
    <m/>
    <m/>
    <m/>
    <m/>
    <m/>
    <m/>
    <m/>
    <m/>
    <m/>
    <n v="7651.0169999999998"/>
    <n v="-1298.6933000000008"/>
    <m/>
    <m/>
    <m/>
    <m/>
    <n v="-1445.9572599999997"/>
    <n v="146.06635999999963"/>
    <n v="31"/>
    <n v="199.07082921614165"/>
    <n v="6.3245963231414493"/>
    <n v="33.738206091955703"/>
    <n v="0"/>
    <n v="0"/>
    <n v="0"/>
    <n v="0"/>
    <n v="0"/>
    <n v="0"/>
    <n v="0"/>
    <n v="0"/>
    <n v="146.05225830356721"/>
    <n v="0"/>
    <n v="0"/>
    <n v="0"/>
    <n v="15.468542780158941"/>
    <n v="0"/>
    <n v="0"/>
    <m/>
    <n v="0"/>
    <n v="0"/>
    <n v="0"/>
    <n v="0"/>
    <n v="0"/>
    <n v="-2.5127742826817325"/>
    <n v="0"/>
    <n v="0"/>
    <m/>
    <m/>
    <m/>
    <n v="4848.0122379364648"/>
    <n v="0"/>
    <n v="0"/>
    <n v="-1445.9572600000001"/>
    <n v="146.06635999999935"/>
    <n v="0"/>
    <n v="0"/>
    <n v="-1499.009867959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79"/>
    <s v="Regular"/>
    <s v="Branca"/>
    <s v="B1"/>
    <s v="Residencial"/>
    <s v="Residencial"/>
    <s v="Não se aplica"/>
    <s v="Não se aplica"/>
    <s v="Ponta"/>
    <s v="CATIVO"/>
    <x v="10"/>
    <n v="0"/>
    <n v="0"/>
    <n v="4.3999999999999997E-2"/>
    <n v="4.3999999999999997E-2"/>
    <n v="4.3999999999999997E-2"/>
    <n v="4.3999999999999997E-2"/>
    <m/>
    <n v="701.69"/>
    <n v="128.11000000000001"/>
    <m/>
    <n v="36.511200000000002"/>
    <n v="36.511200000000002"/>
    <n v="29.550399999999996"/>
    <n v="0"/>
    <n v="2.6935062197287989"/>
    <n v="0"/>
    <n v="0"/>
    <n v="0"/>
    <n v="0"/>
    <n v="23.106145032559514"/>
    <n v="5.6368860427080509"/>
    <n v="0"/>
    <n v="0"/>
    <n v="0"/>
    <n v="0"/>
    <n v="0"/>
    <n v="0.41596941817866911"/>
    <m/>
    <n v="3.7857067875631534E-2"/>
    <n v="0.41296789139106332"/>
    <n v="2.2028571841005928"/>
    <n v="0"/>
    <n v="0"/>
    <n v="0"/>
    <n v="0"/>
    <n v="0"/>
    <n v="0"/>
    <n v="0"/>
    <n v="0"/>
    <n v="0"/>
    <n v="0"/>
    <m/>
    <n v="0"/>
    <n v="0"/>
    <n v="0"/>
    <n v="0"/>
    <n v="0"/>
    <n v="0.59700831682653477"/>
    <n v="0"/>
    <n v="0"/>
    <n v="0"/>
    <n v="0"/>
    <n v="0"/>
    <m/>
    <m/>
    <m/>
    <m/>
    <m/>
    <m/>
    <m/>
    <m/>
    <m/>
    <n v="6.2338943595345855"/>
    <m/>
    <m/>
    <m/>
    <m/>
    <m/>
    <m/>
    <m/>
    <m/>
    <m/>
    <m/>
    <m/>
    <m/>
    <n v="26.863999999999997"/>
    <n v="-9.6772000000000062"/>
    <m/>
    <m/>
    <m/>
    <m/>
    <n v="-7.2186400000000024"/>
    <n v="0.25783999999999935"/>
    <n v="31"/>
    <n v="0.18363355091078404"/>
    <n v="3.0144925793605004E-2"/>
    <n v="0.16079934477457414"/>
    <n v="0"/>
    <n v="0"/>
    <n v="0"/>
    <n v="0"/>
    <n v="0"/>
    <n v="0"/>
    <n v="0"/>
    <n v="0"/>
    <n v="0.25781510733198143"/>
    <n v="0"/>
    <n v="0"/>
    <n v="0"/>
    <n v="2.7305459453060843E-2"/>
    <n v="0"/>
    <n v="-0.25478193850427555"/>
    <m/>
    <n v="0"/>
    <n v="0"/>
    <n v="0"/>
    <n v="0"/>
    <n v="-3.3213735788678311E-2"/>
    <n v="-4.4356121494823209E-3"/>
    <n v="0"/>
    <n v="0"/>
    <m/>
    <m/>
    <m/>
    <n v="23.106145032559514"/>
    <n v="0"/>
    <n v="0"/>
    <n v="-7.2186400000000006"/>
    <n v="0.25783999999999896"/>
    <n v="0"/>
    <n v="0"/>
    <n v="-7.1444414152430458"/>
    <n v="0"/>
    <n v="0"/>
    <n v="0"/>
    <n v="0"/>
    <n v="0"/>
    <n v="0"/>
    <n v="0"/>
    <n v="0"/>
    <n v="0"/>
    <n v="0"/>
    <n v="0"/>
    <n v="0"/>
    <n v="1.40793465330044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0"/>
    <s v="Regular"/>
    <s v="Branca"/>
    <s v="B1"/>
    <s v="Residencial"/>
    <s v="Residencial"/>
    <s v="Não se aplica"/>
    <s v="Não se aplica"/>
    <s v="Fora ponta"/>
    <s v="CATIVO"/>
    <x v="10"/>
    <n v="0"/>
    <n v="0"/>
    <n v="0.24299999999999999"/>
    <n v="0.24299999999999999"/>
    <n v="0.24299999999999999"/>
    <n v="0.24299999999999999"/>
    <m/>
    <n v="234.02"/>
    <n v="128.11000000000001"/>
    <m/>
    <n v="87.997590000000002"/>
    <n v="87.997590000000002"/>
    <n v="80.275049999999993"/>
    <n v="0"/>
    <n v="14.875500258956777"/>
    <n v="0"/>
    <n v="0"/>
    <n v="0"/>
    <n v="0"/>
    <n v="25.521779315642526"/>
    <n v="31.130984281319467"/>
    <n v="0"/>
    <n v="0"/>
    <n v="0"/>
    <n v="0"/>
    <n v="0"/>
    <n v="2.2972856503958314"/>
    <m/>
    <n v="0.20907426122223777"/>
    <n v="0.45615857168157153"/>
    <n v="2.433147933957414"/>
    <n v="0"/>
    <n v="0"/>
    <n v="0"/>
    <n v="0"/>
    <n v="0"/>
    <n v="0"/>
    <n v="0"/>
    <n v="0"/>
    <n v="0"/>
    <n v="0"/>
    <m/>
    <n v="0"/>
    <n v="0"/>
    <n v="0"/>
    <n v="0"/>
    <n v="0"/>
    <n v="3.2971141133829081"/>
    <n v="0"/>
    <n v="0"/>
    <n v="0"/>
    <n v="0"/>
    <n v="0"/>
    <m/>
    <m/>
    <m/>
    <m/>
    <m/>
    <m/>
    <m/>
    <m/>
    <m/>
    <n v="34.428098394702374"/>
    <m/>
    <m/>
    <m/>
    <m/>
    <m/>
    <m/>
    <m/>
    <m/>
    <m/>
    <m/>
    <m/>
    <m/>
    <n v="79.283999999999992"/>
    <n v="-8.7435900000000117"/>
    <m/>
    <m/>
    <m/>
    <m/>
    <n v="-9.1465200000000042"/>
    <n v="1.4239799999999965"/>
    <n v="31"/>
    <n v="0.17053215828468637"/>
    <n v="3.3297664491877488E-2"/>
    <n v="0.17760960462795872"/>
    <n v="0"/>
    <n v="0"/>
    <n v="0"/>
    <n v="0"/>
    <n v="0"/>
    <n v="0"/>
    <n v="0"/>
    <n v="0"/>
    <n v="1.4238425245834385"/>
    <n v="0"/>
    <n v="0"/>
    <n v="0"/>
    <n v="0.15080060561576758"/>
    <n v="0"/>
    <n v="-1.4070911603758862"/>
    <m/>
    <n v="0"/>
    <n v="0"/>
    <n v="0"/>
    <n v="0"/>
    <n v="-0.18343040446929137"/>
    <n v="-2.4496676189186412E-2"/>
    <n v="0"/>
    <n v="0"/>
    <m/>
    <m/>
    <m/>
    <n v="25.521779315642526"/>
    <n v="0"/>
    <n v="0"/>
    <n v="-9.1465200000000024"/>
    <n v="1.4239799999999967"/>
    <n v="0"/>
    <n v="0"/>
    <n v="-7.8913577698239621"/>
    <n v="0"/>
    <n v="0"/>
    <n v="0"/>
    <n v="0"/>
    <n v="0"/>
    <n v="0"/>
    <n v="0"/>
    <n v="0"/>
    <n v="0"/>
    <n v="0"/>
    <n v="0"/>
    <n v="0"/>
    <n v="7.775639108000188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1"/>
    <s v="Regular"/>
    <s v="Branca"/>
    <s v="B1"/>
    <s v="Residencial"/>
    <s v="Residencial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.2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82"/>
    <s v="Regular"/>
    <s v="Branca"/>
    <s v="B1"/>
    <s v="Residencial"/>
    <s v="Residencial"/>
    <s v="Não se aplica"/>
    <s v="Não se aplica"/>
    <s v="Intermediário"/>
    <s v="CATIVO"/>
    <x v="10"/>
    <n v="0"/>
    <n v="0"/>
    <n v="2.4E-2"/>
    <n v="2.4E-2"/>
    <n v="2.4E-2"/>
    <n v="2.4E-2"/>
    <m/>
    <n v="467.85"/>
    <n v="128.11000000000001"/>
    <m/>
    <n v="14.303040000000001"/>
    <n v="14.303040000000001"/>
    <n v="12.02352"/>
    <n v="0"/>
    <n v="1.4691852107611632"/>
    <n v="0"/>
    <n v="0"/>
    <n v="0"/>
    <n v="0"/>
    <n v="7.562014724737824"/>
    <n v="3.0746651142043917"/>
    <n v="0"/>
    <n v="0"/>
    <n v="0"/>
    <n v="0"/>
    <n v="0"/>
    <n v="0.22689240991563769"/>
    <m/>
    <n v="2.0649309750344472E-2"/>
    <n v="0.1351525761781277"/>
    <n v="0.72093468555619444"/>
    <n v="0"/>
    <n v="0"/>
    <n v="0"/>
    <n v="0"/>
    <n v="0"/>
    <n v="0"/>
    <n v="0"/>
    <n v="0"/>
    <n v="0"/>
    <n v="0"/>
    <m/>
    <n v="0"/>
    <n v="0"/>
    <n v="0"/>
    <n v="0"/>
    <n v="0"/>
    <n v="0.32564090008720081"/>
    <n v="0"/>
    <n v="0"/>
    <n v="0"/>
    <n v="0"/>
    <n v="0"/>
    <m/>
    <m/>
    <m/>
    <m/>
    <m/>
    <m/>
    <m/>
    <m/>
    <m/>
    <n v="3.4003060142915924"/>
    <m/>
    <m/>
    <m/>
    <m/>
    <m/>
    <m/>
    <m/>
    <m/>
    <m/>
    <m/>
    <m/>
    <m/>
    <n v="10.019600000000001"/>
    <n v="-4.3134399999999999"/>
    <m/>
    <m/>
    <m/>
    <m/>
    <n v="-2.420160000000001"/>
    <n v="0.14063999999999965"/>
    <n v="31"/>
    <n v="5.8503117952553474E-2"/>
    <n v="9.8655717905344609E-3"/>
    <n v="5.2625211429688679E-2"/>
    <n v="0"/>
    <n v="0"/>
    <n v="0"/>
    <n v="0"/>
    <n v="0"/>
    <n v="0"/>
    <n v="0"/>
    <n v="0"/>
    <n v="0.14062642218108046"/>
    <n v="0"/>
    <n v="0"/>
    <n v="0"/>
    <n v="1.4893886974396808E-2"/>
    <n v="0"/>
    <n v="-0.13897196645687759"/>
    <m/>
    <n v="0"/>
    <n v="0"/>
    <n v="0"/>
    <n v="0"/>
    <n v="-1.8116583157460897E-2"/>
    <n v="-2.4194248088085374E-3"/>
    <n v="0"/>
    <n v="0"/>
    <m/>
    <m/>
    <m/>
    <n v="7.562014724737824"/>
    <n v="0"/>
    <n v="0"/>
    <n v="-2.420160000000001"/>
    <n v="0.14063999999999943"/>
    <n v="0"/>
    <n v="0"/>
    <n v="-2.3381819470952161"/>
    <n v="0"/>
    <n v="0"/>
    <n v="0"/>
    <n v="0"/>
    <n v="0"/>
    <n v="0"/>
    <n v="0"/>
    <n v="0"/>
    <n v="0"/>
    <n v="0"/>
    <n v="0"/>
    <n v="0"/>
    <n v="0.767964356345697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3"/>
    <s v="Regular"/>
    <s v="Convencional"/>
    <s v="B3"/>
    <s v="Industrial"/>
    <s v="Não se aplica"/>
    <s v="Não se aplica"/>
    <s v="Não se aplica"/>
    <s v="Não se aplica"/>
    <s v="CATIVO"/>
    <x v="10"/>
    <n v="0"/>
    <n v="0"/>
    <n v="377.15899999999999"/>
    <n v="377.15899999999999"/>
    <n v="377.15899999999999"/>
    <n v="377.15899999999999"/>
    <m/>
    <n v="333.61"/>
    <n v="128.11000000000001"/>
    <m/>
    <n v="174141.85348000002"/>
    <n v="174141.85348000002"/>
    <n v="152006.39176999999"/>
    <n v="0"/>
    <n v="23088.18437106123"/>
    <n v="0"/>
    <n v="0"/>
    <n v="0"/>
    <n v="0"/>
    <n v="73355.991641173052"/>
    <n v="48318.234158675594"/>
    <n v="0"/>
    <n v="0"/>
    <n v="0"/>
    <n v="0"/>
    <n v="0"/>
    <n v="3565.6047679738331"/>
    <m/>
    <n v="324.5030423387571"/>
    <n v="1311.0122906998554"/>
    <n v="6993.5218933856968"/>
    <n v="0"/>
    <n v="0"/>
    <n v="0"/>
    <n v="0"/>
    <n v="0"/>
    <n v="0"/>
    <n v="0"/>
    <n v="0"/>
    <n v="0"/>
    <n v="0"/>
    <m/>
    <n v="0"/>
    <n v="0"/>
    <n v="0"/>
    <n v="0"/>
    <n v="0"/>
    <n v="5117.4331764995231"/>
    <n v="0"/>
    <n v="0"/>
    <n v="0"/>
    <n v="31133.7"/>
    <n v="224"/>
    <m/>
    <m/>
    <m/>
    <m/>
    <m/>
    <m/>
    <m/>
    <m/>
    <m/>
    <n v="53435.667335175116"/>
    <m/>
    <m/>
    <m/>
    <m/>
    <m/>
    <m/>
    <m/>
    <m/>
    <m/>
    <m/>
    <m/>
    <m/>
    <n v="152006.7948"/>
    <n v="-22135.088680000015"/>
    <m/>
    <m/>
    <m/>
    <m/>
    <n v="-24345.613450000004"/>
    <n v="2210.1517399999943"/>
    <n v="31"/>
    <n v="543.53020706807729"/>
    <n v="95.698404262204122"/>
    <n v="510.49779633458729"/>
    <n v="0"/>
    <n v="0"/>
    <n v="0"/>
    <n v="0"/>
    <n v="0"/>
    <n v="0"/>
    <n v="0"/>
    <n v="0"/>
    <n v="2209.9383651414173"/>
    <n v="0"/>
    <n v="0"/>
    <n v="0"/>
    <n v="234.05681322402233"/>
    <n v="0"/>
    <n v="-2183.9386623712271"/>
    <m/>
    <n v="0"/>
    <n v="0"/>
    <n v="0"/>
    <n v="0"/>
    <n v="-284.70134946186636"/>
    <n v="-38.021160061059106"/>
    <n v="0"/>
    <n v="0"/>
    <m/>
    <m/>
    <m/>
    <n v="73355.991641173052"/>
    <n v="0"/>
    <n v="0"/>
    <n v="-24345.613450000004"/>
    <n v="2210.1517399999939"/>
    <n v="0"/>
    <n v="0"/>
    <n v="-22681.740463366565"/>
    <n v="0"/>
    <n v="0"/>
    <n v="0"/>
    <n v="0"/>
    <n v="0"/>
    <n v="0"/>
    <n v="0"/>
    <n v="0"/>
    <n v="0"/>
    <n v="0"/>
    <n v="0"/>
    <n v="0"/>
    <n v="12068.52786145778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4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10.179"/>
    <n v="10.179"/>
    <n v="10.179"/>
    <n v="10.179"/>
    <m/>
    <n v="333.61"/>
    <n v="128.11000000000001"/>
    <m/>
    <n v="4699.8478800000003"/>
    <n v="4699.8478800000003"/>
    <n v="4102.4423699999998"/>
    <n v="0"/>
    <n v="623.11817751407841"/>
    <n v="0"/>
    <n v="0"/>
    <n v="0"/>
    <n v="0"/>
    <n v="1979.7768021325237"/>
    <n v="1304.0423415619377"/>
    <n v="0"/>
    <n v="0"/>
    <n v="0"/>
    <n v="0"/>
    <n v="0"/>
    <n v="96.230743355469841"/>
    <m/>
    <n v="8.7578884978648492"/>
    <n v="35.382409294313085"/>
    <n v="188.74548758686129"/>
    <n v="0"/>
    <n v="0"/>
    <n v="0"/>
    <n v="0"/>
    <n v="0"/>
    <n v="0"/>
    <n v="0"/>
    <n v="0"/>
    <n v="0"/>
    <n v="0"/>
    <m/>
    <n v="0"/>
    <n v="0"/>
    <n v="0"/>
    <n v="0"/>
    <n v="0"/>
    <n v="138.11244674948404"/>
    <n v="0"/>
    <n v="0"/>
    <n v="0"/>
    <n v="1155.2"/>
    <n v="5"/>
    <m/>
    <m/>
    <m/>
    <m/>
    <m/>
    <m/>
    <m/>
    <m/>
    <m/>
    <n v="1442.1547883114217"/>
    <m/>
    <m/>
    <m/>
    <m/>
    <m/>
    <m/>
    <m/>
    <m/>
    <m/>
    <m/>
    <m/>
    <m/>
    <n v="4102.8454000000002"/>
    <n v="-597.03248000000076"/>
    <m/>
    <m/>
    <m/>
    <m/>
    <n v="-657.05445000000009"/>
    <n v="59.648939999999854"/>
    <n v="31"/>
    <n v="14.669128876007107"/>
    <n v="2.5827676311183794"/>
    <n v="13.777629776539243"/>
    <n v="0"/>
    <n v="0"/>
    <n v="0"/>
    <n v="0"/>
    <n v="0"/>
    <n v="0"/>
    <n v="0"/>
    <n v="0"/>
    <n v="59.643181307550776"/>
    <n v="0"/>
    <n v="0"/>
    <n v="0"/>
    <n v="6.3168698130160692"/>
    <n v="0"/>
    <n v="-58.941485273523313"/>
    <m/>
    <n v="0"/>
    <n v="0"/>
    <n v="0"/>
    <n v="0"/>
    <n v="-7.683695831658099"/>
    <n v="-1.0261385470359201"/>
    <n v="0"/>
    <n v="0"/>
    <m/>
    <m/>
    <m/>
    <n v="1979.7768021325237"/>
    <n v="0"/>
    <n v="0"/>
    <n v="-657.05445000000009"/>
    <n v="59.648939999999811"/>
    <n v="0"/>
    <n v="0"/>
    <n v="-612.1488183408278"/>
    <n v="0"/>
    <n v="0"/>
    <n v="0"/>
    <n v="0"/>
    <n v="0"/>
    <n v="0"/>
    <n v="0"/>
    <n v="0"/>
    <n v="0"/>
    <n v="0"/>
    <n v="0"/>
    <n v="0"/>
    <n v="325.71288263511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5"/>
    <s v="Regular"/>
    <s v="Azul"/>
    <s v="A3"/>
    <s v="Industrial"/>
    <s v="Não se aplica"/>
    <s v="Não se aplica"/>
    <s v="Não se aplica"/>
    <s v="Ponta"/>
    <s v="CATIVO"/>
    <x v="10"/>
    <n v="2437"/>
    <n v="2437"/>
    <n v="84.813999999999993"/>
    <n v="84.813999999999993"/>
    <n v="84.813999999999993"/>
    <n v="84.813999999999993"/>
    <n v="28.46"/>
    <n v="75.12"/>
    <n v="128.11000000000001"/>
    <n v="69357.02"/>
    <n v="17236.749219999998"/>
    <n v="86593.769220000002"/>
    <n v="70354.30184"/>
    <n v="0"/>
    <n v="3478.6253288284652"/>
    <n v="0"/>
    <n v="0"/>
    <n v="0"/>
    <n v="0"/>
    <n v="56031.424671773952"/>
    <n v="10865.610291505469"/>
    <n v="0"/>
    <n v="0"/>
    <n v="0"/>
    <n v="0"/>
    <n v="0"/>
    <n v="801.81886894103729"/>
    <m/>
    <n v="20.758735372083969"/>
    <n v="2006.3113306568996"/>
    <n v="11309.966336009065"/>
    <n v="0"/>
    <n v="0"/>
    <n v="0"/>
    <n v="0"/>
    <n v="0"/>
    <n v="0"/>
    <n v="0"/>
    <n v="0"/>
    <n v="0"/>
    <n v="0"/>
    <m/>
    <n v="0"/>
    <n v="0"/>
    <n v="0"/>
    <n v="0"/>
    <n v="0"/>
    <n v="251.67543947830933"/>
    <n v="0"/>
    <n v="0"/>
    <n v="0"/>
    <n v="0"/>
    <n v="0"/>
    <m/>
    <m/>
    <m/>
    <m/>
    <m/>
    <m/>
    <m/>
    <m/>
    <m/>
    <n v="11117.285730983778"/>
    <m/>
    <m/>
    <m/>
    <m/>
    <m/>
    <m/>
    <m/>
    <m/>
    <m/>
    <m/>
    <m/>
    <m/>
    <n v="70353.483600000007"/>
    <n v="-16240.315619999979"/>
    <m/>
    <m/>
    <m/>
    <m/>
    <n v="-16736.477420000003"/>
    <n v="497.0100399999987"/>
    <n v="31"/>
    <n v="1085.0034264305505"/>
    <n v="146.45232097293797"/>
    <n v="825.58015534508013"/>
    <n v="0"/>
    <n v="0"/>
    <n v="0"/>
    <n v="0"/>
    <n v="0"/>
    <n v="0"/>
    <n v="0"/>
    <n v="0"/>
    <n v="496.96205711942275"/>
    <n v="0"/>
    <n v="0"/>
    <n v="0"/>
    <n v="11.51091754389148"/>
    <n v="0"/>
    <n v="-329.04728346914362"/>
    <m/>
    <n v="0"/>
    <n v="0"/>
    <n v="0"/>
    <n v="0"/>
    <n v="-64.022495163203757"/>
    <n v="-2.4322459184318745"/>
    <n v="0"/>
    <n v="0"/>
    <m/>
    <m/>
    <n v="56031.424671773952"/>
    <n v="0"/>
    <n v="0"/>
    <n v="0"/>
    <n v="-16736.477420000003"/>
    <n v="497.01003999999921"/>
    <n v="0"/>
    <n v="0"/>
    <n v="-17324.968332709723"/>
    <n v="0"/>
    <n v="0"/>
    <n v="0"/>
    <n v="0"/>
    <n v="0"/>
    <n v="0"/>
    <n v="0"/>
    <n v="0"/>
    <n v="0"/>
    <n v="0"/>
    <n v="0"/>
    <n v="0"/>
    <n v="1818.327765658323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6"/>
    <s v="Regular"/>
    <s v="Azul"/>
    <s v="A3"/>
    <s v="Industrial"/>
    <s v="Não se aplica"/>
    <s v="Não se aplica"/>
    <s v="Não se aplica"/>
    <s v="Fora ponta"/>
    <s v="CATIVO"/>
    <x v="10"/>
    <n v="2434"/>
    <n v="2434"/>
    <n v="869.30399999999997"/>
    <n v="869.30399999999997"/>
    <n v="869.30399999999997"/>
    <n v="869.30399999999997"/>
    <n v="9.92"/>
    <n v="75.12"/>
    <n v="128.11000000000001"/>
    <n v="24145.279999999999"/>
    <n v="176668.65192"/>
    <n v="200813.93192"/>
    <n v="199146.66623999999"/>
    <n v="0"/>
    <n v="35654.28953771665"/>
    <n v="0"/>
    <n v="0"/>
    <n v="0"/>
    <n v="0"/>
    <n v="11975.811748997899"/>
    <n v="111367.44510159727"/>
    <n v="0"/>
    <n v="0"/>
    <n v="0"/>
    <n v="0"/>
    <n v="0"/>
    <n v="8218.2699795543122"/>
    <m/>
    <n v="212.76736970186624"/>
    <n v="1809.0546886733002"/>
    <n v="10353.129393207488"/>
    <n v="0"/>
    <n v="0"/>
    <n v="0"/>
    <n v="0"/>
    <n v="0"/>
    <n v="0"/>
    <n v="0"/>
    <n v="0"/>
    <n v="0"/>
    <n v="0"/>
    <m/>
    <n v="0"/>
    <n v="0"/>
    <n v="0"/>
    <n v="0"/>
    <n v="0"/>
    <n v="2579.5560431090648"/>
    <n v="0"/>
    <n v="0"/>
    <n v="0"/>
    <n v="0"/>
    <n v="0"/>
    <m/>
    <m/>
    <m/>
    <m/>
    <m/>
    <m/>
    <m/>
    <m/>
    <m/>
    <n v="113947.00114470634"/>
    <m/>
    <m/>
    <m/>
    <m/>
    <m/>
    <m/>
    <m/>
    <m/>
    <m/>
    <m/>
    <m/>
    <m/>
    <n v="199145.848"/>
    <n v="-1668.1139200000325"/>
    <m/>
    <m/>
    <m/>
    <m/>
    <n v="-6761.3871200000012"/>
    <n v="5094.1214399999872"/>
    <n v="31"/>
    <n v="2045.6881053779798"/>
    <n v="132.05341258598787"/>
    <n v="755.73506753406946"/>
    <n v="0"/>
    <n v="0"/>
    <n v="0"/>
    <n v="0"/>
    <n v="0"/>
    <n v="0"/>
    <n v="0"/>
    <n v="0"/>
    <n v="5093.6296378209081"/>
    <n v="0"/>
    <n v="0"/>
    <n v="0"/>
    <n v="117.9815439028348"/>
    <n v="0"/>
    <n v="-3372.5814100132084"/>
    <m/>
    <n v="0"/>
    <n v="0"/>
    <n v="0"/>
    <n v="0"/>
    <n v="-656.20075854639072"/>
    <n v="-24.929387906200645"/>
    <n v="0"/>
    <n v="0"/>
    <m/>
    <m/>
    <n v="11975.811748997899"/>
    <n v="0"/>
    <n v="0"/>
    <n v="0"/>
    <n v="-6761.3871199999994"/>
    <n v="5094.1214399999881"/>
    <n v="0"/>
    <n v="0"/>
    <n v="-3702.9320693750196"/>
    <n v="0"/>
    <n v="0"/>
    <n v="0"/>
    <n v="0"/>
    <n v="0"/>
    <n v="0"/>
    <n v="0"/>
    <n v="0"/>
    <n v="0"/>
    <n v="0"/>
    <n v="0"/>
    <n v="0"/>
    <n v="18637.0127573023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7"/>
    <s v="Regular"/>
    <s v="Azul"/>
    <s v="A3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180.6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88"/>
    <s v="Regular"/>
    <s v="Azul"/>
    <s v="A4"/>
    <s v="Industrial"/>
    <s v="Não se aplica"/>
    <s v="Não se aplica"/>
    <s v="Não se aplica"/>
    <s v="Ponta"/>
    <s v="CATIVO"/>
    <x v="10"/>
    <n v="6156"/>
    <n v="6156"/>
    <n v="345.2"/>
    <n v="345.2"/>
    <n v="345.2"/>
    <n v="345.2"/>
    <n v="52.19"/>
    <n v="96.28"/>
    <n v="128.11000000000001"/>
    <n v="321281.64"/>
    <n v="77459.428"/>
    <n v="398741.06800000003"/>
    <n v="312335.56800000003"/>
    <n v="0"/>
    <n v="18384.649134859828"/>
    <n v="0"/>
    <n v="0"/>
    <n v="0"/>
    <n v="0"/>
    <n v="287692.32802998344"/>
    <n v="44223.933225973167"/>
    <n v="0"/>
    <n v="0"/>
    <n v="0"/>
    <n v="0"/>
    <n v="0"/>
    <n v="3263.4691626199219"/>
    <m/>
    <n v="169.70054530932464"/>
    <n v="5316.504030879606"/>
    <n v="28282.412705525283"/>
    <n v="0"/>
    <n v="0"/>
    <n v="0"/>
    <n v="0"/>
    <n v="0"/>
    <n v="0"/>
    <n v="0"/>
    <n v="0"/>
    <n v="0"/>
    <n v="0"/>
    <m/>
    <n v="0"/>
    <n v="0"/>
    <n v="0"/>
    <n v="0"/>
    <n v="0"/>
    <n v="1808.3700064674667"/>
    <n v="0"/>
    <n v="0"/>
    <n v="0"/>
    <n v="0"/>
    <n v="0"/>
    <m/>
    <m/>
    <m/>
    <m/>
    <m/>
    <m/>
    <m/>
    <m/>
    <m/>
    <n v="46032.303232440638"/>
    <m/>
    <m/>
    <m/>
    <m/>
    <m/>
    <m/>
    <m/>
    <m/>
    <m/>
    <m/>
    <m/>
    <m/>
    <n v="312335.56800000003"/>
    <n v="-86405.530000000028"/>
    <m/>
    <m/>
    <m/>
    <m/>
    <n v="-88428.371999999988"/>
    <n v="2022.8719999999948"/>
    <n v="31"/>
    <n v="2538.4806253944116"/>
    <n v="388.08251884285801"/>
    <n v="2064.4976281335585"/>
    <n v="0"/>
    <n v="0"/>
    <n v="0"/>
    <n v="0"/>
    <n v="0"/>
    <n v="0"/>
    <n v="0"/>
    <n v="0"/>
    <n v="2022.6767057045436"/>
    <n v="0"/>
    <n v="0"/>
    <n v="0"/>
    <n v="82.709691801632289"/>
    <n v="0"/>
    <n v="-1739.0257022581682"/>
    <m/>
    <n v="0"/>
    <n v="0"/>
    <n v="0"/>
    <n v="0"/>
    <n v="-260.57685441481226"/>
    <n v="-19.883362415194767"/>
    <n v="0"/>
    <n v="0"/>
    <m/>
    <m/>
    <n v="287692.32802998344"/>
    <n v="0"/>
    <n v="0"/>
    <n v="0"/>
    <n v="-88428.372000000032"/>
    <n v="2022.8719999999958"/>
    <n v="0"/>
    <n v="0"/>
    <n v="-88954.733917266625"/>
    <n v="0"/>
    <n v="0"/>
    <n v="0"/>
    <n v="0"/>
    <n v="0"/>
    <n v="0"/>
    <n v="0"/>
    <n v="0"/>
    <n v="0"/>
    <n v="0"/>
    <n v="0"/>
    <n v="0"/>
    <n v="9609.92197313187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89"/>
    <s v="Regular"/>
    <s v="Azul"/>
    <s v="A4"/>
    <s v="Industrial"/>
    <s v="Não se aplica"/>
    <s v="Não se aplica"/>
    <s v="Não se aplica"/>
    <s v="Fora ponta"/>
    <s v="CATIVO"/>
    <x v="10"/>
    <n v="6209"/>
    <n v="6209"/>
    <n v="3121.3009999999999"/>
    <n v="3121.3009999999999"/>
    <n v="3121.3009999999999"/>
    <n v="3121.3009999999999"/>
    <n v="18.12"/>
    <n v="96.28"/>
    <n v="128.11000000000001"/>
    <n v="112507.08"/>
    <n v="700388.73139000009"/>
    <n v="812895.81139000005"/>
    <n v="790889.10664000001"/>
    <n v="0"/>
    <n v="166234.13594810865"/>
    <n v="0"/>
    <n v="0"/>
    <n v="0"/>
    <n v="0"/>
    <n v="81082.948016380658"/>
    <n v="399873.1373179701"/>
    <n v="0"/>
    <n v="0"/>
    <n v="0"/>
    <n v="0"/>
    <n v="0"/>
    <n v="29508.312748420409"/>
    <m/>
    <n v="1534.4336088486104"/>
    <n v="4935.3503879215805"/>
    <n v="26458.542336427592"/>
    <n v="0"/>
    <n v="0"/>
    <n v="0"/>
    <n v="0"/>
    <n v="0"/>
    <n v="0"/>
    <n v="0"/>
    <n v="0"/>
    <n v="0"/>
    <n v="0"/>
    <m/>
    <n v="0"/>
    <n v="0"/>
    <n v="0"/>
    <n v="0"/>
    <n v="0"/>
    <n v="16351.295218878651"/>
    <n v="0"/>
    <n v="0"/>
    <n v="0"/>
    <n v="0"/>
    <n v="0"/>
    <m/>
    <m/>
    <m/>
    <m/>
    <m/>
    <m/>
    <m/>
    <m/>
    <m/>
    <n v="416224.43253684876"/>
    <m/>
    <m/>
    <m/>
    <m/>
    <m/>
    <m/>
    <m/>
    <m/>
    <m/>
    <m/>
    <m/>
    <m/>
    <n v="790888.88199999998"/>
    <n v="-22006.959389999975"/>
    <m/>
    <m/>
    <m/>
    <m/>
    <n v="-40297.528610000008"/>
    <n v="18290.823859999953"/>
    <n v="31"/>
    <n v="3068.3354056861717"/>
    <n v="360.25989988759193"/>
    <n v="1931.3627329522387"/>
    <n v="0"/>
    <n v="0"/>
    <n v="0"/>
    <n v="0"/>
    <n v="0"/>
    <n v="0"/>
    <n v="0"/>
    <n v="0"/>
    <n v="18289.058007509506"/>
    <n v="0"/>
    <n v="0"/>
    <n v="0"/>
    <n v="747.86165622864064"/>
    <n v="0"/>
    <n v="-15724.283497926168"/>
    <m/>
    <n v="0"/>
    <n v="0"/>
    <n v="0"/>
    <n v="0"/>
    <n v="-2356.1378802485742"/>
    <n v="-179.78551271700417"/>
    <n v="0"/>
    <n v="0"/>
    <m/>
    <m/>
    <n v="81082.948016380658"/>
    <n v="0"/>
    <n v="0"/>
    <n v="0"/>
    <n v="-40297.528610000038"/>
    <n v="18290.823860000004"/>
    <n v="0"/>
    <n v="0"/>
    <n v="-25070.92252134376"/>
    <n v="0"/>
    <n v="0"/>
    <n v="0"/>
    <n v="0"/>
    <n v="0"/>
    <n v="0"/>
    <n v="0"/>
    <n v="0"/>
    <n v="0"/>
    <n v="0"/>
    <n v="0"/>
    <n v="0"/>
    <n v="86892.9868616989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0"/>
    <s v="Regular"/>
    <s v="Azul"/>
    <s v="A4"/>
    <s v="Industr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491"/>
    <s v="Regular"/>
    <s v="Verde"/>
    <s v="A4"/>
    <s v="Industrial"/>
    <s v="Não se aplica"/>
    <s v="Não se aplica"/>
    <s v="Não se aplica"/>
    <s v="Ponta"/>
    <s v="CATIVO"/>
    <x v="10"/>
    <n v="0"/>
    <n v="0"/>
    <n v="893.82100000000003"/>
    <n v="893.82100000000003"/>
    <n v="893.82100000000003"/>
    <n v="893.82100000000003"/>
    <m/>
    <n v="1351.49"/>
    <n v="128.11000000000001"/>
    <m/>
    <n v="1322497.5516000001"/>
    <n v="1322497.5516000001"/>
    <n v="1020663.1381100002"/>
    <n v="0"/>
    <n v="47603.086542206103"/>
    <n v="0"/>
    <n v="0"/>
    <n v="0"/>
    <n v="0"/>
    <n v="1004605.3139729414"/>
    <n v="114508.34362680349"/>
    <n v="0"/>
    <n v="0"/>
    <n v="0"/>
    <n v="0"/>
    <n v="0"/>
    <n v="8450.0500301335505"/>
    <m/>
    <n v="439.40298698993593"/>
    <n v="18566.922744041196"/>
    <n v="98760.139207549233"/>
    <n v="0"/>
    <n v="0"/>
    <n v="0"/>
    <n v="0"/>
    <n v="0"/>
    <n v="0"/>
    <n v="0"/>
    <n v="0"/>
    <n v="0"/>
    <n v="0"/>
    <m/>
    <n v="0"/>
    <n v="0"/>
    <n v="0"/>
    <n v="0"/>
    <n v="0"/>
    <n v="4682.384378768128"/>
    <n v="0"/>
    <n v="0"/>
    <n v="0"/>
    <n v="0"/>
    <n v="0"/>
    <m/>
    <m/>
    <m/>
    <m/>
    <m/>
    <m/>
    <m/>
    <m/>
    <m/>
    <n v="119190.72800557161"/>
    <m/>
    <m/>
    <m/>
    <m/>
    <m/>
    <m/>
    <m/>
    <m/>
    <m/>
    <m/>
    <m/>
    <m/>
    <n v="1020661.9962000001"/>
    <n v="-301835.5854000001"/>
    <m/>
    <m/>
    <m/>
    <m/>
    <n v="-307072.20454999997"/>
    <n v="5237.7910599999868"/>
    <n v="31"/>
    <n v="8786.8047133903601"/>
    <n v="1355.3075674948923"/>
    <n v="7209.0763709242747"/>
    <n v="0"/>
    <n v="0"/>
    <n v="0"/>
    <n v="0"/>
    <n v="0"/>
    <n v="0"/>
    <n v="0"/>
    <n v="0"/>
    <n v="5237.285387513155"/>
    <n v="0"/>
    <n v="0"/>
    <n v="0"/>
    <n v="214.1589207295101"/>
    <n v="0"/>
    <n v="-4502.8322486039906"/>
    <m/>
    <n v="0"/>
    <n v="0"/>
    <n v="0"/>
    <n v="0"/>
    <n v="-674.70760309936941"/>
    <n v="-51.48368156811074"/>
    <n v="0"/>
    <n v="0"/>
    <m/>
    <m/>
    <m/>
    <n v="1004605.3139729414"/>
    <n v="0"/>
    <n v="0"/>
    <n v="-307072.20454999991"/>
    <n v="5237.7910599999886"/>
    <n v="0"/>
    <n v="0"/>
    <n v="-310624.89225302241"/>
    <n v="0"/>
    <n v="0"/>
    <n v="0"/>
    <n v="0"/>
    <n v="0"/>
    <n v="0"/>
    <n v="0"/>
    <n v="0"/>
    <n v="0"/>
    <n v="0"/>
    <n v="0"/>
    <n v="0"/>
    <n v="24882.82174955592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2"/>
    <s v="Regular"/>
    <s v="Verde"/>
    <s v="A4"/>
    <s v="Industrial"/>
    <s v="Não se aplica"/>
    <s v="Não se aplica"/>
    <s v="Não se aplica"/>
    <s v="Fora ponta"/>
    <s v="CATIVO"/>
    <x v="10"/>
    <n v="0"/>
    <n v="0"/>
    <n v="12817.423000000001"/>
    <n v="12817.423000000001"/>
    <n v="12817.423000000001"/>
    <n v="12817.423000000001"/>
    <m/>
    <n v="96.28"/>
    <n v="128.11000000000001"/>
    <m/>
    <n v="2876101.5469700005"/>
    <n v="2876101.5469700005"/>
    <n v="2879305.9027200001"/>
    <n v="0"/>
    <n v="682629.85129803722"/>
    <n v="0"/>
    <n v="0"/>
    <n v="0"/>
    <n v="0"/>
    <n v="0"/>
    <n v="1642053.4730042084"/>
    <n v="0"/>
    <n v="0"/>
    <n v="0"/>
    <n v="0"/>
    <n v="0"/>
    <n v="121173.99972408845"/>
    <m/>
    <n v="6301.0535126311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45.548416588237"/>
    <n v="0"/>
    <n v="0"/>
    <n v="0"/>
    <n v="0"/>
    <n v="0"/>
    <m/>
    <m/>
    <m/>
    <m/>
    <m/>
    <m/>
    <m/>
    <m/>
    <m/>
    <n v="1709199.0214207966"/>
    <m/>
    <m/>
    <m/>
    <m/>
    <m/>
    <m/>
    <m/>
    <m/>
    <m/>
    <m/>
    <m/>
    <m/>
    <n v="2879305.2287999997"/>
    <n v="3203.6518299994059"/>
    <m/>
    <m/>
    <m/>
    <m/>
    <n v="-71905.743029999998"/>
    <n v="75110.098779999811"/>
    <n v="31"/>
    <n v="3189.5213435282931"/>
    <n v="0"/>
    <n v="0"/>
    <n v="0"/>
    <n v="0"/>
    <n v="0"/>
    <n v="0"/>
    <n v="0"/>
    <n v="0"/>
    <n v="0"/>
    <n v="0"/>
    <n v="75102.847419645404"/>
    <n v="0"/>
    <n v="0"/>
    <n v="0"/>
    <n v="3071.046077697436"/>
    <n v="0"/>
    <n v="-64570.764871711959"/>
    <m/>
    <n v="0"/>
    <n v="0"/>
    <n v="0"/>
    <n v="0"/>
    <n v="-9675.3295684938348"/>
    <n v="-738.27771360907627"/>
    <n v="0"/>
    <n v="0"/>
    <m/>
    <m/>
    <m/>
    <n v="0"/>
    <n v="0"/>
    <n v="0"/>
    <n v="-71905.743030000012"/>
    <n v="75110.098779999651"/>
    <n v="0"/>
    <n v="0"/>
    <n v="0"/>
    <n v="0"/>
    <n v="0"/>
    <n v="0"/>
    <n v="0"/>
    <n v="0"/>
    <n v="0"/>
    <n v="0"/>
    <n v="0"/>
    <n v="0"/>
    <n v="0"/>
    <n v="0"/>
    <n v="0"/>
    <n v="356820.495152450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3"/>
    <s v="Regular"/>
    <s v="Verde"/>
    <s v="A4"/>
    <s v="Industrial"/>
    <s v="Não se aplica"/>
    <s v="Não se aplica"/>
    <s v="Não se aplica"/>
    <s v="Não se aplica"/>
    <s v="CATIVO"/>
    <x v="10"/>
    <n v="50687"/>
    <n v="50687"/>
    <n v="0"/>
    <n v="0"/>
    <n v="0"/>
    <n v="0"/>
    <n v="18.12"/>
    <m/>
    <m/>
    <n v="918448.44000000006"/>
    <m/>
    <n v="918448.44000000006"/>
    <n v="732427.14999999991"/>
    <n v="0"/>
    <n v="0"/>
    <n v="0"/>
    <n v="0"/>
    <n v="0"/>
    <n v="0"/>
    <n v="661918.40652380197"/>
    <m/>
    <m/>
    <m/>
    <n v="0"/>
    <n v="0"/>
    <n v="0"/>
    <n v="0"/>
    <m/>
    <n v="0"/>
    <n v="40289.596571522176"/>
    <n v="215993.57954686834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8285.22"/>
    <n v="97"/>
    <m/>
    <m/>
    <m/>
    <m/>
    <m/>
    <m/>
    <m/>
    <m/>
    <m/>
    <n v="0"/>
    <m/>
    <m/>
    <m/>
    <m/>
    <m/>
    <m/>
    <m/>
    <m/>
    <m/>
    <m/>
    <m/>
    <m/>
    <n v="732427.14999999991"/>
    <n v="-186021.32000000018"/>
    <m/>
    <m/>
    <m/>
    <m/>
    <n v="-186021.2900000001"/>
    <n v="0"/>
    <n v="31"/>
    <n v="18707.598065832222"/>
    <n v="2940.971741923393"/>
    <n v="15766.626323908829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1918.40652380197"/>
    <m/>
    <n v="0"/>
    <n v="0"/>
    <n v="-186021.29000000015"/>
    <m/>
    <n v="0"/>
    <m/>
    <n v="-204665.78351414902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94"/>
    <s v="Regular"/>
    <s v="Convencional"/>
    <s v="B3"/>
    <s v="Comercial"/>
    <s v="Não se aplica"/>
    <s v="Não se aplica"/>
    <s v="Não se aplica"/>
    <s v="Não se aplica"/>
    <s v="CATIVO"/>
    <x v="10"/>
    <n v="0"/>
    <n v="0"/>
    <n v="982.68499999999995"/>
    <n v="982.68499999999995"/>
    <n v="982.68499999999995"/>
    <n v="982.68499999999995"/>
    <m/>
    <n v="333.61"/>
    <n v="128.11000000000001"/>
    <m/>
    <n v="453725.31819999998"/>
    <n v="453725.31819999998"/>
    <n v="396051.53554999997"/>
    <n v="0"/>
    <n v="60156.094534868069"/>
    <n v="0"/>
    <n v="0"/>
    <n v="0"/>
    <n v="0"/>
    <n v="191128.49659137428"/>
    <n v="125892.80365633094"/>
    <n v="0"/>
    <n v="0"/>
    <n v="0"/>
    <n v="0"/>
    <n v="0"/>
    <n v="9290.1569932478506"/>
    <m/>
    <n v="845.4902896673857"/>
    <n v="3415.8328792005154"/>
    <n v="18221.56984667401"/>
    <n v="0"/>
    <n v="0"/>
    <n v="0"/>
    <n v="0"/>
    <n v="0"/>
    <n v="0"/>
    <n v="0"/>
    <n v="0"/>
    <n v="0"/>
    <n v="0"/>
    <m/>
    <n v="0"/>
    <n v="0"/>
    <n v="0"/>
    <n v="0"/>
    <n v="0"/>
    <n v="13333.434495924621"/>
    <n v="0"/>
    <n v="0"/>
    <n v="0"/>
    <n v="80760.91"/>
    <n v="1676"/>
    <m/>
    <m/>
    <m/>
    <m/>
    <m/>
    <m/>
    <m/>
    <m/>
    <m/>
    <n v="139226.23815225557"/>
    <m/>
    <m/>
    <m/>
    <m/>
    <m/>
    <m/>
    <m/>
    <m/>
    <m/>
    <m/>
    <m/>
    <m/>
    <n v="396053.55070000002"/>
    <n v="-57671.797499999986"/>
    <m/>
    <m/>
    <m/>
    <m/>
    <n v="-63432.316750000005"/>
    <n v="5758.5340999999853"/>
    <n v="31"/>
    <n v="1416.1639561370248"/>
    <n v="249.34148831767061"/>
    <n v="1330.098252967724"/>
    <n v="0"/>
    <n v="0"/>
    <n v="0"/>
    <n v="0"/>
    <n v="0"/>
    <n v="0"/>
    <n v="0"/>
    <n v="0"/>
    <n v="5757.9781533756177"/>
    <n v="0"/>
    <n v="0"/>
    <n v="0"/>
    <n v="609.83330505979757"/>
    <n v="0"/>
    <n v="-5690.2361190698721"/>
    <m/>
    <n v="0"/>
    <n v="0"/>
    <n v="0"/>
    <n v="0"/>
    <n v="-741.78727167039324"/>
    <n v="-99.06385284350074"/>
    <n v="0"/>
    <n v="0"/>
    <m/>
    <m/>
    <m/>
    <n v="191128.49659137428"/>
    <n v="0"/>
    <n v="0"/>
    <n v="-63432.316749999998"/>
    <n v="5758.5340999999898"/>
    <n v="0"/>
    <n v="0"/>
    <n v="-59097.107923298579"/>
    <n v="0"/>
    <n v="0"/>
    <n v="0"/>
    <n v="0"/>
    <n v="0"/>
    <n v="0"/>
    <n v="0"/>
    <n v="0"/>
    <n v="0"/>
    <n v="0"/>
    <n v="0"/>
    <n v="0"/>
    <n v="31444.46056314882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5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8.9160000000000004"/>
    <n v="8.9160000000000004"/>
    <n v="8.9160000000000004"/>
    <n v="8.9160000000000004"/>
    <m/>
    <n v="333.61"/>
    <n v="128.11000000000001"/>
    <m/>
    <n v="4116.6955200000002"/>
    <n v="4116.6955200000002"/>
    <n v="3593.4154799999997"/>
    <n v="0"/>
    <n v="545.80230579777219"/>
    <n v="0"/>
    <n v="0"/>
    <n v="0"/>
    <n v="0"/>
    <n v="1734.1281037246863"/>
    <n v="1142.2380899269317"/>
    <n v="0"/>
    <n v="0"/>
    <n v="0"/>
    <n v="0"/>
    <n v="0"/>
    <n v="84.290530283659407"/>
    <m/>
    <n v="7.6712185722529718"/>
    <n v="30.992195821602852"/>
    <n v="165.32613884708275"/>
    <n v="0"/>
    <n v="0"/>
    <n v="0"/>
    <n v="0"/>
    <n v="0"/>
    <n v="0"/>
    <n v="0"/>
    <n v="0"/>
    <n v="0"/>
    <n v="0"/>
    <m/>
    <n v="0"/>
    <n v="0"/>
    <n v="0"/>
    <n v="0"/>
    <n v="0"/>
    <n v="120.9755943823951"/>
    <n v="0"/>
    <n v="0"/>
    <n v="0"/>
    <n v="1840.04"/>
    <n v="17"/>
    <m/>
    <m/>
    <m/>
    <m/>
    <m/>
    <m/>
    <m/>
    <m/>
    <m/>
    <n v="1263.2136843093267"/>
    <m/>
    <m/>
    <m/>
    <m/>
    <m/>
    <m/>
    <m/>
    <m/>
    <m/>
    <m/>
    <m/>
    <m/>
    <n v="3595.0275999999999"/>
    <n v="-521.69792000000098"/>
    <m/>
    <m/>
    <m/>
    <m/>
    <n v="-575.52780000000007"/>
    <n v="52.247759999999872"/>
    <n v="31"/>
    <n v="12.848998237398519"/>
    <n v="2.2623004419934638"/>
    <n v="12.068115442344407"/>
    <n v="0"/>
    <n v="0"/>
    <n v="0"/>
    <n v="0"/>
    <n v="0"/>
    <n v="0"/>
    <n v="0"/>
    <n v="0"/>
    <n v="52.24271584027133"/>
    <n v="0"/>
    <n v="0"/>
    <n v="0"/>
    <n v="5.5330790109884163"/>
    <n v="0"/>
    <n v="-51.62808553873009"/>
    <m/>
    <n v="0"/>
    <n v="0"/>
    <n v="0"/>
    <n v="0"/>
    <n v="-6.7303106429967272"/>
    <n v="-0.89881631647237104"/>
    <n v="0"/>
    <n v="0"/>
    <m/>
    <m/>
    <m/>
    <n v="1734.1281037246863"/>
    <n v="0"/>
    <n v="0"/>
    <n v="-575.5278000000003"/>
    <n v="52.247759999999744"/>
    <n v="0"/>
    <n v="0"/>
    <n v="-536.19401358943128"/>
    <n v="0"/>
    <n v="0"/>
    <n v="0"/>
    <n v="0"/>
    <n v="0"/>
    <n v="0"/>
    <n v="0"/>
    <n v="0"/>
    <n v="0"/>
    <n v="0"/>
    <n v="0"/>
    <n v="0"/>
    <n v="285.2987583824266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6"/>
    <s v="Regular"/>
    <s v="Verde"/>
    <s v="A4"/>
    <s v="Comercial"/>
    <s v="Não se aplica"/>
    <s v="Não se aplica"/>
    <s v="Não se aplica"/>
    <s v="Ponta"/>
    <s v="CATIVO"/>
    <x v="10"/>
    <n v="0"/>
    <n v="0"/>
    <n v="35.9"/>
    <n v="35.9"/>
    <n v="35.9"/>
    <n v="35.9"/>
    <m/>
    <n v="1351.49"/>
    <n v="128.11000000000001"/>
    <m/>
    <n v="53117.64"/>
    <n v="53117.64"/>
    <n v="40994.569000000003"/>
    <n v="0"/>
    <n v="1911.96090365431"/>
    <n v="0"/>
    <n v="0"/>
    <n v="0"/>
    <n v="0"/>
    <n v="40349.612250807033"/>
    <n v="4599.1865666640688"/>
    <n v="0"/>
    <n v="0"/>
    <n v="0"/>
    <n v="0"/>
    <n v="0"/>
    <n v="339.3932298321414"/>
    <m/>
    <n v="17.64846343164761"/>
    <n v="745.73379514587259"/>
    <n v="3966.6655824275972"/>
    <n v="0"/>
    <n v="0"/>
    <n v="0"/>
    <n v="0"/>
    <n v="0"/>
    <n v="0"/>
    <n v="0"/>
    <n v="0"/>
    <n v="0"/>
    <n v="0"/>
    <m/>
    <n v="0"/>
    <n v="0"/>
    <n v="0"/>
    <n v="0"/>
    <n v="0"/>
    <n v="188.06628978036517"/>
    <n v="0"/>
    <n v="0"/>
    <n v="0"/>
    <n v="0"/>
    <n v="0"/>
    <m/>
    <m/>
    <m/>
    <m/>
    <m/>
    <m/>
    <m/>
    <m/>
    <m/>
    <n v="4787.2528564444337"/>
    <m/>
    <m/>
    <m/>
    <m/>
    <m/>
    <m/>
    <m/>
    <m/>
    <m/>
    <m/>
    <m/>
    <m/>
    <n v="40994.569000000003"/>
    <n v="-12123.101000000002"/>
    <m/>
    <m/>
    <m/>
    <m/>
    <n v="-12333.444999999998"/>
    <n v="210.37399999999946"/>
    <n v="31"/>
    <n v="352.91886094723122"/>
    <n v="54.435442524919949"/>
    <n v="289.54996774094752"/>
    <n v="0"/>
    <n v="0"/>
    <n v="0"/>
    <n v="0"/>
    <n v="0"/>
    <n v="0"/>
    <n v="0"/>
    <n v="0"/>
    <n v="210.35368984586694"/>
    <n v="0"/>
    <n v="0"/>
    <n v="0"/>
    <n v="8.6016162678986063"/>
    <n v="0"/>
    <n v="-180.85464284782233"/>
    <m/>
    <n v="0"/>
    <n v="0"/>
    <n v="0"/>
    <n v="0"/>
    <n v="-27.099388973035275"/>
    <n v="-2.0678236115454602"/>
    <n v="0"/>
    <n v="0"/>
    <m/>
    <m/>
    <m/>
    <n v="40349.612250807033"/>
    <n v="0"/>
    <n v="0"/>
    <n v="-12333.445"/>
    <n v="210.3739999999998"/>
    <n v="0"/>
    <n v="0"/>
    <n v="-12476.13742783343"/>
    <n v="0"/>
    <n v="0"/>
    <n v="0"/>
    <n v="0"/>
    <n v="0"/>
    <n v="0"/>
    <n v="0"/>
    <n v="0"/>
    <n v="0"/>
    <n v="0"/>
    <n v="0"/>
    <n v="0"/>
    <n v="999.4096142393808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7"/>
    <s v="Regular"/>
    <s v="Verde"/>
    <s v="A4"/>
    <s v="Comercial"/>
    <s v="Não se aplica"/>
    <s v="Não se aplica"/>
    <s v="Não se aplica"/>
    <s v="Fora ponta"/>
    <s v="CATIVO"/>
    <x v="10"/>
    <n v="0"/>
    <n v="0"/>
    <n v="421.21100000000001"/>
    <n v="421.21100000000001"/>
    <n v="421.21100000000001"/>
    <n v="421.21100000000001"/>
    <m/>
    <n v="96.28"/>
    <n v="128.11000000000001"/>
    <m/>
    <n v="94515.536290000018"/>
    <n v="94515.536290000018"/>
    <n v="94620.839040000006"/>
    <n v="0"/>
    <n v="22432.840228109628"/>
    <n v="0"/>
    <n v="0"/>
    <n v="0"/>
    <n v="0"/>
    <n v="0"/>
    <n v="53961.781975797756"/>
    <n v="0"/>
    <n v="0"/>
    <n v="0"/>
    <n v="0"/>
    <n v="0"/>
    <n v="3982.0657863739866"/>
    <m/>
    <n v="207.06760252110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.562395116362"/>
    <n v="0"/>
    <n v="0"/>
    <n v="0"/>
    <n v="0"/>
    <n v="0"/>
    <m/>
    <m/>
    <m/>
    <m/>
    <m/>
    <m/>
    <m/>
    <m/>
    <m/>
    <n v="56168.344370914121"/>
    <m/>
    <m/>
    <m/>
    <m/>
    <m/>
    <m/>
    <m/>
    <m/>
    <m/>
    <m/>
    <m/>
    <m/>
    <n v="94620.614399999991"/>
    <n v="105.04810999998881"/>
    <m/>
    <m/>
    <m/>
    <m/>
    <n v="-2362.9937099999997"/>
    <n v="2468.2964599999937"/>
    <n v="31"/>
    <n v="104.8152561266761"/>
    <n v="0"/>
    <n v="0"/>
    <n v="0"/>
    <n v="0"/>
    <n v="0"/>
    <n v="0"/>
    <n v="0"/>
    <n v="0"/>
    <n v="0"/>
    <n v="0"/>
    <n v="2468.0581630547968"/>
    <n v="0"/>
    <n v="0"/>
    <n v="0"/>
    <n v="100.92187715370028"/>
    <n v="0"/>
    <n v="-2121.9488849185"/>
    <m/>
    <n v="0"/>
    <n v="0"/>
    <n v="0"/>
    <n v="0"/>
    <n v="-317.95433784738589"/>
    <n v="-24.261561315951951"/>
    <n v="0"/>
    <n v="0"/>
    <m/>
    <m/>
    <m/>
    <n v="0"/>
    <n v="0"/>
    <n v="0"/>
    <n v="-2362.9937100000025"/>
    <n v="2468.2964599999978"/>
    <n v="0"/>
    <n v="0"/>
    <n v="0"/>
    <n v="0"/>
    <n v="0"/>
    <n v="0"/>
    <n v="0"/>
    <n v="0"/>
    <n v="0"/>
    <n v="0"/>
    <n v="0"/>
    <n v="0"/>
    <n v="0"/>
    <n v="0"/>
    <n v="0"/>
    <n v="11725.97000065136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498"/>
    <s v="Regular"/>
    <s v="Verde"/>
    <s v="A4"/>
    <s v="Comercial"/>
    <s v="Não se aplica"/>
    <s v="Não se aplica"/>
    <s v="Não se aplica"/>
    <s v="Não se aplica"/>
    <s v="CATIVO"/>
    <x v="10"/>
    <n v="1684"/>
    <n v="1684"/>
    <n v="0"/>
    <n v="0"/>
    <n v="0"/>
    <n v="0"/>
    <n v="18.12"/>
    <m/>
    <m/>
    <n v="30514.080000000002"/>
    <m/>
    <n v="30514.080000000002"/>
    <n v="24333.8"/>
    <n v="0"/>
    <n v="0"/>
    <n v="0"/>
    <n v="0"/>
    <n v="0"/>
    <n v="0"/>
    <n v="21991.252127489941"/>
    <m/>
    <m/>
    <m/>
    <n v="0"/>
    <n v="0"/>
    <n v="0"/>
    <n v="0"/>
    <m/>
    <n v="0"/>
    <n v="1338.5617737574396"/>
    <n v="7176.0646311071132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566.65"/>
    <n v="17"/>
    <m/>
    <m/>
    <m/>
    <m/>
    <m/>
    <m/>
    <m/>
    <m/>
    <m/>
    <n v="0"/>
    <m/>
    <m/>
    <m/>
    <m/>
    <m/>
    <m/>
    <m/>
    <m/>
    <m/>
    <m/>
    <m/>
    <m/>
    <n v="24333.8"/>
    <n v="-6180.3099999999977"/>
    <m/>
    <m/>
    <m/>
    <m/>
    <n v="-6180.2800000000025"/>
    <n v="0"/>
    <n v="31"/>
    <n v="621.53205245647769"/>
    <n v="97.709401096908323"/>
    <n v="523.8226513595700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991.252127489941"/>
    <m/>
    <n v="0"/>
    <n v="0"/>
    <n v="-6180.2800000000025"/>
    <m/>
    <n v="0"/>
    <m/>
    <n v="-6799.7154978165418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499"/>
    <s v="Regular"/>
    <s v="Convencional"/>
    <s v="B2"/>
    <s v="Rural"/>
    <s v="Não se aplica"/>
    <s v="Não se aplica"/>
    <s v="Não se aplica"/>
    <s v="Não se aplica"/>
    <s v="CATIVO"/>
    <x v="10"/>
    <n v="0"/>
    <n v="0"/>
    <n v="938.06500000000005"/>
    <n v="938.06500000000005"/>
    <n v="938.06500000000005"/>
    <n v="938.06500000000005"/>
    <m/>
    <n v="333.61"/>
    <n v="128.11000000000001"/>
    <m/>
    <n v="433123.37180000002"/>
    <n v="433123.37180000002"/>
    <n v="378068.33695000003"/>
    <n v="0"/>
    <n v="57424.634363861274"/>
    <n v="0"/>
    <n v="0"/>
    <n v="0"/>
    <n v="0"/>
    <n v="182450.07622482031"/>
    <n v="120176.48876483929"/>
    <n v="0"/>
    <n v="0"/>
    <n v="0"/>
    <n v="0"/>
    <n v="0"/>
    <n v="8868.3261878130288"/>
    <m/>
    <n v="807.09978128987041"/>
    <n v="3260.7328592857652"/>
    <n v="17394.197447015329"/>
    <n v="0"/>
    <n v="0"/>
    <n v="0"/>
    <n v="0"/>
    <n v="0"/>
    <n v="0"/>
    <n v="0"/>
    <n v="0"/>
    <n v="0"/>
    <n v="0"/>
    <m/>
    <n v="0"/>
    <n v="0"/>
    <n v="0"/>
    <n v="0"/>
    <n v="0"/>
    <n v="12728.013789179169"/>
    <n v="0"/>
    <n v="0"/>
    <n v="0"/>
    <n v="52693.08"/>
    <n v="2303"/>
    <m/>
    <m/>
    <m/>
    <m/>
    <m/>
    <n v="45374.204049999993"/>
    <m/>
    <m/>
    <m/>
    <n v="132904.50255401846"/>
    <m/>
    <m/>
    <m/>
    <m/>
    <m/>
    <m/>
    <m/>
    <m/>
    <m/>
    <m/>
    <m/>
    <m/>
    <n v="332695.90620000003"/>
    <n v="-48458.694599999988"/>
    <m/>
    <m/>
    <m/>
    <m/>
    <n v="-60552.095750000015"/>
    <n v="5497.0608999999868"/>
    <n v="31"/>
    <n v="1351.8613202742708"/>
    <n v="238.01983671137259"/>
    <n v="1269.7035343677453"/>
    <n v="0"/>
    <n v="0"/>
    <n v="0"/>
    <n v="0"/>
    <n v="0"/>
    <n v="0"/>
    <n v="0"/>
    <n v="0"/>
    <n v="5496.5301968039712"/>
    <n v="0"/>
    <n v="0"/>
    <n v="0"/>
    <n v="582.14308685989636"/>
    <n v="0"/>
    <n v="-5431.8640714321155"/>
    <m/>
    <n v="0"/>
    <n v="0"/>
    <n v="0"/>
    <n v="0"/>
    <n v="-708.10552415014809"/>
    <n v="-94.565738886457552"/>
    <n v="0"/>
    <n v="0"/>
    <m/>
    <m/>
    <m/>
    <n v="182450.07622482031"/>
    <n v="0"/>
    <n v="0"/>
    <n v="-60552.095749999979"/>
    <n v="5497.0608999999822"/>
    <n v="0"/>
    <n v="0"/>
    <n v="-56413.73231917563"/>
    <n v="0"/>
    <n v="0"/>
    <n v="0"/>
    <n v="0"/>
    <n v="0"/>
    <n v="0"/>
    <n v="0"/>
    <n v="0"/>
    <n v="0"/>
    <n v="0"/>
    <n v="0"/>
    <n v="0"/>
    <n v="30016.68683064278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0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0.17199999999999999"/>
    <n v="-0.17199999999999999"/>
    <n v="-0.17199999999999999"/>
    <n v="-0.17199999999999999"/>
    <m/>
    <n v="333.61"/>
    <n v="128.11000000000001"/>
    <m/>
    <n v="-79.415840000000003"/>
    <n v="-79.415840000000003"/>
    <n v="-69.321159999999992"/>
    <n v="0"/>
    <n v="-10.529160677121668"/>
    <n v="0"/>
    <n v="0"/>
    <n v="0"/>
    <n v="0"/>
    <n v="-33.453346101463211"/>
    <n v="-22.035099985131474"/>
    <n v="0"/>
    <n v="0"/>
    <n v="0"/>
    <n v="0"/>
    <n v="0"/>
    <n v="-1.62606227106207"/>
    <m/>
    <n v="-0.1479867198774687"/>
    <n v="-0.59787546896766375"/>
    <n v="-3.1893333200648528"/>
    <n v="0"/>
    <n v="0"/>
    <n v="0"/>
    <n v="0"/>
    <n v="0"/>
    <n v="0"/>
    <n v="0"/>
    <n v="0"/>
    <n v="0"/>
    <n v="0"/>
    <m/>
    <n v="0"/>
    <n v="0"/>
    <n v="0"/>
    <n v="0"/>
    <n v="0"/>
    <n v="-2.3337597839582722"/>
    <n v="0"/>
    <n v="0"/>
    <n v="0"/>
    <n v="-8.31"/>
    <n v="0"/>
    <m/>
    <m/>
    <m/>
    <m/>
    <m/>
    <n v="-8.3196399999999979"/>
    <m/>
    <m/>
    <m/>
    <n v="-24.368859769089745"/>
    <m/>
    <m/>
    <m/>
    <m/>
    <m/>
    <m/>
    <m/>
    <m/>
    <m/>
    <m/>
    <m/>
    <m/>
    <n v="-60.292200000000008"/>
    <n v="9.5648399999999754"/>
    <m/>
    <m/>
    <m/>
    <m/>
    <n v="11.102600000000001"/>
    <n v="-1.0079199999999975"/>
    <n v="31"/>
    <n v="-0.24787210597045828"/>
    <n v="-4.3642404219703446E-2"/>
    <n v="-0.23280796950238214"/>
    <n v="0"/>
    <n v="0"/>
    <n v="0"/>
    <n v="0"/>
    <n v="0"/>
    <n v="0"/>
    <n v="0"/>
    <n v="0"/>
    <n v="-1.0078226922977436"/>
    <n v="0"/>
    <n v="0"/>
    <n v="0"/>
    <n v="-0.10673952331651027"/>
    <n v="0"/>
    <n v="0.99596575960762301"/>
    <m/>
    <n v="0"/>
    <n v="0"/>
    <n v="0"/>
    <n v="0"/>
    <n v="0.1298355126284696"/>
    <n v="1.7339211129794502E-2"/>
    <n v="0"/>
    <n v="0"/>
    <m/>
    <m/>
    <m/>
    <n v="-33.453346101463211"/>
    <n v="0"/>
    <n v="0"/>
    <n v="11.102600000000002"/>
    <n v="-1.0079199999999986"/>
    <n v="0"/>
    <n v="0"/>
    <n v="10.343805556009663"/>
    <n v="0"/>
    <n v="0"/>
    <n v="0"/>
    <n v="0"/>
    <n v="0"/>
    <n v="0"/>
    <n v="0"/>
    <n v="0"/>
    <n v="0"/>
    <n v="0"/>
    <n v="0"/>
    <n v="0"/>
    <n v="-5.503744553810832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1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35.591999999999999"/>
    <n v="35.591999999999999"/>
    <n v="35.591999999999999"/>
    <n v="35.591999999999999"/>
    <m/>
    <n v="333.61"/>
    <n v="128.11000000000001"/>
    <m/>
    <n v="16433.538240000002"/>
    <n v="16433.538240000002"/>
    <n v="14344.643759999999"/>
    <n v="0"/>
    <n v="2178.8016675588051"/>
    <n v="0"/>
    <n v="0"/>
    <n v="0"/>
    <n v="0"/>
    <n v="6922.5086886237132"/>
    <n v="4559.7283643651126"/>
    <n v="0"/>
    <n v="0"/>
    <n v="0"/>
    <n v="0"/>
    <n v="0"/>
    <n v="336.48144390489068"/>
    <m/>
    <n v="30.62292635976085"/>
    <n v="123.7185098342854"/>
    <n v="659.96948562644332"/>
    <n v="0"/>
    <n v="0"/>
    <n v="0"/>
    <n v="0"/>
    <n v="0"/>
    <n v="0"/>
    <n v="0"/>
    <n v="0"/>
    <n v="0"/>
    <n v="0"/>
    <m/>
    <n v="0"/>
    <n v="0"/>
    <n v="0"/>
    <n v="0"/>
    <n v="0"/>
    <n v="482.92545482931877"/>
    <n v="0"/>
    <n v="0"/>
    <n v="0"/>
    <n v="4776.16"/>
    <n v="49"/>
    <m/>
    <m/>
    <m/>
    <m/>
    <m/>
    <n v="1721.5850399999997"/>
    <m/>
    <m/>
    <m/>
    <n v="5042.653819194431"/>
    <m/>
    <m/>
    <m/>
    <m/>
    <m/>
    <m/>
    <m/>
    <m/>
    <m/>
    <m/>
    <m/>
    <m/>
    <n v="12622.349400000003"/>
    <n v="-1839.4220399999958"/>
    <m/>
    <m/>
    <m/>
    <m/>
    <n v="-2297.4636000000005"/>
    <n v="208.56911999999946"/>
    <n v="31"/>
    <n v="51.292232533141942"/>
    <n v="9.0309328545795751"/>
    <n v="48.175007270516176"/>
    <n v="0"/>
    <n v="0"/>
    <n v="0"/>
    <n v="0"/>
    <n v="0"/>
    <n v="0"/>
    <n v="0"/>
    <n v="0"/>
    <n v="208.5489840945429"/>
    <n v="0"/>
    <n v="0"/>
    <n v="0"/>
    <n v="22.08763438303049"/>
    <n v="0"/>
    <n v="-206.09542625554968"/>
    <m/>
    <n v="0"/>
    <n v="0"/>
    <n v="0"/>
    <n v="0"/>
    <n v="-26.866892822514501"/>
    <n v="-3.5880069914630575"/>
    <n v="0"/>
    <n v="0"/>
    <m/>
    <m/>
    <m/>
    <n v="6922.5086886237132"/>
    <n v="0"/>
    <n v="0"/>
    <n v="-2297.463600000001"/>
    <n v="208.5691199999992"/>
    <n v="0"/>
    <n v="0"/>
    <n v="-2140.4460892412553"/>
    <n v="0"/>
    <n v="0"/>
    <n v="0"/>
    <n v="0"/>
    <n v="0"/>
    <n v="0"/>
    <n v="0"/>
    <n v="0"/>
    <n v="0"/>
    <n v="0"/>
    <n v="0"/>
    <n v="0"/>
    <n v="1138.891140460669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2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55.661"/>
    <n v="155.661"/>
    <n v="155.661"/>
    <n v="155.661"/>
    <m/>
    <n v="333.61"/>
    <n v="128.11000000000001"/>
    <m/>
    <n v="71871.796920000008"/>
    <n v="71871.796920000008"/>
    <n v="62736.052830000001"/>
    <n v="0"/>
    <n v="9528.9516288455598"/>
    <n v="0"/>
    <n v="0"/>
    <n v="0"/>
    <n v="0"/>
    <n v="30275.472718022473"/>
    <n v="19941.89359759041"/>
    <n v="0"/>
    <n v="0"/>
    <n v="0"/>
    <n v="0"/>
    <n v="0"/>
    <n v="1471.5958091615867"/>
    <m/>
    <n v="133.92884187701546"/>
    <n v="541.08077543590412"/>
    <n v="2886.3651972942739"/>
    <n v="0"/>
    <n v="0"/>
    <n v="0"/>
    <n v="0"/>
    <n v="0"/>
    <n v="0"/>
    <n v="0"/>
    <n v="0"/>
    <n v="0"/>
    <n v="0"/>
    <m/>
    <n v="0"/>
    <n v="0"/>
    <n v="0"/>
    <n v="0"/>
    <n v="0"/>
    <n v="2112.0661728530736"/>
    <n v="0"/>
    <n v="0"/>
    <n v="0"/>
    <n v="10826.33"/>
    <n v="217"/>
    <m/>
    <m/>
    <m/>
    <m/>
    <m/>
    <m/>
    <m/>
    <m/>
    <m/>
    <n v="22053.959770443482"/>
    <m/>
    <m/>
    <m/>
    <m/>
    <m/>
    <m/>
    <m/>
    <m/>
    <m/>
    <m/>
    <m/>
    <m/>
    <n v="62735.649799999999"/>
    <n v="-9136.1771200000076"/>
    <m/>
    <m/>
    <m/>
    <m/>
    <n v="-10047.917550000002"/>
    <n v="912.1734599999977"/>
    <n v="31"/>
    <n v="224.32569702015462"/>
    <n v="39.496629553739922"/>
    <n v="210.69256593436239"/>
    <n v="0"/>
    <n v="0"/>
    <n v="0"/>
    <n v="0"/>
    <n v="0"/>
    <n v="0"/>
    <n v="0"/>
    <n v="0"/>
    <n v="912.08539596371702"/>
    <n v="0"/>
    <n v="0"/>
    <n v="0"/>
    <n v="96.599889180065929"/>
    <n v="0"/>
    <n v="-901.35480294350054"/>
    <m/>
    <n v="0"/>
    <n v="0"/>
    <n v="0"/>
    <n v="0"/>
    <n v="-117.50189378639675"/>
    <n v="-15.692086881831074"/>
    <n v="0"/>
    <n v="0"/>
    <m/>
    <m/>
    <m/>
    <n v="30275.472718022473"/>
    <n v="0"/>
    <n v="0"/>
    <n v="-10047.917550000006"/>
    <n v="912.17345999999816"/>
    <n v="0"/>
    <n v="0"/>
    <n v="-9361.2041665931392"/>
    <n v="0"/>
    <n v="0"/>
    <n v="0"/>
    <n v="0"/>
    <n v="0"/>
    <n v="0"/>
    <n v="0"/>
    <n v="0"/>
    <n v="0"/>
    <n v="0"/>
    <n v="0"/>
    <n v="0"/>
    <n v="4980.920819713651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3"/>
    <s v="Sistema de Compensação"/>
    <s v="Convencional"/>
    <s v="B3"/>
    <s v="Poder público"/>
    <s v="Não se aplica"/>
    <s v="Não se aplica"/>
    <s v="Não se aplica"/>
    <s v="Não se aplica"/>
    <s v="CATIVO"/>
    <x v="10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66.56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31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4"/>
    <s v="Regular"/>
    <s v="Verde"/>
    <s v="A4"/>
    <s v="Poder público"/>
    <s v="Não se aplica"/>
    <s v="Não se aplica"/>
    <s v="Não se aplica"/>
    <s v="Ponta"/>
    <s v="CATIVO"/>
    <x v="10"/>
    <n v="0"/>
    <n v="0"/>
    <n v="1.8120000000000001"/>
    <n v="1.8120000000000001"/>
    <n v="1.8120000000000001"/>
    <n v="1.8120000000000001"/>
    <m/>
    <n v="1351.49"/>
    <n v="128.11000000000001"/>
    <m/>
    <n v="2681.0351999999998"/>
    <n v="2681.0351999999998"/>
    <n v="2069.1409200000003"/>
    <n v="0"/>
    <n v="96.503430568847065"/>
    <n v="0"/>
    <n v="0"/>
    <n v="0"/>
    <n v="0"/>
    <n v="2036.5876712663605"/>
    <n v="232.1372161224316"/>
    <n v="0"/>
    <n v="0"/>
    <n v="0"/>
    <n v="0"/>
    <n v="0"/>
    <n v="17.130376948630648"/>
    <m/>
    <n v="0.89078038267814685"/>
    <n v="37.639822752209504"/>
    <n v="200.21164443896399"/>
    <n v="0"/>
    <n v="0"/>
    <n v="0"/>
    <n v="0"/>
    <n v="0"/>
    <n v="0"/>
    <n v="0"/>
    <n v="0"/>
    <n v="0"/>
    <n v="0"/>
    <m/>
    <n v="0"/>
    <n v="0"/>
    <n v="0"/>
    <n v="0"/>
    <n v="0"/>
    <n v="9.4923709493599358"/>
    <n v="0"/>
    <n v="0"/>
    <n v="0"/>
    <n v="0"/>
    <n v="0"/>
    <m/>
    <m/>
    <m/>
    <m/>
    <m/>
    <m/>
    <m/>
    <m/>
    <m/>
    <n v="241.62958707179152"/>
    <m/>
    <m/>
    <m/>
    <m/>
    <m/>
    <m/>
    <m/>
    <m/>
    <m/>
    <m/>
    <m/>
    <m/>
    <n v="2066.8571000000002"/>
    <n v="-614.20810000000029"/>
    <m/>
    <m/>
    <m/>
    <m/>
    <n v="-622.51259999999991"/>
    <n v="10.618319999999974"/>
    <n v="31"/>
    <n v="17.8130633993419"/>
    <n v="2.7475493552967976"/>
    <n v="14.614611185141939"/>
    <n v="0"/>
    <n v="0"/>
    <n v="0"/>
    <n v="0"/>
    <n v="0"/>
    <n v="0"/>
    <n v="0"/>
    <n v="0"/>
    <n v="10.617294874671558"/>
    <n v="0"/>
    <n v="0"/>
    <n v="0"/>
    <n v="0.43415400215688926"/>
    <n v="0"/>
    <n v="-9.1283736167201539"/>
    <m/>
    <n v="0"/>
    <n v="0"/>
    <n v="0"/>
    <n v="0"/>
    <n v="-1.367802028388299"/>
    <n v="-0.10437037281672357"/>
    <n v="0"/>
    <n v="0"/>
    <m/>
    <m/>
    <m/>
    <n v="2036.5876712663605"/>
    <n v="0"/>
    <n v="0"/>
    <n v="-622.51259999999979"/>
    <n v="10.618319999999983"/>
    <n v="0"/>
    <n v="0"/>
    <n v="-629.71479162212177"/>
    <n v="0"/>
    <n v="0"/>
    <n v="0"/>
    <n v="0"/>
    <n v="0"/>
    <n v="0"/>
    <n v="0"/>
    <n v="0"/>
    <n v="0"/>
    <n v="0"/>
    <n v="0"/>
    <n v="0"/>
    <n v="50.4437387465670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5"/>
    <s v="Regular"/>
    <s v="Verde"/>
    <s v="A4"/>
    <s v="Poder público"/>
    <s v="Não se aplica"/>
    <s v="Não se aplica"/>
    <s v="Não se aplica"/>
    <s v="Fora ponta"/>
    <s v="CATIVO"/>
    <x v="10"/>
    <n v="0"/>
    <n v="0"/>
    <n v="20.71"/>
    <n v="20.71"/>
    <n v="20.71"/>
    <n v="20.71"/>
    <m/>
    <n v="96.28"/>
    <n v="128.11000000000001"/>
    <m/>
    <n v="4647.1169000000009"/>
    <n v="4647.1169000000009"/>
    <n v="4652.2944000000007"/>
    <n v="0"/>
    <n v="1102.9724321638096"/>
    <n v="0"/>
    <n v="0"/>
    <n v="0"/>
    <n v="0"/>
    <n v="0"/>
    <n v="2653.1797714655399"/>
    <n v="0"/>
    <n v="0"/>
    <n v="0"/>
    <n v="0"/>
    <n v="0"/>
    <n v="195.78924205636903"/>
    <m/>
    <n v="10.181049517254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49172315741959"/>
    <n v="0"/>
    <n v="0"/>
    <n v="0"/>
    <n v="0"/>
    <n v="0"/>
    <m/>
    <m/>
    <m/>
    <m/>
    <m/>
    <m/>
    <m/>
    <m/>
    <m/>
    <n v="2761.6714946229595"/>
    <m/>
    <m/>
    <m/>
    <m/>
    <m/>
    <m/>
    <m/>
    <m/>
    <m/>
    <m/>
    <m/>
    <m/>
    <n v="4652.2944000000007"/>
    <n v="5.1475000000000364"/>
    <m/>
    <m/>
    <m/>
    <m/>
    <n v="-116.1831"/>
    <n v="121.36059999999969"/>
    <n v="31"/>
    <n v="5.1535310198050865"/>
    <n v="0"/>
    <n v="0"/>
    <n v="0"/>
    <n v="0"/>
    <n v="0"/>
    <n v="0"/>
    <n v="0"/>
    <n v="0"/>
    <n v="0"/>
    <n v="0"/>
    <n v="121.34888347375727"/>
    <n v="0"/>
    <n v="0"/>
    <n v="0"/>
    <n v="4.9621023094200609"/>
    <n v="0"/>
    <n v="-104.33146666792197"/>
    <m/>
    <n v="0"/>
    <n v="0"/>
    <n v="0"/>
    <n v="0"/>
    <n v="-15.633101549625621"/>
    <n v="-1.1928865458246936"/>
    <n v="0"/>
    <n v="0"/>
    <m/>
    <m/>
    <m/>
    <n v="0"/>
    <n v="0"/>
    <n v="0"/>
    <n v="-116.18309999999997"/>
    <n v="121.36059999999952"/>
    <n v="0"/>
    <n v="0"/>
    <n v="0"/>
    <n v="0"/>
    <n v="0"/>
    <n v="0"/>
    <n v="0"/>
    <n v="0"/>
    <n v="0"/>
    <n v="0"/>
    <n v="0"/>
    <n v="0"/>
    <n v="0"/>
    <n v="0"/>
    <n v="0"/>
    <n v="576.539640972077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6"/>
    <s v="Regular"/>
    <s v="Verde"/>
    <s v="A4"/>
    <s v="Poder público"/>
    <s v="Não se aplica"/>
    <s v="Não se aplica"/>
    <s v="Não se aplica"/>
    <s v="Não se aplica"/>
    <s v="CATIVO"/>
    <x v="10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617.99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1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507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1011.848"/>
    <n v="1011.848"/>
    <n v="1011.848"/>
    <n v="1011.848"/>
    <m/>
    <n v="183.49"/>
    <n v="70.459999999999994"/>
    <m/>
    <n v="256958.7996"/>
    <n v="256958.7996"/>
    <n v="224286.22767999998"/>
    <n v="0"/>
    <n v="34067.736017751835"/>
    <n v="0"/>
    <n v="0"/>
    <n v="0"/>
    <n v="0"/>
    <n v="108240.32407174661"/>
    <n v="71295.898356775971"/>
    <n v="0"/>
    <n v="0"/>
    <n v="0"/>
    <n v="0"/>
    <n v="0"/>
    <n v="5261.2227980656207"/>
    <m/>
    <n v="478.81998019777501"/>
    <n v="1934.4622304546303"/>
    <n v="10319.280800479861"/>
    <n v="0"/>
    <n v="0"/>
    <n v="0"/>
    <n v="0"/>
    <n v="0"/>
    <n v="0"/>
    <n v="0"/>
    <n v="0"/>
    <n v="0"/>
    <n v="0"/>
    <m/>
    <n v="0"/>
    <n v="0"/>
    <n v="0"/>
    <n v="0"/>
    <n v="0"/>
    <n v="7551.0208920536688"/>
    <n v="0"/>
    <n v="0"/>
    <n v="0"/>
    <n v="45938.14"/>
    <n v="5"/>
    <m/>
    <m/>
    <m/>
    <m/>
    <m/>
    <m/>
    <m/>
    <m/>
    <m/>
    <n v="78846.919248829639"/>
    <m/>
    <m/>
    <m/>
    <m/>
    <m/>
    <m/>
    <m/>
    <m/>
    <m/>
    <m/>
    <m/>
    <m/>
    <n v="224286.671"/>
    <n v="-32672.158600000024"/>
    <m/>
    <m/>
    <m/>
    <m/>
    <n v="-35930.722480000019"/>
    <n v="3258.1505600000132"/>
    <n v="31"/>
    <n v="802.00518648294383"/>
    <n v="141.20763769589689"/>
    <n v="753.26426208594603"/>
    <n v="0"/>
    <n v="0"/>
    <n v="0"/>
    <n v="0"/>
    <n v="0"/>
    <n v="0"/>
    <n v="0"/>
    <n v="0"/>
    <n v="3260.8712590454525"/>
    <n v="0"/>
    <n v="0"/>
    <n v="0"/>
    <n v="345.36218170830944"/>
    <n v="0"/>
    <n v="-3222.5074363959866"/>
    <m/>
    <n v="0"/>
    <n v="0"/>
    <n v="0"/>
    <n v="0"/>
    <n v="-420.09065162877323"/>
    <n v="-56.102066027867352"/>
    <n v="0"/>
    <n v="0"/>
    <m/>
    <m/>
    <m/>
    <n v="108240.32407174661"/>
    <n v="0"/>
    <n v="0"/>
    <n v="-35930.722480000026"/>
    <n v="3258.1505600000091"/>
    <n v="0"/>
    <n v="0"/>
    <n v="-33468.008315875195"/>
    <n v="0"/>
    <n v="0"/>
    <n v="0"/>
    <n v="0"/>
    <n v="0"/>
    <n v="0"/>
    <n v="0"/>
    <n v="0"/>
    <n v="0"/>
    <n v="0"/>
    <n v="0"/>
    <n v="0"/>
    <n v="17807.69828840939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8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71.58"/>
    <n v="67.285200000000003"/>
    <n v="71.58"/>
    <n v="67.285200000000003"/>
    <m/>
    <n v="333.61"/>
    <n v="128.11000000000001"/>
    <m/>
    <n v="33049.917600000001"/>
    <n v="33049.917600000001"/>
    <n v="28848.8874"/>
    <n v="0"/>
    <n v="4381.8448910951693"/>
    <n v="0"/>
    <n v="0"/>
    <n v="0"/>
    <n v="0"/>
    <n v="13922.037871760098"/>
    <n v="9170.188703114598"/>
    <n v="0"/>
    <n v="0"/>
    <n v="0"/>
    <n v="0"/>
    <n v="0"/>
    <n v="676.70661257338941"/>
    <m/>
    <n v="61.586566330402391"/>
    <n v="248.81352365526379"/>
    <n v="1327.2818549432684"/>
    <n v="0"/>
    <n v="0"/>
    <n v="0"/>
    <n v="0"/>
    <n v="0"/>
    <n v="0"/>
    <n v="0"/>
    <n v="0"/>
    <n v="0"/>
    <n v="0"/>
    <m/>
    <n v="0"/>
    <n v="0"/>
    <n v="0"/>
    <n v="0"/>
    <n v="0"/>
    <n v="971.22398451007643"/>
    <n v="0"/>
    <n v="0"/>
    <n v="0"/>
    <n v="5554.32"/>
    <n v="27"/>
    <m/>
    <m/>
    <m/>
    <m/>
    <n v="1730.933243999998"/>
    <m/>
    <m/>
    <m/>
    <m/>
    <n v="10141.412687624674"/>
    <m/>
    <m/>
    <m/>
    <m/>
    <m/>
    <m/>
    <m/>
    <m/>
    <m/>
    <m/>
    <m/>
    <m/>
    <n v="27119.888700000003"/>
    <n v="-3947.063843999993"/>
    <m/>
    <m/>
    <m/>
    <m/>
    <n v="-4620.4890000000005"/>
    <n v="419.45879999999892"/>
    <n v="31"/>
    <n v="103.15514735677425"/>
    <n v="18.162344732827762"/>
    <n v="96.886014284770454"/>
    <n v="0"/>
    <n v="0"/>
    <n v="0"/>
    <n v="0"/>
    <n v="0"/>
    <n v="0"/>
    <n v="0"/>
    <n v="0"/>
    <n v="419.4183041550732"/>
    <n v="0"/>
    <n v="0"/>
    <n v="0"/>
    <n v="44.421017901138384"/>
    <n v="0"/>
    <n v="-414.48388995763753"/>
    <m/>
    <n v="0"/>
    <n v="0"/>
    <n v="0"/>
    <n v="0"/>
    <n v="-54.032709267127075"/>
    <n v="-7.2159344922714652"/>
    <n v="0"/>
    <n v="0"/>
    <m/>
    <m/>
    <m/>
    <n v="13922.037871760098"/>
    <n v="0"/>
    <n v="0"/>
    <n v="-4620.4890000000014"/>
    <n v="419.45879999999852"/>
    <n v="0"/>
    <n v="0"/>
    <n v="-4304.7069866230922"/>
    <n v="0"/>
    <n v="0"/>
    <n v="0"/>
    <n v="0"/>
    <n v="0"/>
    <n v="0"/>
    <n v="0"/>
    <n v="0"/>
    <n v="0"/>
    <n v="0"/>
    <n v="0"/>
    <n v="0"/>
    <n v="2290.45369280104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09"/>
    <s v="Regular"/>
    <s v="Azul"/>
    <s v="A4"/>
    <s v="Serviço público"/>
    <s v="Água, esgoto e saneamento"/>
    <s v="Não se aplica"/>
    <s v="Não se aplica"/>
    <s v="Ponta"/>
    <s v="CATIVO"/>
    <x v="10"/>
    <n v="497"/>
    <n v="467.18"/>
    <n v="20.617999999999999"/>
    <n v="19.38092"/>
    <n v="20.617999999999999"/>
    <n v="19.38092"/>
    <n v="52.19"/>
    <n v="96.28"/>
    <n v="128.11000000000001"/>
    <n v="25938.43"/>
    <n v="4626.4730199999995"/>
    <n v="30564.903020000002"/>
    <n v="23587.20752"/>
    <n v="0"/>
    <n v="1098.0726994859208"/>
    <n v="0"/>
    <n v="0"/>
    <n v="0"/>
    <n v="0"/>
    <n v="23226.622324707889"/>
    <n v="2641.3935551944228"/>
    <n v="0"/>
    <n v="0"/>
    <n v="0"/>
    <n v="0"/>
    <n v="0"/>
    <n v="194.91948781835907"/>
    <m/>
    <n v="10.135822257206417"/>
    <n v="429.22392841896755"/>
    <n v="2283.35918041684"/>
    <n v="0"/>
    <n v="0"/>
    <n v="0"/>
    <n v="0"/>
    <n v="0"/>
    <n v="0"/>
    <n v="0"/>
    <n v="0"/>
    <n v="0"/>
    <n v="0"/>
    <m/>
    <n v="0"/>
    <n v="0"/>
    <n v="0"/>
    <n v="0"/>
    <n v="0"/>
    <n v="108.00977054851167"/>
    <n v="0"/>
    <n v="0"/>
    <n v="0"/>
    <n v="0"/>
    <n v="0"/>
    <m/>
    <m/>
    <m/>
    <m/>
    <n v="1415.2324511999998"/>
    <m/>
    <m/>
    <m/>
    <m/>
    <n v="2749.4033257429346"/>
    <m/>
    <m/>
    <m/>
    <m/>
    <m/>
    <m/>
    <m/>
    <m/>
    <m/>
    <m/>
    <m/>
    <m/>
    <n v="22171.768400000001"/>
    <n v="-6559.2704387999911"/>
    <m/>
    <m/>
    <m/>
    <m/>
    <n v="-7098.5169799999985"/>
    <n v="120.82147999999968"/>
    <n v="31"/>
    <n v="203.13783909678932"/>
    <n v="31.331548386111194"/>
    <n v="166.6756532135114"/>
    <n v="0"/>
    <n v="0"/>
    <n v="0"/>
    <n v="0"/>
    <n v="0"/>
    <n v="0"/>
    <n v="0"/>
    <n v="0"/>
    <n v="120.80981552206322"/>
    <n v="0"/>
    <n v="0"/>
    <n v="0"/>
    <n v="4.9400591702377028"/>
    <n v="0"/>
    <n v="-103.86799515978817"/>
    <m/>
    <n v="0"/>
    <n v="0"/>
    <n v="0"/>
    <n v="0"/>
    <n v="-15.563654647522043"/>
    <n v="-1.1875873878229601"/>
    <n v="0"/>
    <n v="0"/>
    <m/>
    <m/>
    <n v="23226.622324707889"/>
    <n v="0"/>
    <n v="0"/>
    <n v="0"/>
    <n v="-7098.5169800000003"/>
    <n v="120.82148000000007"/>
    <n v="0"/>
    <n v="0"/>
    <n v="-7181.6931054063516"/>
    <n v="0"/>
    <n v="0"/>
    <n v="0"/>
    <n v="0"/>
    <n v="0"/>
    <n v="0"/>
    <n v="0"/>
    <n v="0"/>
    <n v="0"/>
    <n v="0"/>
    <n v="0"/>
    <n v="0"/>
    <n v="573.978479843664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0"/>
    <s v="Regular"/>
    <s v="Azul"/>
    <s v="A4"/>
    <s v="Serviço público"/>
    <s v="Água, esgoto e saneamento"/>
    <s v="Não se aplica"/>
    <s v="Não se aplica"/>
    <s v="Fora ponta"/>
    <s v="CATIVO"/>
    <x v="10"/>
    <n v="497"/>
    <n v="467.18"/>
    <n v="162.51599999999999"/>
    <n v="152.76504"/>
    <n v="162.51599999999999"/>
    <n v="152.76504"/>
    <n v="18.12"/>
    <n v="96.28"/>
    <n v="128.11000000000001"/>
    <n v="9005.6400000000012"/>
    <n v="36466.965240000005"/>
    <n v="45472.605240000004"/>
    <n v="43689.24424"/>
    <n v="0"/>
    <n v="8655.2712595622233"/>
    <n v="0"/>
    <n v="0"/>
    <n v="0"/>
    <n v="0"/>
    <n v="6490.2923440394898"/>
    <n v="20820.094820835038"/>
    <n v="0"/>
    <n v="0"/>
    <n v="0"/>
    <n v="0"/>
    <n v="0"/>
    <n v="1536.4019537437407"/>
    <m/>
    <n v="79.89297167291484"/>
    <n v="395.05059474907807"/>
    <n v="2117.8765568053655"/>
    <n v="0"/>
    <n v="0"/>
    <n v="0"/>
    <n v="0"/>
    <n v="0"/>
    <n v="0"/>
    <n v="0"/>
    <n v="0"/>
    <n v="0"/>
    <n v="0"/>
    <m/>
    <n v="0"/>
    <n v="0"/>
    <n v="0"/>
    <n v="0"/>
    <n v="0"/>
    <n v="851.35880640517621"/>
    <n v="0"/>
    <n v="0"/>
    <n v="0"/>
    <n v="0"/>
    <n v="0"/>
    <m/>
    <m/>
    <m/>
    <m/>
    <n v="2621.3546543999983"/>
    <m/>
    <m/>
    <m/>
    <m/>
    <n v="21671.453627240215"/>
    <m/>
    <m/>
    <m/>
    <m/>
    <m/>
    <m/>
    <m/>
    <m/>
    <m/>
    <m/>
    <m/>
    <m/>
    <n v="41069.003800000006"/>
    <n v="-1675.2751255999974"/>
    <m/>
    <m/>
    <m/>
    <m/>
    <n v="-2735.7047600000005"/>
    <n v="952.34375999999759"/>
    <n v="31"/>
    <n v="223.8740633025518"/>
    <n v="28.837038209717036"/>
    <n v="154.59611503901806"/>
    <n v="0"/>
    <n v="0"/>
    <n v="0"/>
    <n v="0"/>
    <n v="0"/>
    <n v="0"/>
    <n v="0"/>
    <n v="0"/>
    <n v="952.25181779918421"/>
    <n v="0"/>
    <n v="0"/>
    <n v="0"/>
    <n v="38.938726166958531"/>
    <n v="0"/>
    <n v="-818.71234365060354"/>
    <m/>
    <n v="0"/>
    <n v="0"/>
    <n v="0"/>
    <n v="0"/>
    <n v="-122.67644285074653"/>
    <n v="-9.3608474109727524"/>
    <n v="0"/>
    <n v="0"/>
    <m/>
    <m/>
    <n v="6490.2923440394898"/>
    <n v="0"/>
    <n v="0"/>
    <n v="0"/>
    <n v="-2735.7047600000042"/>
    <n v="952.34375999999611"/>
    <n v="0"/>
    <n v="0"/>
    <n v="-2006.8043957332666"/>
    <n v="0"/>
    <n v="0"/>
    <n v="0"/>
    <n v="0"/>
    <n v="0"/>
    <n v="0"/>
    <n v="0"/>
    <n v="0"/>
    <n v="0"/>
    <n v="0"/>
    <n v="0"/>
    <n v="0"/>
    <n v="4524.235455925549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1"/>
    <s v="Regular"/>
    <s v="Azul"/>
    <s v="A4"/>
    <s v="Serviço público"/>
    <s v="Água, esgoto e saneamento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723.5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12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0.998"/>
    <n v="0.998"/>
    <n v="0.998"/>
    <n v="0.998"/>
    <m/>
    <n v="333.61"/>
    <n v="128.11000000000001"/>
    <m/>
    <n v="460.79656000000006"/>
    <n v="460.79656000000006"/>
    <n v="402.22393999999997"/>
    <n v="0"/>
    <n v="61.093618347485034"/>
    <n v="0"/>
    <n v="0"/>
    <n v="0"/>
    <n v="0"/>
    <n v="194.10720586779237"/>
    <n v="127.85482433233263"/>
    <n v="0"/>
    <n v="0"/>
    <n v="0"/>
    <n v="0"/>
    <n v="0"/>
    <n v="9.4349427123252685"/>
    <m/>
    <n v="0.8586671304518243"/>
    <n v="3.4690681280798166"/>
    <n v="18.505550310608857"/>
    <n v="0"/>
    <n v="0"/>
    <n v="0"/>
    <n v="0"/>
    <n v="0"/>
    <n v="0"/>
    <n v="0"/>
    <n v="0"/>
    <n v="0"/>
    <n v="0"/>
    <m/>
    <n v="0"/>
    <n v="0"/>
    <n v="0"/>
    <n v="0"/>
    <n v="0"/>
    <n v="13.541234095292767"/>
    <n v="0"/>
    <n v="0"/>
    <n v="0"/>
    <n v="82.39"/>
    <n v="2"/>
    <m/>
    <m/>
    <m/>
    <m/>
    <m/>
    <m/>
    <m/>
    <m/>
    <m/>
    <n v="141.39605842762541"/>
    <m/>
    <m/>
    <m/>
    <m/>
    <m/>
    <m/>
    <m/>
    <m/>
    <m/>
    <m/>
    <m/>
    <m/>
    <n v="403.03"/>
    <n v="-57.796560000000056"/>
    <m/>
    <m/>
    <m/>
    <m/>
    <n v="-64.420900000000017"/>
    <n v="5.8482799999999848"/>
    <n v="31"/>
    <n v="1.4382346613866162"/>
    <n v="0.25322743843758166"/>
    <n v="1.3508276369963816"/>
    <n v="0"/>
    <n v="0"/>
    <n v="0"/>
    <n v="0"/>
    <n v="0"/>
    <n v="0"/>
    <n v="0"/>
    <n v="0"/>
    <n v="5.8477153890299149"/>
    <n v="0"/>
    <n v="0"/>
    <n v="0"/>
    <n v="0.61933746668533374"/>
    <n v="0"/>
    <n v="-5.7789176051651552"/>
    <m/>
    <n v="0"/>
    <n v="0"/>
    <n v="0"/>
    <n v="0"/>
    <n v="-0.75334791629775033"/>
    <n v="-0.1006077482996216"/>
    <n v="0"/>
    <n v="0"/>
    <m/>
    <m/>
    <m/>
    <n v="194.10720586779237"/>
    <n v="0"/>
    <n v="0"/>
    <n v="-64.420900000000017"/>
    <n v="5.8482799999999742"/>
    <n v="0"/>
    <n v="0"/>
    <n v="-60.018127586614213"/>
    <n v="0"/>
    <n v="0"/>
    <n v="0"/>
    <n v="0"/>
    <n v="0"/>
    <n v="0"/>
    <n v="0"/>
    <n v="0"/>
    <n v="0"/>
    <n v="0"/>
    <n v="0"/>
    <n v="0"/>
    <n v="31.93451781804192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3"/>
    <s v="Sistema de Compensação"/>
    <s v="Convencional"/>
    <s v="B3"/>
    <s v="Consumo próprio"/>
    <s v="Não se aplica"/>
    <s v="Não se aplica"/>
    <s v="Não se aplica"/>
    <s v="Não se aplica"/>
    <s v="CATIVO"/>
    <x v="10"/>
    <n v="0"/>
    <n v="0"/>
    <n v="0.03"/>
    <n v="0.03"/>
    <n v="0.03"/>
    <n v="0.03"/>
    <m/>
    <n v="333.61"/>
    <n v="128.11000000000001"/>
    <m/>
    <n v="13.851600000000001"/>
    <n v="13.851600000000001"/>
    <n v="12.0909"/>
    <n v="0"/>
    <n v="1.8364815134514538"/>
    <n v="0"/>
    <n v="0"/>
    <n v="0"/>
    <n v="0"/>
    <n v="5.8348859479296298"/>
    <n v="3.8433313927554895"/>
    <n v="0"/>
    <n v="0"/>
    <n v="0"/>
    <n v="0"/>
    <n v="0"/>
    <n v="0.28361551239454713"/>
    <m/>
    <n v="2.581163718793059E-2"/>
    <n v="0.1042806050524995"/>
    <n v="0.55627906745317202"/>
    <n v="0"/>
    <n v="0"/>
    <n v="0"/>
    <n v="0"/>
    <n v="0"/>
    <n v="0"/>
    <n v="0"/>
    <n v="0"/>
    <n v="0"/>
    <n v="0"/>
    <m/>
    <n v="0"/>
    <n v="0"/>
    <n v="0"/>
    <n v="0"/>
    <n v="0"/>
    <n v="0.40705112510900099"/>
    <n v="0"/>
    <n v="0"/>
    <n v="0"/>
    <n v="2.48"/>
    <n v="1"/>
    <m/>
    <m/>
    <m/>
    <m/>
    <m/>
    <m/>
    <m/>
    <m/>
    <m/>
    <n v="4.2503825178644909"/>
    <m/>
    <m/>
    <m/>
    <m/>
    <m/>
    <m/>
    <m/>
    <m/>
    <m/>
    <m/>
    <m/>
    <m/>
    <n v="12.0909"/>
    <n v="-1.7907000000000011"/>
    <m/>
    <m/>
    <m/>
    <m/>
    <n v="-1.9365000000000003"/>
    <n v="0.17579999999999954"/>
    <n v="31"/>
    <n v="4.3233506855312243E-2"/>
    <n v="7.6120472476226969E-3"/>
    <n v="4.0606041192275955E-2"/>
    <n v="0"/>
    <n v="0"/>
    <n v="0"/>
    <n v="0"/>
    <n v="0"/>
    <n v="0"/>
    <n v="0"/>
    <n v="0"/>
    <n v="0.17578302772635102"/>
    <n v="0"/>
    <n v="0"/>
    <n v="0"/>
    <n v="1.8617358717996024E-2"/>
    <n v="0"/>
    <n v="-0.17371495807109683"/>
    <m/>
    <n v="0"/>
    <n v="0"/>
    <n v="0"/>
    <n v="0"/>
    <n v="-2.2645728946826149E-2"/>
    <n v="-3.0242810110106717E-3"/>
    <n v="0"/>
    <n v="0"/>
    <m/>
    <m/>
    <m/>
    <n v="5.8348859479296298"/>
    <n v="0"/>
    <n v="0"/>
    <n v="-1.9365000000000006"/>
    <n v="0.17579999999999973"/>
    <n v="0"/>
    <n v="0"/>
    <n v="-1.8041521318621498"/>
    <n v="0"/>
    <n v="0"/>
    <n v="0"/>
    <n v="0"/>
    <n v="0"/>
    <n v="0"/>
    <n v="0"/>
    <n v="0"/>
    <n v="0"/>
    <n v="0"/>
    <n v="0"/>
    <n v="0"/>
    <n v="0.959955445432121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4"/>
    <s v="Regular"/>
    <s v="Verde"/>
    <s v="A4"/>
    <s v="Consumo próprio"/>
    <s v="Não se aplica"/>
    <s v="Não se aplica"/>
    <s v="Não se aplica"/>
    <s v="Ponta"/>
    <s v="CATIVO"/>
    <x v="10"/>
    <n v="0"/>
    <n v="0"/>
    <n v="1.0349999999999999"/>
    <n v="1.0349999999999999"/>
    <n v="1.0349999999999999"/>
    <n v="1.0349999999999999"/>
    <m/>
    <n v="1351.49"/>
    <n v="128.11000000000001"/>
    <m/>
    <n v="1531.386"/>
    <n v="1531.386"/>
    <n v="1181.8768499999999"/>
    <n v="0"/>
    <n v="55.121992626245422"/>
    <n v="0"/>
    <n v="0"/>
    <n v="0"/>
    <n v="0"/>
    <n v="1163.2826930246595"/>
    <n v="132.59493305006438"/>
    <n v="0"/>
    <n v="0"/>
    <n v="0"/>
    <n v="0"/>
    <n v="0"/>
    <n v="9.7847351776118749"/>
    <m/>
    <n v="0.50880667553635861"/>
    <n v="21.499567631642844"/>
    <n v="114.35930021762015"/>
    <n v="0"/>
    <n v="0"/>
    <n v="0"/>
    <n v="0"/>
    <n v="0"/>
    <n v="0"/>
    <n v="0"/>
    <n v="0"/>
    <n v="0"/>
    <n v="0"/>
    <m/>
    <n v="0"/>
    <n v="0"/>
    <n v="0"/>
    <n v="0"/>
    <n v="0"/>
    <n v="5.4219668502138703"/>
    <n v="0"/>
    <n v="0"/>
    <n v="0"/>
    <n v="0"/>
    <n v="0"/>
    <m/>
    <m/>
    <m/>
    <m/>
    <m/>
    <m/>
    <m/>
    <m/>
    <m/>
    <n v="138.01689990027825"/>
    <m/>
    <m/>
    <m/>
    <m/>
    <m/>
    <m/>
    <m/>
    <m/>
    <m/>
    <m/>
    <m/>
    <m/>
    <n v="1187.5864000000001"/>
    <n v="-343.8295999999998"/>
    <m/>
    <m/>
    <m/>
    <m/>
    <n v="-355.57424999999995"/>
    <n v="6.0650999999999842"/>
    <n v="31"/>
    <n v="10.174680252935389"/>
    <n v="1.5693783569162179"/>
    <n v="8.3477497663476328"/>
    <n v="0"/>
    <n v="0"/>
    <n v="0"/>
    <n v="0"/>
    <n v="0"/>
    <n v="0"/>
    <n v="0"/>
    <n v="0"/>
    <n v="6.0645144565590954"/>
    <n v="0"/>
    <n v="0"/>
    <n v="0"/>
    <n v="0.24798531580153416"/>
    <n v="0"/>
    <n v="-5.2140544665040665"/>
    <m/>
    <n v="0"/>
    <n v="0"/>
    <n v="0"/>
    <n v="0"/>
    <n v="-0.78127764866550109"/>
    <n v="-5.9615527519486067E-2"/>
    <n v="0"/>
    <n v="0"/>
    <m/>
    <m/>
    <m/>
    <n v="1163.2826930246595"/>
    <n v="0"/>
    <n v="0"/>
    <n v="-355.57425000000012"/>
    <n v="6.0650999999999726"/>
    <n v="0"/>
    <n v="0"/>
    <n v="-359.68808461859601"/>
    <n v="0"/>
    <n v="0"/>
    <n v="0"/>
    <n v="0"/>
    <n v="0"/>
    <n v="0"/>
    <n v="0"/>
    <n v="0"/>
    <n v="0"/>
    <n v="0"/>
    <n v="0"/>
    <n v="0"/>
    <n v="28.8130626946451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5"/>
    <s v="Regular"/>
    <s v="Verde"/>
    <s v="A4"/>
    <s v="Consumo próprio"/>
    <s v="Não se aplica"/>
    <s v="Não se aplica"/>
    <s v="Não se aplica"/>
    <s v="Fora ponta"/>
    <s v="CATIVO"/>
    <x v="10"/>
    <n v="0"/>
    <n v="0"/>
    <n v="12.145"/>
    <n v="12.145"/>
    <n v="12.145"/>
    <n v="12.145"/>
    <m/>
    <n v="96.28"/>
    <n v="128.11000000000001"/>
    <m/>
    <n v="2725.2165500000001"/>
    <n v="2725.2165500000001"/>
    <n v="2728.2528000000002"/>
    <n v="0"/>
    <n v="646.81797144516975"/>
    <n v="0"/>
    <n v="0"/>
    <n v="0"/>
    <n v="0"/>
    <n v="0"/>
    <n v="1555.9086588338473"/>
    <n v="0"/>
    <n v="0"/>
    <n v="0"/>
    <n v="0"/>
    <n v="0"/>
    <n v="114.81701326772583"/>
    <m/>
    <n v="5.9704899269459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622982991156967"/>
    <n v="0"/>
    <n v="0"/>
    <n v="0"/>
    <n v="0"/>
    <n v="0"/>
    <m/>
    <m/>
    <m/>
    <m/>
    <m/>
    <m/>
    <m/>
    <m/>
    <m/>
    <n v="1619.5316418250043"/>
    <m/>
    <m/>
    <m/>
    <m/>
    <m/>
    <m/>
    <m/>
    <m/>
    <m/>
    <m/>
    <m/>
    <m/>
    <n v="2729.3760000000002"/>
    <n v="4.1294499999999061"/>
    <m/>
    <m/>
    <m/>
    <m/>
    <n v="-68.133449999999996"/>
    <n v="71.169699999999821"/>
    <n v="31"/>
    <n v="3.0221938307831806"/>
    <n v="0"/>
    <n v="0"/>
    <n v="0"/>
    <n v="0"/>
    <n v="0"/>
    <n v="0"/>
    <n v="0"/>
    <n v="0"/>
    <n v="0"/>
    <n v="0"/>
    <n v="71.16282905788421"/>
    <n v="0"/>
    <n v="0"/>
    <n v="0"/>
    <n v="2.9099339714102612"/>
    <n v="0"/>
    <n v="-61.183276807431753"/>
    <m/>
    <n v="0"/>
    <n v="0"/>
    <n v="0"/>
    <n v="0"/>
    <n v="-9.1677459353067832"/>
    <n v="-0.69954645577213359"/>
    <n v="0"/>
    <n v="0"/>
    <m/>
    <m/>
    <m/>
    <n v="0"/>
    <n v="0"/>
    <n v="0"/>
    <n v="-68.133450000000039"/>
    <n v="71.169699999999921"/>
    <n v="0"/>
    <n v="0"/>
    <n v="0"/>
    <n v="0"/>
    <n v="0"/>
    <n v="0"/>
    <n v="0"/>
    <n v="0"/>
    <n v="0"/>
    <n v="0"/>
    <n v="0"/>
    <n v="0"/>
    <n v="0"/>
    <n v="0"/>
    <n v="0"/>
    <n v="338.1011076584200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6"/>
    <s v="Regular"/>
    <s v="Verde"/>
    <s v="A4"/>
    <s v="Consumo próprio"/>
    <s v="Não se aplica"/>
    <s v="Não se aplica"/>
    <s v="Não se aplica"/>
    <s v="Não se aplica"/>
    <s v="CATIVO"/>
    <x v="10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1.66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1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517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85.6"/>
    <n v="10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18"/>
    <s v="Regular"/>
    <s v="Convencional"/>
    <s v="B2"/>
    <s v="Rural"/>
    <s v="Agropecuária rural"/>
    <s v="IRRIG./AQUIC."/>
    <s v="Não se aplica"/>
    <s v="Não se aplica"/>
    <s v="CATIVO"/>
    <x v="10"/>
    <n v="0"/>
    <n v="0"/>
    <n v="13.619"/>
    <n v="13.619"/>
    <n v="13.619"/>
    <n v="13.619"/>
    <m/>
    <n v="333.61"/>
    <n v="128.11000000000001"/>
    <m/>
    <n v="6288.1646799999999"/>
    <n v="6288.1646799999999"/>
    <n v="5488.8655699999999"/>
    <n v="0"/>
    <n v="833.70139105651174"/>
    <n v="0"/>
    <n v="0"/>
    <n v="0"/>
    <n v="0"/>
    <n v="2648.8437241617876"/>
    <n v="1744.7443412645671"/>
    <n v="0"/>
    <n v="0"/>
    <n v="0"/>
    <n v="0"/>
    <n v="0"/>
    <n v="128.75198877671124"/>
    <m/>
    <n v="11.717622895414223"/>
    <n v="47.339918673666354"/>
    <n v="252.53215398815834"/>
    <n v="0"/>
    <n v="0"/>
    <n v="0"/>
    <n v="0"/>
    <n v="0"/>
    <n v="0"/>
    <n v="0"/>
    <n v="0"/>
    <n v="0"/>
    <n v="0"/>
    <m/>
    <n v="0"/>
    <n v="0"/>
    <n v="0"/>
    <n v="0"/>
    <n v="0"/>
    <n v="184.78764242864949"/>
    <n v="0"/>
    <n v="0"/>
    <n v="0"/>
    <n v="0"/>
    <n v="0"/>
    <m/>
    <m/>
    <m/>
    <m/>
    <m/>
    <n v="658.7510299999999"/>
    <m/>
    <m/>
    <m/>
    <n v="1929.5319836932165"/>
    <m/>
    <m/>
    <m/>
    <m/>
    <m/>
    <m/>
    <m/>
    <m/>
    <m/>
    <m/>
    <m/>
    <m/>
    <n v="4830.4691999999995"/>
    <n v="-703.23288000000048"/>
    <m/>
    <m/>
    <m/>
    <m/>
    <n v="-879.10645000000011"/>
    <n v="79.807339999999797"/>
    <n v="31"/>
    <n v="19.626570995416387"/>
    <n v="3.4556157155124509"/>
    <n v="18.433789166586877"/>
    <n v="0"/>
    <n v="0"/>
    <n v="0"/>
    <n v="0"/>
    <n v="0"/>
    <n v="0"/>
    <n v="0"/>
    <n v="0"/>
    <n v="79.799635153505733"/>
    <n v="0"/>
    <n v="0"/>
    <n v="0"/>
    <n v="8.4516602793462425"/>
    <n v="0"/>
    <n v="-78.860800465675652"/>
    <m/>
    <n v="0"/>
    <n v="0"/>
    <n v="0"/>
    <n v="0"/>
    <n v="-10.280406084227494"/>
    <n v="-1.3729227696318098"/>
    <n v="0"/>
    <n v="0"/>
    <m/>
    <m/>
    <m/>
    <n v="2648.8437241617876"/>
    <n v="0"/>
    <n v="0"/>
    <n v="-879.10644999999977"/>
    <n v="79.807339999999613"/>
    <n v="0"/>
    <n v="0"/>
    <n v="-819.02492946102075"/>
    <n v="0"/>
    <n v="0"/>
    <n v="0"/>
    <n v="0"/>
    <n v="0"/>
    <n v="0"/>
    <n v="0"/>
    <n v="0"/>
    <n v="0"/>
    <n v="0"/>
    <n v="0"/>
    <n v="0"/>
    <n v="435.7877737113356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19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3.4420000000000002"/>
    <n v="1.3768"/>
    <n v="3.4420000000000002"/>
    <n v="1.3768"/>
    <m/>
    <n v="333.61"/>
    <n v="128.11000000000001"/>
    <m/>
    <n v="1589.2402400000001"/>
    <n v="1589.2402400000001"/>
    <n v="1387.2292600000001"/>
    <n v="0"/>
    <n v="210.70564564333017"/>
    <n v="0"/>
    <n v="0"/>
    <n v="0"/>
    <n v="0"/>
    <n v="669.45591442579291"/>
    <n v="440.95822179547986"/>
    <n v="0"/>
    <n v="0"/>
    <n v="0"/>
    <n v="0"/>
    <n v="0"/>
    <n v="32.540153122067707"/>
    <m/>
    <n v="2.9614551733619034"/>
    <n v="11.96446141969011"/>
    <n v="63.82375167246061"/>
    <n v="0"/>
    <n v="0"/>
    <n v="0"/>
    <n v="0"/>
    <n v="0"/>
    <n v="0"/>
    <n v="0"/>
    <n v="0"/>
    <n v="0"/>
    <n v="0"/>
    <m/>
    <n v="0"/>
    <n v="0"/>
    <n v="0"/>
    <n v="0"/>
    <n v="0"/>
    <n v="46.702332420839383"/>
    <n v="0"/>
    <n v="0"/>
    <n v="0"/>
    <n v="0"/>
    <n v="0"/>
    <m/>
    <m/>
    <m/>
    <m/>
    <m/>
    <m/>
    <n v="898.93337199999985"/>
    <m/>
    <m/>
    <n v="487.66055421631927"/>
    <m/>
    <m/>
    <m/>
    <m/>
    <m/>
    <m/>
    <m/>
    <m/>
    <m/>
    <m/>
    <m/>
    <m/>
    <n v="489.43079999999998"/>
    <n v="-70.020576000000005"/>
    <m/>
    <m/>
    <m/>
    <m/>
    <n v="-222.18110000000004"/>
    <n v="20.170119999999951"/>
    <n v="31"/>
    <n v="4.9603243531992121"/>
    <n v="0.87335555421057798"/>
    <n v="4.6588664594604623"/>
    <n v="0"/>
    <n v="0"/>
    <n v="0"/>
    <n v="0"/>
    <n v="0"/>
    <n v="0"/>
    <n v="0"/>
    <n v="0"/>
    <n v="20.168172714469961"/>
    <n v="0"/>
    <n v="0"/>
    <n v="0"/>
    <n v="2.1360316235780772"/>
    <n v="0"/>
    <n v="-19.930896189357213"/>
    <m/>
    <n v="0"/>
    <n v="0"/>
    <n v="0"/>
    <n v="0"/>
    <n v="-2.5982199678325166"/>
    <n v="-0.3469858413299578"/>
    <n v="0"/>
    <n v="0"/>
    <m/>
    <m/>
    <m/>
    <n v="669.45591442579291"/>
    <n v="0"/>
    <n v="0"/>
    <n v="-222.18110000000001"/>
    <n v="20.17011999999994"/>
    <n v="0"/>
    <n v="0"/>
    <n v="-206.99638792898406"/>
    <n v="0"/>
    <n v="0"/>
    <n v="0"/>
    <n v="0"/>
    <n v="0"/>
    <n v="0"/>
    <n v="0"/>
    <n v="0"/>
    <n v="0"/>
    <n v="0"/>
    <n v="0"/>
    <n v="0"/>
    <n v="110.1388881059121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0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8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21"/>
    <s v="Regular"/>
    <s v="Convencional"/>
    <s v="B2"/>
    <s v="Rural"/>
    <s v="Aquicultura"/>
    <s v="IRRIG./AQUIC."/>
    <s v="Não se aplica"/>
    <s v="Não se aplica"/>
    <s v="CATIVO"/>
    <x v="10"/>
    <n v="0"/>
    <n v="0"/>
    <n v="0.104"/>
    <n v="0.104"/>
    <n v="0.104"/>
    <n v="0.104"/>
    <m/>
    <n v="333.61"/>
    <n v="128.11000000000001"/>
    <m/>
    <n v="48.018879999999996"/>
    <n v="48.018879999999996"/>
    <n v="41.915119999999995"/>
    <n v="0"/>
    <n v="6.3664692466317065"/>
    <n v="0"/>
    <n v="0"/>
    <n v="0"/>
    <n v="0"/>
    <n v="20.227604619489384"/>
    <n v="13.32354882821903"/>
    <n v="0"/>
    <n v="0"/>
    <n v="0"/>
    <n v="0"/>
    <n v="0"/>
    <n v="0.98320044296776332"/>
    <m/>
    <n v="8.9480342251492706E-2"/>
    <n v="0.36150609751533158"/>
    <n v="1.9284341005043297"/>
    <n v="0"/>
    <n v="0"/>
    <n v="0"/>
    <n v="0"/>
    <n v="0"/>
    <n v="0"/>
    <n v="0"/>
    <n v="0"/>
    <n v="0"/>
    <n v="0"/>
    <m/>
    <n v="0"/>
    <n v="0"/>
    <n v="0"/>
    <n v="0"/>
    <n v="0"/>
    <n v="1.4111105670445367"/>
    <n v="0"/>
    <n v="0"/>
    <n v="0"/>
    <n v="0"/>
    <n v="0"/>
    <m/>
    <m/>
    <m/>
    <m/>
    <m/>
    <n v="5.030479999999999"/>
    <m/>
    <m/>
    <m/>
    <n v="14.734659395263566"/>
    <m/>
    <m/>
    <m/>
    <m/>
    <m/>
    <m/>
    <m/>
    <m/>
    <m/>
    <m/>
    <m/>
    <m/>
    <n v="35.466000000000008"/>
    <n v="-6.8212799999999945"/>
    <m/>
    <m/>
    <m/>
    <m/>
    <n v="-6.7132000000000005"/>
    <n v="0.60943999999999843"/>
    <n v="31"/>
    <n v="0.14987615709841151"/>
    <n v="2.6388430458425371E-2"/>
    <n v="0.14076760946655686"/>
    <n v="0"/>
    <n v="0"/>
    <n v="0"/>
    <n v="0"/>
    <n v="0"/>
    <n v="0"/>
    <n v="0"/>
    <n v="0"/>
    <n v="0.60938116278468257"/>
    <n v="0"/>
    <n v="0"/>
    <n v="0"/>
    <n v="6.454017688905278E-2"/>
    <n v="0"/>
    <n v="-0.60221185464646965"/>
    <m/>
    <n v="0"/>
    <n v="0"/>
    <n v="0"/>
    <n v="0"/>
    <n v="-7.8505193682330554E-2"/>
    <n v="-1.0484174171503657E-2"/>
    <n v="0"/>
    <n v="0"/>
    <m/>
    <m/>
    <m/>
    <n v="20.227604619489384"/>
    <n v="0"/>
    <n v="0"/>
    <n v="-6.7132000000000005"/>
    <n v="0.60943999999999754"/>
    <n v="0"/>
    <n v="0"/>
    <n v="-6.2543940571221217"/>
    <n v="0"/>
    <n v="0"/>
    <n v="0"/>
    <n v="0"/>
    <n v="0"/>
    <n v="0"/>
    <n v="0"/>
    <n v="0"/>
    <n v="0"/>
    <n v="0"/>
    <n v="0"/>
    <n v="0"/>
    <n v="3.32784554416468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2"/>
    <s v="Regular"/>
    <s v="Convencional"/>
    <s v="B2"/>
    <s v="Rural"/>
    <s v="Aquicultura"/>
    <s v="IRRIG./AQUIC. PR"/>
    <s v="Não se aplica"/>
    <s v="Não se aplica"/>
    <s v="CATIVO"/>
    <x v="10"/>
    <n v="0"/>
    <n v="0"/>
    <n v="0.14799999999999999"/>
    <n v="5.9200000000000003E-2"/>
    <n v="0.14799999999999999"/>
    <n v="5.9200000000000003E-2"/>
    <m/>
    <n v="333.61"/>
    <n v="128.11000000000001"/>
    <m/>
    <n v="68.334559999999996"/>
    <n v="68.334559999999996"/>
    <n v="59.648439999999994"/>
    <n v="0"/>
    <n v="9.0599754663605054"/>
    <n v="0"/>
    <n v="0"/>
    <n v="0"/>
    <n v="0"/>
    <n v="28.785437343119508"/>
    <n v="18.960434870927081"/>
    <n v="0"/>
    <n v="0"/>
    <n v="0"/>
    <n v="0"/>
    <n v="0"/>
    <n v="1.3991698611464325"/>
    <m/>
    <n v="0.12733741012712424"/>
    <n v="0.51445098492566421"/>
    <n v="2.7443100661023152"/>
    <n v="0"/>
    <n v="0"/>
    <n v="0"/>
    <n v="0"/>
    <n v="0"/>
    <n v="0"/>
    <n v="0"/>
    <n v="0"/>
    <n v="0"/>
    <n v="0"/>
    <m/>
    <n v="0"/>
    <n v="0"/>
    <n v="0"/>
    <n v="0"/>
    <n v="0"/>
    <n v="2.0081188838710715"/>
    <n v="0"/>
    <n v="0"/>
    <n v="0"/>
    <n v="0"/>
    <n v="0"/>
    <m/>
    <m/>
    <m/>
    <m/>
    <m/>
    <m/>
    <n v="38.652567999999995"/>
    <m/>
    <m/>
    <n v="20.968553754798151"/>
    <m/>
    <m/>
    <m/>
    <m/>
    <m/>
    <m/>
    <m/>
    <m/>
    <m/>
    <m/>
    <m/>
    <m/>
    <n v="21.279600000000002"/>
    <n v="-2.8045440000000035"/>
    <m/>
    <m/>
    <m/>
    <m/>
    <n v="-9.5534000000000017"/>
    <n v="0.86727999999999772"/>
    <n v="31"/>
    <n v="0.21328530048620564"/>
    <n v="3.7552766421605321E-2"/>
    <n v="0.20032313654856138"/>
    <n v="0"/>
    <n v="0"/>
    <n v="0"/>
    <n v="0"/>
    <n v="0"/>
    <n v="0"/>
    <n v="0"/>
    <n v="0"/>
    <n v="0.86719627011666489"/>
    <n v="0"/>
    <n v="0"/>
    <n v="0"/>
    <n v="9.1845636342113846E-2"/>
    <n v="0"/>
    <n v="-0.85699379315074431"/>
    <m/>
    <n v="0"/>
    <n v="0"/>
    <n v="0"/>
    <n v="0"/>
    <n v="-0.11171892947100903"/>
    <n v="-1.4919786320985978E-2"/>
    <n v="0"/>
    <n v="0"/>
    <m/>
    <m/>
    <m/>
    <n v="28.785437343119508"/>
    <n v="0"/>
    <n v="0"/>
    <n v="-9.5534000000000034"/>
    <n v="0.86727999999999739"/>
    <n v="0"/>
    <n v="0"/>
    <n v="-8.9004838505199437"/>
    <n v="0"/>
    <n v="0"/>
    <n v="0"/>
    <n v="0"/>
    <n v="0"/>
    <n v="0"/>
    <n v="0"/>
    <n v="0"/>
    <n v="0"/>
    <n v="0"/>
    <n v="0"/>
    <n v="0"/>
    <n v="4.7357801974651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3"/>
    <s v="PROJETADO"/>
    <s v="Convencional"/>
    <s v="B1"/>
    <s v="Residencial"/>
    <s v="Residencial"/>
    <s v="Não se aplica"/>
    <s v="Não se aplica"/>
    <s v="Não se aplica"/>
    <s v="CATIVO"/>
    <x v="11"/>
    <n v="0"/>
    <n v="0"/>
    <n v="4603.3459999999995"/>
    <n v="4603.3459999999995"/>
    <n v="4603.3459999999995"/>
    <n v="4603.3459999999995"/>
    <m/>
    <n v="333.61"/>
    <n v="128.11000000000001"/>
    <m/>
    <n v="2125456.91512"/>
    <n v="2125456.91512"/>
    <n v="1855286.5383799998"/>
    <n v="0"/>
    <n v="281798.66096735653"/>
    <n v="0"/>
    <n v="0"/>
    <n v="0"/>
    <n v="0"/>
    <n v="895333.29629526893"/>
    <n v="589739.4731171804"/>
    <n v="0"/>
    <n v="0"/>
    <n v="0"/>
    <n v="0"/>
    <n v="0"/>
    <n v="43519.344483979628"/>
    <m/>
    <n v="3960.6632267503842"/>
    <n v="16001.323538200111"/>
    <n v="85358.167334809652"/>
    <n v="0"/>
    <n v="0"/>
    <n v="0"/>
    <n v="0"/>
    <n v="0"/>
    <n v="0"/>
    <n v="0"/>
    <n v="0"/>
    <n v="0"/>
    <n v="0"/>
    <m/>
    <n v="0"/>
    <n v="0"/>
    <n v="0"/>
    <n v="0"/>
    <n v="0"/>
    <n v="62459.905618867306"/>
    <n v="0"/>
    <n v="0"/>
    <n v="0"/>
    <n v="305859.92"/>
    <n v="20670"/>
    <m/>
    <m/>
    <m/>
    <m/>
    <m/>
    <m/>
    <m/>
    <m/>
    <m/>
    <n v="652199.37873604766"/>
    <m/>
    <m/>
    <m/>
    <m/>
    <m/>
    <m/>
    <m/>
    <m/>
    <m/>
    <m/>
    <m/>
    <m/>
    <n v="1855288.1505"/>
    <n v="-270168.79461999936"/>
    <m/>
    <m/>
    <m/>
    <m/>
    <n v="-297145.98430000001"/>
    <n v="26975.607559999928"/>
    <n v="31"/>
    <n v="6633.9596949459519"/>
    <n v="1168.0295749718316"/>
    <n v="6230.7885766099644"/>
    <n v="0"/>
    <n v="0"/>
    <n v="0"/>
    <n v="0"/>
    <n v="0"/>
    <n v="0"/>
    <n v="0"/>
    <n v="0"/>
    <n v="26973.003251732793"/>
    <n v="0"/>
    <n v="0"/>
    <n v="0"/>
    <n v="2856.7381261683986"/>
    <n v="0"/>
    <n v="-26655.66857922505"/>
    <m/>
    <n v="0"/>
    <n v="0"/>
    <n v="0"/>
    <n v="0"/>
    <n v="-3474.8708588152076"/>
    <n v="-464.06039649706418"/>
    <n v="0"/>
    <n v="0"/>
    <m/>
    <m/>
    <m/>
    <n v="895333.29629526893"/>
    <n v="0"/>
    <n v="0"/>
    <n v="-297145.98429999989"/>
    <n v="26975.607560000033"/>
    <n v="0"/>
    <n v="0"/>
    <n v="-276837.88331996999"/>
    <n v="0"/>
    <n v="0"/>
    <n v="0"/>
    <n v="0"/>
    <n v="0"/>
    <n v="0"/>
    <n v="0"/>
    <n v="0"/>
    <n v="0"/>
    <n v="0"/>
    <n v="0"/>
    <n v="0"/>
    <n v="147300.235330272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4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36699999999999999"/>
    <n v="-0.36699999999999999"/>
    <n v="-0.36699999999999999"/>
    <n v="-0.36699999999999999"/>
    <m/>
    <n v="333.61"/>
    <n v="128.11000000000001"/>
    <m/>
    <n v="-169.45124000000001"/>
    <n v="-169.45124000000001"/>
    <n v="-147.91201000000001"/>
    <n v="0"/>
    <n v="-22.466290514556121"/>
    <n v="0"/>
    <n v="0"/>
    <n v="0"/>
    <n v="0"/>
    <n v="-71.380104763005804"/>
    <n v="-47.016754038042158"/>
    <n v="0"/>
    <n v="0"/>
    <n v="0"/>
    <n v="0"/>
    <n v="0"/>
    <n v="-3.4695631016266266"/>
    <m/>
    <n v="-0.31576236159901755"/>
    <n v="-1.2756994018089105"/>
    <n v="-6.8051472585104715"/>
    <n v="0"/>
    <n v="0"/>
    <n v="0"/>
    <n v="0"/>
    <n v="0"/>
    <n v="0"/>
    <n v="0"/>
    <n v="0"/>
    <n v="0"/>
    <n v="0"/>
    <m/>
    <n v="0"/>
    <n v="0"/>
    <n v="0"/>
    <n v="0"/>
    <n v="0"/>
    <n v="-4.9795920971667789"/>
    <n v="0"/>
    <n v="0"/>
    <n v="0"/>
    <n v="-51.89"/>
    <n v="0"/>
    <m/>
    <m/>
    <m/>
    <m/>
    <m/>
    <m/>
    <m/>
    <m/>
    <m/>
    <n v="-51.996346135208938"/>
    <m/>
    <m/>
    <m/>
    <m/>
    <m/>
    <m/>
    <m/>
    <m/>
    <m/>
    <m/>
    <m/>
    <m/>
    <n v="-149.12110000000001"/>
    <n v="20.300139999999999"/>
    <m/>
    <m/>
    <m/>
    <m/>
    <n v="23.689850000000003"/>
    <n v="-2.1506199999999946"/>
    <n v="31"/>
    <n v="-0.52888990052998963"/>
    <n v="-9.3120711329250927E-2"/>
    <n v="-0.49674723725217618"/>
    <n v="0"/>
    <n v="0"/>
    <n v="0"/>
    <n v="0"/>
    <n v="0"/>
    <n v="0"/>
    <n v="0"/>
    <n v="0"/>
    <n v="-2.1504123725190212"/>
    <n v="0"/>
    <n v="0"/>
    <n v="0"/>
    <n v="-0.22775235498348412"/>
    <n v="0"/>
    <n v="2.1251129870697554"/>
    <m/>
    <n v="0"/>
    <n v="0"/>
    <n v="0"/>
    <n v="0"/>
    <n v="0.27703275078283962"/>
    <n v="3.6997037701363866E-2"/>
    <n v="0"/>
    <n v="0"/>
    <m/>
    <m/>
    <m/>
    <n v="-71.380104763005804"/>
    <n v="0"/>
    <n v="0"/>
    <n v="23.689850000000007"/>
    <n v="-2.1506199999999964"/>
    <n v="0"/>
    <n v="0"/>
    <n v="22.070794413113639"/>
    <n v="0"/>
    <n v="0"/>
    <n v="0"/>
    <n v="0"/>
    <n v="0"/>
    <n v="0"/>
    <n v="0"/>
    <n v="0"/>
    <n v="0"/>
    <n v="0"/>
    <n v="0"/>
    <n v="0"/>
    <n v="-11.74345494911962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5"/>
    <s v="PROJETADO"/>
    <s v="Convencional"/>
    <s v="B1"/>
    <s v="Residencial"/>
    <s v="Residencial"/>
    <s v="Não se aplica"/>
    <s v="Não se aplica"/>
    <s v="Não se aplica"/>
    <s v="CATIVO"/>
    <x v="11"/>
    <n v="0"/>
    <n v="0"/>
    <n v="39.75"/>
    <n v="39.75"/>
    <n v="39.75"/>
    <n v="39.75"/>
    <m/>
    <n v="333.61"/>
    <n v="128.11000000000001"/>
    <m/>
    <n v="18353.370000000003"/>
    <n v="18353.370000000003"/>
    <n v="16020.442500000001"/>
    <n v="0"/>
    <n v="2433.3380053231767"/>
    <n v="0"/>
    <n v="0"/>
    <n v="0"/>
    <n v="0"/>
    <n v="7731.2238810067602"/>
    <n v="5092.4140954010236"/>
    <n v="0"/>
    <n v="0"/>
    <n v="0"/>
    <n v="0"/>
    <n v="0"/>
    <n v="375.79055392277496"/>
    <m/>
    <n v="34.200419274008034"/>
    <n v="138.17180169456185"/>
    <n v="737.06976437545291"/>
    <n v="0"/>
    <n v="0"/>
    <n v="0"/>
    <n v="0"/>
    <n v="0"/>
    <n v="0"/>
    <n v="0"/>
    <n v="0"/>
    <n v="0"/>
    <n v="0"/>
    <m/>
    <n v="0"/>
    <n v="0"/>
    <n v="0"/>
    <n v="0"/>
    <n v="0"/>
    <n v="539.34274076942631"/>
    <n v="0"/>
    <n v="0"/>
    <n v="0"/>
    <n v="4945.71"/>
    <n v="92"/>
    <m/>
    <m/>
    <m/>
    <m/>
    <m/>
    <m/>
    <m/>
    <m/>
    <m/>
    <n v="5631.7568361704498"/>
    <m/>
    <m/>
    <m/>
    <m/>
    <m/>
    <m/>
    <m/>
    <m/>
    <m/>
    <m/>
    <m/>
    <m/>
    <n v="16020.442500000001"/>
    <n v="-2332.9575000000004"/>
    <m/>
    <m/>
    <m/>
    <m/>
    <n v="-2565.8625000000006"/>
    <n v="232.93499999999941"/>
    <n v="31"/>
    <n v="57.284396583287162"/>
    <n v="10.085962603100057"/>
    <n v="53.803004579765684"/>
    <n v="0"/>
    <n v="0"/>
    <n v="0"/>
    <n v="0"/>
    <n v="0"/>
    <n v="0"/>
    <n v="0"/>
    <n v="0"/>
    <n v="232.91251173741512"/>
    <n v="0"/>
    <n v="0"/>
    <n v="0"/>
    <n v="24.668000301344705"/>
    <n v="0"/>
    <n v="-230.17231944420382"/>
    <m/>
    <n v="0"/>
    <n v="0"/>
    <n v="0"/>
    <n v="0"/>
    <n v="-30.005590854544607"/>
    <n v="-4.0071723395891397"/>
    <n v="0"/>
    <n v="0"/>
    <m/>
    <m/>
    <m/>
    <n v="7731.2238810067602"/>
    <n v="0"/>
    <n v="0"/>
    <n v="-2565.8625000000011"/>
    <n v="232.93499999999949"/>
    <n v="0"/>
    <n v="0"/>
    <n v="-2390.5015747173493"/>
    <n v="0"/>
    <n v="0"/>
    <n v="0"/>
    <n v="0"/>
    <n v="0"/>
    <n v="0"/>
    <n v="0"/>
    <n v="0"/>
    <n v="0"/>
    <n v="0"/>
    <n v="0"/>
    <n v="0"/>
    <n v="1271.940965197561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6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1.09"/>
    <n v="21.09"/>
    <n v="21.09"/>
    <n v="21.09"/>
    <m/>
    <n v="230.94"/>
    <n v="128.11000000000001"/>
    <m/>
    <n v="7572.3644999999997"/>
    <n v="7572.3644999999997"/>
    <n v="6472.5209999999997"/>
    <n v="0"/>
    <n v="0"/>
    <n v="0"/>
    <n v="0"/>
    <n v="0"/>
    <n v="0"/>
    <n v="4101.9248213945302"/>
    <n v="2701.8619691071094"/>
    <n v="0"/>
    <n v="0"/>
    <n v="0"/>
    <n v="0"/>
    <n v="0"/>
    <n v="0"/>
    <m/>
    <n v="18.145580943115206"/>
    <n v="73.309265351907143"/>
    <n v="391.06418441957993"/>
    <n v="0"/>
    <n v="0"/>
    <n v="0"/>
    <n v="0"/>
    <n v="0"/>
    <n v="0"/>
    <n v="0"/>
    <n v="0"/>
    <n v="0"/>
    <n v="0"/>
    <m/>
    <n v="0"/>
    <n v="0"/>
    <n v="0"/>
    <n v="0"/>
    <n v="0"/>
    <n v="286.15694095162769"/>
    <n v="0"/>
    <n v="0"/>
    <n v="0"/>
    <n v="309.32"/>
    <n v="21"/>
    <m/>
    <m/>
    <m/>
    <m/>
    <m/>
    <m/>
    <m/>
    <n v="4207.0331999999999"/>
    <m/>
    <n v="2988.0189100587372"/>
    <m/>
    <m/>
    <m/>
    <m/>
    <m/>
    <m/>
    <m/>
    <m/>
    <m/>
    <m/>
    <m/>
    <m/>
    <n v="2265.4877999999999"/>
    <n v="-384.92250000000058"/>
    <m/>
    <m/>
    <m/>
    <m/>
    <n v="-1223.4308999999998"/>
    <n v="123.58739999999969"/>
    <n v="31"/>
    <n v="168.43471829288364"/>
    <n v="5.3512692150787586"/>
    <n v="28.546046958170052"/>
    <n v="0"/>
    <n v="0"/>
    <n v="0"/>
    <n v="0"/>
    <n v="0"/>
    <n v="0"/>
    <n v="0"/>
    <n v="0"/>
    <n v="123.57546849162418"/>
    <n v="0"/>
    <n v="0"/>
    <n v="0"/>
    <n v="13.088003178751194"/>
    <n v="0"/>
    <n v="0"/>
    <m/>
    <n v="0"/>
    <n v="0"/>
    <n v="0"/>
    <n v="0"/>
    <n v="0"/>
    <n v="-2.1260695507405032"/>
    <n v="0"/>
    <n v="0"/>
    <m/>
    <m/>
    <m/>
    <n v="4101.9248213945302"/>
    <n v="0"/>
    <n v="0"/>
    <n v="-1223.4308999999998"/>
    <n v="123.58739999999943"/>
    <n v="0"/>
    <n v="0"/>
    <n v="-1268.3189486990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7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44.747999999999998"/>
    <n v="44.747999999999998"/>
    <n v="44.747999999999998"/>
    <n v="44.747999999999998"/>
    <m/>
    <n v="230.94"/>
    <n v="128.11000000000001"/>
    <m/>
    <n v="16066.769400000001"/>
    <n v="16066.769400000001"/>
    <n v="13733.161199999999"/>
    <n v="0"/>
    <n v="0"/>
    <n v="0"/>
    <n v="0"/>
    <n v="0"/>
    <n v="0"/>
    <n v="8703.3158799318353"/>
    <n v="5732.713105434088"/>
    <n v="0"/>
    <n v="0"/>
    <n v="0"/>
    <n v="0"/>
    <n v="0"/>
    <n v="0"/>
    <m/>
    <n v="38.500638029517269"/>
    <n v="155.54495049630825"/>
    <n v="829.74585701315141"/>
    <n v="0"/>
    <n v="0"/>
    <n v="0"/>
    <n v="0"/>
    <n v="0"/>
    <n v="0"/>
    <n v="0"/>
    <n v="0"/>
    <n v="0"/>
    <n v="0"/>
    <m/>
    <n v="0"/>
    <n v="0"/>
    <n v="0"/>
    <n v="0"/>
    <n v="0"/>
    <n v="607.15745821258588"/>
    <n v="0"/>
    <n v="0"/>
    <n v="0"/>
    <n v="1124.94"/>
    <n v="109"/>
    <m/>
    <m/>
    <m/>
    <m/>
    <m/>
    <m/>
    <m/>
    <n v="5493.2644799999998"/>
    <m/>
    <n v="6339.8705636466739"/>
    <m/>
    <m/>
    <m/>
    <m/>
    <m/>
    <m/>
    <m/>
    <m/>
    <m/>
    <m/>
    <m/>
    <m/>
    <n v="8240.2649999999994"/>
    <n v="-1400.27412"/>
    <m/>
    <m/>
    <m/>
    <m/>
    <n v="-2595.8314799999994"/>
    <n v="262.22327999999931"/>
    <n v="31"/>
    <n v="357.37869958131796"/>
    <n v="11.354129674554002"/>
    <n v="60.567971042398767"/>
    <n v="0"/>
    <n v="0"/>
    <n v="0"/>
    <n v="0"/>
    <n v="0"/>
    <n v="0"/>
    <n v="0"/>
    <n v="0"/>
    <n v="262.19796415662495"/>
    <n v="0"/>
    <n v="0"/>
    <n v="0"/>
    <n v="27.76965226376285"/>
    <n v="0"/>
    <n v="0"/>
    <m/>
    <n v="0"/>
    <n v="0"/>
    <n v="0"/>
    <n v="0"/>
    <n v="0"/>
    <n v="-4.5110175560235177"/>
    <n v="0"/>
    <n v="0"/>
    <m/>
    <m/>
    <m/>
    <n v="8703.3158799318353"/>
    <n v="0"/>
    <n v="0"/>
    <n v="-2595.8314799999998"/>
    <n v="262.22327999999925"/>
    <n v="0"/>
    <n v="0"/>
    <n v="-2691.0733198855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8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48.317999999999998"/>
    <n v="48.317999999999998"/>
    <n v="48.317999999999998"/>
    <n v="48.317999999999998"/>
    <m/>
    <n v="230.94"/>
    <n v="128.11000000000001"/>
    <m/>
    <n v="17348.5779"/>
    <n v="17348.5779"/>
    <n v="14828.7942"/>
    <n v="0"/>
    <n v="0"/>
    <n v="0"/>
    <n v="0"/>
    <n v="0"/>
    <n v="0"/>
    <n v="9397.6673077354626"/>
    <n v="6190.0695411719917"/>
    <n v="0"/>
    <n v="0"/>
    <n v="0"/>
    <n v="0"/>
    <n v="0"/>
    <n v="0"/>
    <m/>
    <n v="41.572222854881005"/>
    <n v="167.9543424975557"/>
    <n v="895.94306604007886"/>
    <n v="0"/>
    <n v="0"/>
    <n v="0"/>
    <n v="0"/>
    <n v="0"/>
    <n v="0"/>
    <n v="0"/>
    <n v="0"/>
    <n v="0"/>
    <n v="0"/>
    <m/>
    <n v="0"/>
    <n v="0"/>
    <n v="0"/>
    <n v="0"/>
    <n v="0"/>
    <n v="655.59654210055703"/>
    <n v="0"/>
    <n v="0"/>
    <n v="0"/>
    <n v="2257.4299999999998"/>
    <n v="332"/>
    <m/>
    <m/>
    <m/>
    <m/>
    <m/>
    <m/>
    <m/>
    <n v="1482.8794200000011"/>
    <m/>
    <n v="6845.6660832725483"/>
    <m/>
    <m/>
    <m/>
    <m/>
    <m/>
    <m/>
    <m/>
    <m/>
    <m/>
    <m/>
    <m/>
    <m/>
    <n v="13346.467199999999"/>
    <n v="-2267.5244999999995"/>
    <m/>
    <m/>
    <m/>
    <m/>
    <n v="-2802.9271799999992"/>
    <n v="283.14347999999927"/>
    <n v="31"/>
    <n v="385.8904086522316"/>
    <n v="12.259963297021102"/>
    <n v="65.400089944279671"/>
    <n v="0"/>
    <n v="0"/>
    <n v="0"/>
    <n v="0"/>
    <n v="0"/>
    <n v="0"/>
    <n v="0"/>
    <n v="0"/>
    <n v="283.11614445606028"/>
    <n v="0"/>
    <n v="0"/>
    <n v="0"/>
    <n v="29.985117951204302"/>
    <n v="0"/>
    <n v="0"/>
    <m/>
    <n v="0"/>
    <n v="0"/>
    <n v="0"/>
    <n v="0"/>
    <n v="0"/>
    <n v="-4.8709069963337868"/>
    <n v="0"/>
    <n v="0"/>
    <m/>
    <m/>
    <m/>
    <n v="9397.6673077354626"/>
    <n v="0"/>
    <n v="0"/>
    <n v="-2802.9271799999988"/>
    <n v="283.14347999999882"/>
    <n v="0"/>
    <n v="0"/>
    <n v="-2905.767423577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29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24.925999999999998"/>
    <n v="24.925999999999998"/>
    <n v="24.925999999999998"/>
    <n v="24.925999999999998"/>
    <m/>
    <n v="230.94"/>
    <n v="128.11000000000001"/>
    <m/>
    <n v="8949.6803"/>
    <n v="8949.6803"/>
    <n v="7649.7893999999997"/>
    <n v="0"/>
    <n v="0"/>
    <n v="0"/>
    <n v="0"/>
    <n v="0"/>
    <n v="0"/>
    <n v="4848.0122379364648"/>
    <n v="3193.2959431941108"/>
    <n v="0"/>
    <n v="0"/>
    <n v="0"/>
    <n v="0"/>
    <n v="0"/>
    <n v="0"/>
    <m/>
    <n v="21.446028951545262"/>
    <n v="86.643278717953407"/>
    <n v="462.19373451125887"/>
    <n v="0"/>
    <n v="0"/>
    <n v="0"/>
    <n v="0"/>
    <n v="0"/>
    <n v="0"/>
    <n v="0"/>
    <n v="0"/>
    <n v="0"/>
    <n v="0"/>
    <m/>
    <n v="0"/>
    <n v="0"/>
    <n v="0"/>
    <n v="0"/>
    <n v="0"/>
    <n v="338.20521148223196"/>
    <n v="0"/>
    <n v="0"/>
    <n v="0"/>
    <n v="1566.87"/>
    <n v="241"/>
    <m/>
    <m/>
    <m/>
    <m/>
    <m/>
    <m/>
    <m/>
    <m/>
    <m/>
    <n v="3531.5011546763426"/>
    <m/>
    <m/>
    <m/>
    <m/>
    <m/>
    <m/>
    <m/>
    <m/>
    <m/>
    <m/>
    <m/>
    <m/>
    <n v="7651.0169999999998"/>
    <n v="-1298.6933000000008"/>
    <m/>
    <m/>
    <m/>
    <m/>
    <n v="-1445.9572599999997"/>
    <n v="146.06635999999963"/>
    <n v="31"/>
    <n v="199.07082921614165"/>
    <n v="6.3245963231414493"/>
    <n v="33.738206091955703"/>
    <n v="0"/>
    <n v="0"/>
    <n v="0"/>
    <n v="0"/>
    <n v="0"/>
    <n v="0"/>
    <n v="0"/>
    <n v="0"/>
    <n v="146.05225830356721"/>
    <n v="0"/>
    <n v="0"/>
    <n v="0"/>
    <n v="15.468542780158941"/>
    <n v="0"/>
    <n v="0"/>
    <m/>
    <n v="0"/>
    <n v="0"/>
    <n v="0"/>
    <n v="0"/>
    <n v="0"/>
    <n v="-2.5127742826817325"/>
    <n v="0"/>
    <n v="0"/>
    <m/>
    <m/>
    <m/>
    <n v="4848.0122379364648"/>
    <n v="0"/>
    <n v="0"/>
    <n v="-1445.9572600000001"/>
    <n v="146.06635999999935"/>
    <n v="0"/>
    <n v="0"/>
    <n v="-1499.009867959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0"/>
    <s v="PROJETADO"/>
    <s v="Branca"/>
    <s v="B1"/>
    <s v="Residencial"/>
    <s v="Residencial"/>
    <s v="Não se aplica"/>
    <s v="Não se aplica"/>
    <s v="Ponta"/>
    <s v="CATIVO"/>
    <x v="11"/>
    <n v="0"/>
    <n v="0"/>
    <n v="4.3999999999999997E-2"/>
    <n v="4.3999999999999997E-2"/>
    <n v="4.3999999999999997E-2"/>
    <n v="4.3999999999999997E-2"/>
    <m/>
    <n v="701.69"/>
    <n v="128.11000000000001"/>
    <m/>
    <n v="36.511200000000002"/>
    <n v="36.511200000000002"/>
    <n v="29.550399999999996"/>
    <n v="0"/>
    <n v="2.6935062197287989"/>
    <n v="0"/>
    <n v="0"/>
    <n v="0"/>
    <n v="0"/>
    <n v="23.106145032559514"/>
    <n v="5.6368860427080509"/>
    <n v="0"/>
    <n v="0"/>
    <n v="0"/>
    <n v="0"/>
    <n v="0"/>
    <n v="0.41596941817866911"/>
    <m/>
    <n v="3.7857067875631534E-2"/>
    <n v="0.41296789139106332"/>
    <n v="2.2028571841005928"/>
    <n v="0"/>
    <n v="0"/>
    <n v="0"/>
    <n v="0"/>
    <n v="0"/>
    <n v="0"/>
    <n v="0"/>
    <n v="0"/>
    <n v="0"/>
    <n v="0"/>
    <m/>
    <n v="0"/>
    <n v="0"/>
    <n v="0"/>
    <n v="0"/>
    <n v="0"/>
    <n v="0.59700831682653477"/>
    <n v="0"/>
    <n v="0"/>
    <n v="0"/>
    <n v="0"/>
    <n v="0"/>
    <m/>
    <m/>
    <m/>
    <m/>
    <m/>
    <m/>
    <m/>
    <m/>
    <m/>
    <n v="6.2338943595345855"/>
    <m/>
    <m/>
    <m/>
    <m/>
    <m/>
    <m/>
    <m/>
    <m/>
    <m/>
    <m/>
    <m/>
    <m/>
    <n v="26.863999999999997"/>
    <n v="-9.6772000000000062"/>
    <m/>
    <m/>
    <m/>
    <m/>
    <n v="-7.2186400000000024"/>
    <n v="0.25783999999999935"/>
    <n v="31"/>
    <n v="0.18363355091078404"/>
    <n v="3.0144925793605004E-2"/>
    <n v="0.16079934477457414"/>
    <n v="0"/>
    <n v="0"/>
    <n v="0"/>
    <n v="0"/>
    <n v="0"/>
    <n v="0"/>
    <n v="0"/>
    <n v="0"/>
    <n v="0.25781510733198143"/>
    <n v="0"/>
    <n v="0"/>
    <n v="0"/>
    <n v="2.7305459453060843E-2"/>
    <n v="0"/>
    <n v="-0.25478193850427555"/>
    <m/>
    <n v="0"/>
    <n v="0"/>
    <n v="0"/>
    <n v="0"/>
    <n v="-3.3213735788678311E-2"/>
    <n v="-4.4356121494823209E-3"/>
    <n v="0"/>
    <n v="0"/>
    <m/>
    <m/>
    <m/>
    <n v="23.106145032559514"/>
    <n v="0"/>
    <n v="0"/>
    <n v="-7.2186400000000006"/>
    <n v="0.25783999999999896"/>
    <n v="0"/>
    <n v="0"/>
    <n v="-7.1444414152430458"/>
    <n v="0"/>
    <n v="0"/>
    <n v="0"/>
    <n v="0"/>
    <n v="0"/>
    <n v="0"/>
    <n v="0"/>
    <n v="0"/>
    <n v="0"/>
    <n v="0"/>
    <n v="0"/>
    <n v="0"/>
    <n v="1.407934653300445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1"/>
    <s v="PROJETADO"/>
    <s v="Branca"/>
    <s v="B1"/>
    <s v="Residencial"/>
    <s v="Residencial"/>
    <s v="Não se aplica"/>
    <s v="Não se aplica"/>
    <s v="Fora ponta"/>
    <s v="CATIVO"/>
    <x v="11"/>
    <n v="0"/>
    <n v="0"/>
    <n v="0.24299999999999999"/>
    <n v="0.24299999999999999"/>
    <n v="0.24299999999999999"/>
    <n v="0.24299999999999999"/>
    <m/>
    <n v="234.02"/>
    <n v="128.11000000000001"/>
    <m/>
    <n v="87.997590000000002"/>
    <n v="87.997590000000002"/>
    <n v="80.275049999999993"/>
    <n v="0"/>
    <n v="14.875500258956777"/>
    <n v="0"/>
    <n v="0"/>
    <n v="0"/>
    <n v="0"/>
    <n v="25.521779315642526"/>
    <n v="31.130984281319467"/>
    <n v="0"/>
    <n v="0"/>
    <n v="0"/>
    <n v="0"/>
    <n v="0"/>
    <n v="2.2972856503958314"/>
    <m/>
    <n v="0.20907426122223777"/>
    <n v="0.45615857168157153"/>
    <n v="2.433147933957414"/>
    <n v="0"/>
    <n v="0"/>
    <n v="0"/>
    <n v="0"/>
    <n v="0"/>
    <n v="0"/>
    <n v="0"/>
    <n v="0"/>
    <n v="0"/>
    <n v="0"/>
    <m/>
    <n v="0"/>
    <n v="0"/>
    <n v="0"/>
    <n v="0"/>
    <n v="0"/>
    <n v="3.2971141133829081"/>
    <n v="0"/>
    <n v="0"/>
    <n v="0"/>
    <n v="0"/>
    <n v="0"/>
    <m/>
    <m/>
    <m/>
    <m/>
    <m/>
    <m/>
    <m/>
    <m/>
    <m/>
    <n v="34.428098394702374"/>
    <m/>
    <m/>
    <m/>
    <m/>
    <m/>
    <m/>
    <m/>
    <m/>
    <m/>
    <m/>
    <m/>
    <m/>
    <n v="79.283999999999992"/>
    <n v="-8.7435900000000117"/>
    <m/>
    <m/>
    <m/>
    <m/>
    <n v="-9.1465200000000042"/>
    <n v="1.4239799999999965"/>
    <n v="31"/>
    <n v="0.17053215828468637"/>
    <n v="3.3297664491877488E-2"/>
    <n v="0.17760960462795872"/>
    <n v="0"/>
    <n v="0"/>
    <n v="0"/>
    <n v="0"/>
    <n v="0"/>
    <n v="0"/>
    <n v="0"/>
    <n v="0"/>
    <n v="1.4238425245834385"/>
    <n v="0"/>
    <n v="0"/>
    <n v="0"/>
    <n v="0.15080060561576758"/>
    <n v="0"/>
    <n v="-1.4070911603758862"/>
    <m/>
    <n v="0"/>
    <n v="0"/>
    <n v="0"/>
    <n v="0"/>
    <n v="-0.18343040446929137"/>
    <n v="-2.4496676189186412E-2"/>
    <n v="0"/>
    <n v="0"/>
    <m/>
    <m/>
    <m/>
    <n v="25.521779315642526"/>
    <n v="0"/>
    <n v="0"/>
    <n v="-9.1465200000000024"/>
    <n v="1.4239799999999967"/>
    <n v="0"/>
    <n v="0"/>
    <n v="-7.8913577698239621"/>
    <n v="0"/>
    <n v="0"/>
    <n v="0"/>
    <n v="0"/>
    <n v="0"/>
    <n v="0"/>
    <n v="0"/>
    <n v="0"/>
    <n v="0"/>
    <n v="0"/>
    <n v="0"/>
    <n v="0"/>
    <n v="7.775639108000188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2"/>
    <s v="PROJETADO"/>
    <s v="Branca"/>
    <s v="B1"/>
    <s v="Residencial"/>
    <s v="Residencial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.2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33"/>
    <s v="PROJETADO"/>
    <s v="Branca"/>
    <s v="B1"/>
    <s v="Residencial"/>
    <s v="Residencial"/>
    <s v="Não se aplica"/>
    <s v="Não se aplica"/>
    <s v="Intermediário"/>
    <s v="CATIVO"/>
    <x v="11"/>
    <n v="0"/>
    <n v="0"/>
    <n v="2.4E-2"/>
    <n v="2.4E-2"/>
    <n v="2.4E-2"/>
    <n v="2.4E-2"/>
    <m/>
    <n v="467.85"/>
    <n v="128.11000000000001"/>
    <m/>
    <n v="14.303040000000001"/>
    <n v="14.303040000000001"/>
    <n v="12.02352"/>
    <n v="0"/>
    <n v="1.4691852107611632"/>
    <n v="0"/>
    <n v="0"/>
    <n v="0"/>
    <n v="0"/>
    <n v="7.562014724737824"/>
    <n v="3.0746651142043917"/>
    <n v="0"/>
    <n v="0"/>
    <n v="0"/>
    <n v="0"/>
    <n v="0"/>
    <n v="0.22689240991563769"/>
    <m/>
    <n v="2.0649309750344472E-2"/>
    <n v="0.1351525761781277"/>
    <n v="0.72093468555619444"/>
    <n v="0"/>
    <n v="0"/>
    <n v="0"/>
    <n v="0"/>
    <n v="0"/>
    <n v="0"/>
    <n v="0"/>
    <n v="0"/>
    <n v="0"/>
    <n v="0"/>
    <m/>
    <n v="0"/>
    <n v="0"/>
    <n v="0"/>
    <n v="0"/>
    <n v="0"/>
    <n v="0.32564090008720081"/>
    <n v="0"/>
    <n v="0"/>
    <n v="0"/>
    <n v="0"/>
    <n v="0"/>
    <m/>
    <m/>
    <m/>
    <m/>
    <m/>
    <m/>
    <m/>
    <m/>
    <m/>
    <n v="3.4003060142915924"/>
    <m/>
    <m/>
    <m/>
    <m/>
    <m/>
    <m/>
    <m/>
    <m/>
    <m/>
    <m/>
    <m/>
    <m/>
    <n v="10.019600000000001"/>
    <n v="-4.3134399999999999"/>
    <m/>
    <m/>
    <m/>
    <m/>
    <n v="-2.420160000000001"/>
    <n v="0.14063999999999965"/>
    <n v="31"/>
    <n v="5.8503117952553474E-2"/>
    <n v="9.8655717905344609E-3"/>
    <n v="5.2625211429688679E-2"/>
    <n v="0"/>
    <n v="0"/>
    <n v="0"/>
    <n v="0"/>
    <n v="0"/>
    <n v="0"/>
    <n v="0"/>
    <n v="0"/>
    <n v="0.14062642218108046"/>
    <n v="0"/>
    <n v="0"/>
    <n v="0"/>
    <n v="1.4893886974396808E-2"/>
    <n v="0"/>
    <n v="-0.13897196645687759"/>
    <m/>
    <n v="0"/>
    <n v="0"/>
    <n v="0"/>
    <n v="0"/>
    <n v="-1.8116583157460897E-2"/>
    <n v="-2.4194248088085374E-3"/>
    <n v="0"/>
    <n v="0"/>
    <m/>
    <m/>
    <m/>
    <n v="7.562014724737824"/>
    <n v="0"/>
    <n v="0"/>
    <n v="-2.420160000000001"/>
    <n v="0.14063999999999943"/>
    <n v="0"/>
    <n v="0"/>
    <n v="-2.3381819470952161"/>
    <n v="0"/>
    <n v="0"/>
    <n v="0"/>
    <n v="0"/>
    <n v="0"/>
    <n v="0"/>
    <n v="0"/>
    <n v="0"/>
    <n v="0"/>
    <n v="0"/>
    <n v="0"/>
    <n v="0"/>
    <n v="0.767964356345697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4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377.15899999999999"/>
    <n v="377.15899999999999"/>
    <n v="377.15899999999999"/>
    <n v="377.15899999999999"/>
    <m/>
    <n v="333.61"/>
    <n v="128.11000000000001"/>
    <m/>
    <n v="174141.85348000002"/>
    <n v="174141.85348000002"/>
    <n v="152006.39176999999"/>
    <n v="0"/>
    <n v="23088.18437106123"/>
    <n v="0"/>
    <n v="0"/>
    <n v="0"/>
    <n v="0"/>
    <n v="73355.991641173052"/>
    <n v="48318.234158675594"/>
    <n v="0"/>
    <n v="0"/>
    <n v="0"/>
    <n v="0"/>
    <n v="0"/>
    <n v="3565.6047679738331"/>
    <m/>
    <n v="324.5030423387571"/>
    <n v="1311.0122906998554"/>
    <n v="6993.5218933856968"/>
    <n v="0"/>
    <n v="0"/>
    <n v="0"/>
    <n v="0"/>
    <n v="0"/>
    <n v="0"/>
    <n v="0"/>
    <n v="0"/>
    <n v="0"/>
    <n v="0"/>
    <m/>
    <n v="0"/>
    <n v="0"/>
    <n v="0"/>
    <n v="0"/>
    <n v="0"/>
    <n v="5117.4331764995231"/>
    <n v="0"/>
    <n v="0"/>
    <n v="0"/>
    <n v="31133.7"/>
    <n v="224"/>
    <m/>
    <m/>
    <m/>
    <m/>
    <m/>
    <m/>
    <m/>
    <m/>
    <m/>
    <n v="53435.667335175116"/>
    <m/>
    <m/>
    <m/>
    <m/>
    <m/>
    <m/>
    <m/>
    <m/>
    <m/>
    <m/>
    <m/>
    <m/>
    <n v="152006.7948"/>
    <n v="-22135.088680000015"/>
    <m/>
    <m/>
    <m/>
    <m/>
    <n v="-24345.613450000004"/>
    <n v="2210.1517399999943"/>
    <n v="31"/>
    <n v="543.53020706807729"/>
    <n v="95.698404262204122"/>
    <n v="510.49779633458729"/>
    <n v="0"/>
    <n v="0"/>
    <n v="0"/>
    <n v="0"/>
    <n v="0"/>
    <n v="0"/>
    <n v="0"/>
    <n v="0"/>
    <n v="2209.9383651414173"/>
    <n v="0"/>
    <n v="0"/>
    <n v="0"/>
    <n v="234.05681322402233"/>
    <n v="0"/>
    <n v="-2183.9386623712271"/>
    <m/>
    <n v="0"/>
    <n v="0"/>
    <n v="0"/>
    <n v="0"/>
    <n v="-284.70134946186636"/>
    <n v="-38.021160061059106"/>
    <n v="0"/>
    <n v="0"/>
    <m/>
    <m/>
    <m/>
    <n v="73355.991641173052"/>
    <n v="0"/>
    <n v="0"/>
    <n v="-24345.613450000004"/>
    <n v="2210.1517399999939"/>
    <n v="0"/>
    <n v="0"/>
    <n v="-22681.740463366565"/>
    <n v="0"/>
    <n v="0"/>
    <n v="0"/>
    <n v="0"/>
    <n v="0"/>
    <n v="0"/>
    <n v="0"/>
    <n v="0"/>
    <n v="0"/>
    <n v="0"/>
    <n v="0"/>
    <n v="0"/>
    <n v="12068.52786145778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5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10.179"/>
    <n v="10.179"/>
    <n v="10.179"/>
    <n v="10.179"/>
    <m/>
    <n v="333.61"/>
    <n v="128.11000000000001"/>
    <m/>
    <n v="4699.8478800000003"/>
    <n v="4699.8478800000003"/>
    <n v="4102.4423699999998"/>
    <n v="0"/>
    <n v="623.11817751407841"/>
    <n v="0"/>
    <n v="0"/>
    <n v="0"/>
    <n v="0"/>
    <n v="1979.7768021325237"/>
    <n v="1304.0423415619377"/>
    <n v="0"/>
    <n v="0"/>
    <n v="0"/>
    <n v="0"/>
    <n v="0"/>
    <n v="96.230743355469841"/>
    <m/>
    <n v="8.7578884978648492"/>
    <n v="35.382409294313085"/>
    <n v="188.74548758686129"/>
    <n v="0"/>
    <n v="0"/>
    <n v="0"/>
    <n v="0"/>
    <n v="0"/>
    <n v="0"/>
    <n v="0"/>
    <n v="0"/>
    <n v="0"/>
    <n v="0"/>
    <m/>
    <n v="0"/>
    <n v="0"/>
    <n v="0"/>
    <n v="0"/>
    <n v="0"/>
    <n v="138.11244674948404"/>
    <n v="0"/>
    <n v="0"/>
    <n v="0"/>
    <n v="1155.2"/>
    <n v="5"/>
    <m/>
    <m/>
    <m/>
    <m/>
    <m/>
    <m/>
    <m/>
    <m/>
    <m/>
    <n v="1442.1547883114217"/>
    <m/>
    <m/>
    <m/>
    <m/>
    <m/>
    <m/>
    <m/>
    <m/>
    <m/>
    <m/>
    <m/>
    <m/>
    <n v="4102.8454000000002"/>
    <n v="-597.03248000000076"/>
    <m/>
    <m/>
    <m/>
    <m/>
    <n v="-657.05445000000009"/>
    <n v="59.648939999999854"/>
    <n v="31"/>
    <n v="14.669128876007107"/>
    <n v="2.5827676311183794"/>
    <n v="13.777629776539243"/>
    <n v="0"/>
    <n v="0"/>
    <n v="0"/>
    <n v="0"/>
    <n v="0"/>
    <n v="0"/>
    <n v="0"/>
    <n v="0"/>
    <n v="59.643181307550776"/>
    <n v="0"/>
    <n v="0"/>
    <n v="0"/>
    <n v="6.3168698130160692"/>
    <n v="0"/>
    <n v="-58.941485273523313"/>
    <m/>
    <n v="0"/>
    <n v="0"/>
    <n v="0"/>
    <n v="0"/>
    <n v="-7.683695831658099"/>
    <n v="-1.0261385470359201"/>
    <n v="0"/>
    <n v="0"/>
    <m/>
    <m/>
    <m/>
    <n v="1979.7768021325237"/>
    <n v="0"/>
    <n v="0"/>
    <n v="-657.05445000000009"/>
    <n v="59.648939999999811"/>
    <n v="0"/>
    <n v="0"/>
    <n v="-612.1488183408278"/>
    <n v="0"/>
    <n v="0"/>
    <n v="0"/>
    <n v="0"/>
    <n v="0"/>
    <n v="0"/>
    <n v="0"/>
    <n v="0"/>
    <n v="0"/>
    <n v="0"/>
    <n v="0"/>
    <n v="0"/>
    <n v="325.712882635119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6"/>
    <s v="PROJETADO"/>
    <s v="Azul"/>
    <s v="A3"/>
    <s v="Industrial"/>
    <s v="Não se aplica"/>
    <s v="Não se aplica"/>
    <s v="Não se aplica"/>
    <s v="Ponta"/>
    <s v="CATIVO"/>
    <x v="11"/>
    <n v="2437"/>
    <n v="2437"/>
    <n v="84.813999999999993"/>
    <n v="84.813999999999993"/>
    <n v="84.813999999999993"/>
    <n v="84.813999999999993"/>
    <n v="28.46"/>
    <n v="75.12"/>
    <n v="128.11000000000001"/>
    <n v="69357.02"/>
    <n v="17236.749219999998"/>
    <n v="86593.769220000002"/>
    <n v="70354.30184"/>
    <n v="0"/>
    <n v="3478.6253288284652"/>
    <n v="0"/>
    <n v="0"/>
    <n v="0"/>
    <n v="0"/>
    <n v="56031.424671773952"/>
    <n v="10865.610291505469"/>
    <n v="0"/>
    <n v="0"/>
    <n v="0"/>
    <n v="0"/>
    <n v="0"/>
    <n v="801.81886894103729"/>
    <m/>
    <n v="20.758735372083969"/>
    <n v="2006.3113306568996"/>
    <n v="11309.966336009065"/>
    <n v="0"/>
    <n v="0"/>
    <n v="0"/>
    <n v="0"/>
    <n v="0"/>
    <n v="0"/>
    <n v="0"/>
    <n v="0"/>
    <n v="0"/>
    <n v="0"/>
    <m/>
    <n v="0"/>
    <n v="0"/>
    <n v="0"/>
    <n v="0"/>
    <n v="0"/>
    <n v="251.67543947830933"/>
    <n v="0"/>
    <n v="0"/>
    <n v="0"/>
    <n v="0"/>
    <n v="0"/>
    <m/>
    <m/>
    <m/>
    <m/>
    <m/>
    <m/>
    <m/>
    <m/>
    <m/>
    <n v="11117.285730983778"/>
    <m/>
    <m/>
    <m/>
    <m/>
    <m/>
    <m/>
    <m/>
    <m/>
    <m/>
    <m/>
    <m/>
    <m/>
    <n v="70353.483600000007"/>
    <n v="-16240.315619999979"/>
    <m/>
    <m/>
    <m/>
    <m/>
    <n v="-16736.477420000003"/>
    <n v="497.0100399999987"/>
    <n v="31"/>
    <n v="1085.0034264305505"/>
    <n v="146.45232097293797"/>
    <n v="825.58015534508013"/>
    <n v="0"/>
    <n v="0"/>
    <n v="0"/>
    <n v="0"/>
    <n v="0"/>
    <n v="0"/>
    <n v="0"/>
    <n v="0"/>
    <n v="496.96205711942275"/>
    <n v="0"/>
    <n v="0"/>
    <n v="0"/>
    <n v="11.51091754389148"/>
    <n v="0"/>
    <n v="-329.04728346914362"/>
    <m/>
    <n v="0"/>
    <n v="0"/>
    <n v="0"/>
    <n v="0"/>
    <n v="-64.022495163203757"/>
    <n v="-2.4322459184318745"/>
    <n v="0"/>
    <n v="0"/>
    <m/>
    <m/>
    <n v="56031.424671773952"/>
    <n v="0"/>
    <n v="0"/>
    <n v="0"/>
    <n v="-16736.477420000003"/>
    <n v="497.01003999999921"/>
    <n v="0"/>
    <n v="0"/>
    <n v="-17324.968332709723"/>
    <n v="0"/>
    <n v="0"/>
    <n v="0"/>
    <n v="0"/>
    <n v="0"/>
    <n v="0"/>
    <n v="0"/>
    <n v="0"/>
    <n v="0"/>
    <n v="0"/>
    <n v="0"/>
    <n v="0"/>
    <n v="1818.3277656583232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7"/>
    <s v="PROJETADO"/>
    <s v="Azul"/>
    <s v="A3"/>
    <s v="Industrial"/>
    <s v="Não se aplica"/>
    <s v="Não se aplica"/>
    <s v="Não se aplica"/>
    <s v="Fora ponta"/>
    <s v="CATIVO"/>
    <x v="11"/>
    <n v="2434"/>
    <n v="2434"/>
    <n v="869.30399999999997"/>
    <n v="869.30399999999997"/>
    <n v="869.30399999999997"/>
    <n v="869.30399999999997"/>
    <n v="9.92"/>
    <n v="75.12"/>
    <n v="128.11000000000001"/>
    <n v="24145.279999999999"/>
    <n v="176668.65192"/>
    <n v="200813.93192"/>
    <n v="199146.66623999999"/>
    <n v="0"/>
    <n v="35654.28953771665"/>
    <n v="0"/>
    <n v="0"/>
    <n v="0"/>
    <n v="0"/>
    <n v="11975.811748997899"/>
    <n v="111367.44510159727"/>
    <n v="0"/>
    <n v="0"/>
    <n v="0"/>
    <n v="0"/>
    <n v="0"/>
    <n v="8218.2699795543122"/>
    <m/>
    <n v="212.76736970186624"/>
    <n v="1809.0546886733002"/>
    <n v="10353.129393207488"/>
    <n v="0"/>
    <n v="0"/>
    <n v="0"/>
    <n v="0"/>
    <n v="0"/>
    <n v="0"/>
    <n v="0"/>
    <n v="0"/>
    <n v="0"/>
    <n v="0"/>
    <m/>
    <n v="0"/>
    <n v="0"/>
    <n v="0"/>
    <n v="0"/>
    <n v="0"/>
    <n v="2579.5560431090648"/>
    <n v="0"/>
    <n v="0"/>
    <n v="0"/>
    <n v="0"/>
    <n v="0"/>
    <m/>
    <m/>
    <m/>
    <m/>
    <m/>
    <m/>
    <m/>
    <m/>
    <m/>
    <n v="113947.00114470634"/>
    <m/>
    <m/>
    <m/>
    <m/>
    <m/>
    <m/>
    <m/>
    <m/>
    <m/>
    <m/>
    <m/>
    <m/>
    <n v="199145.848"/>
    <n v="-1668.1139200000325"/>
    <m/>
    <m/>
    <m/>
    <m/>
    <n v="-6761.3871200000012"/>
    <n v="5094.1214399999872"/>
    <n v="31"/>
    <n v="2045.6881053779798"/>
    <n v="132.05341258598787"/>
    <n v="755.73506753406946"/>
    <n v="0"/>
    <n v="0"/>
    <n v="0"/>
    <n v="0"/>
    <n v="0"/>
    <n v="0"/>
    <n v="0"/>
    <n v="0"/>
    <n v="5093.6296378209081"/>
    <n v="0"/>
    <n v="0"/>
    <n v="0"/>
    <n v="117.9815439028348"/>
    <n v="0"/>
    <n v="-3372.5814100132084"/>
    <m/>
    <n v="0"/>
    <n v="0"/>
    <n v="0"/>
    <n v="0"/>
    <n v="-656.20075854639072"/>
    <n v="-24.929387906200645"/>
    <n v="0"/>
    <n v="0"/>
    <m/>
    <m/>
    <n v="11975.811748997899"/>
    <n v="0"/>
    <n v="0"/>
    <n v="0"/>
    <n v="-6761.3871199999994"/>
    <n v="5094.1214399999881"/>
    <n v="0"/>
    <n v="0"/>
    <n v="-3702.9320693750196"/>
    <n v="0"/>
    <n v="0"/>
    <n v="0"/>
    <n v="0"/>
    <n v="0"/>
    <n v="0"/>
    <n v="0"/>
    <n v="0"/>
    <n v="0"/>
    <n v="0"/>
    <n v="0"/>
    <n v="0"/>
    <n v="18637.01275730236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38"/>
    <s v="PROJETADO"/>
    <s v="Azul"/>
    <s v="A3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6180.6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39"/>
    <s v="PROJETADO"/>
    <s v="Azul"/>
    <s v="A4"/>
    <s v="Industrial"/>
    <s v="Não se aplica"/>
    <s v="Não se aplica"/>
    <s v="Não se aplica"/>
    <s v="Ponta"/>
    <s v="CATIVO"/>
    <x v="11"/>
    <n v="6156"/>
    <n v="6156"/>
    <n v="345.2"/>
    <n v="345.2"/>
    <n v="345.2"/>
    <n v="345.2"/>
    <n v="52.19"/>
    <n v="96.28"/>
    <n v="128.11000000000001"/>
    <n v="321281.64"/>
    <n v="77459.428"/>
    <n v="398741.06800000003"/>
    <n v="312335.56800000003"/>
    <n v="0"/>
    <n v="18384.649134859828"/>
    <n v="0"/>
    <n v="0"/>
    <n v="0"/>
    <n v="0"/>
    <n v="287692.32802998344"/>
    <n v="44223.933225973167"/>
    <n v="0"/>
    <n v="0"/>
    <n v="0"/>
    <n v="0"/>
    <n v="0"/>
    <n v="3263.4691626199219"/>
    <m/>
    <n v="169.70054530932464"/>
    <n v="5316.504030879606"/>
    <n v="28282.412705525283"/>
    <n v="0"/>
    <n v="0"/>
    <n v="0"/>
    <n v="0"/>
    <n v="0"/>
    <n v="0"/>
    <n v="0"/>
    <n v="0"/>
    <n v="0"/>
    <n v="0"/>
    <m/>
    <n v="0"/>
    <n v="0"/>
    <n v="0"/>
    <n v="0"/>
    <n v="0"/>
    <n v="1808.3700064674667"/>
    <n v="0"/>
    <n v="0"/>
    <n v="0"/>
    <n v="0"/>
    <n v="0"/>
    <m/>
    <m/>
    <m/>
    <m/>
    <m/>
    <m/>
    <m/>
    <m/>
    <m/>
    <n v="46032.303232440638"/>
    <m/>
    <m/>
    <m/>
    <m/>
    <m/>
    <m/>
    <m/>
    <m/>
    <m/>
    <m/>
    <m/>
    <m/>
    <n v="312335.56800000003"/>
    <n v="-86405.530000000028"/>
    <m/>
    <m/>
    <m/>
    <m/>
    <n v="-88428.371999999988"/>
    <n v="2022.8719999999948"/>
    <n v="31"/>
    <n v="2538.4806253944116"/>
    <n v="388.08251884285801"/>
    <n v="2064.4976281335585"/>
    <n v="0"/>
    <n v="0"/>
    <n v="0"/>
    <n v="0"/>
    <n v="0"/>
    <n v="0"/>
    <n v="0"/>
    <n v="0"/>
    <n v="2022.6767057045436"/>
    <n v="0"/>
    <n v="0"/>
    <n v="0"/>
    <n v="82.709691801632289"/>
    <n v="0"/>
    <n v="-1739.0257022581682"/>
    <m/>
    <n v="0"/>
    <n v="0"/>
    <n v="0"/>
    <n v="0"/>
    <n v="-260.57685441481226"/>
    <n v="-19.883362415194767"/>
    <n v="0"/>
    <n v="0"/>
    <m/>
    <m/>
    <n v="287692.32802998344"/>
    <n v="0"/>
    <n v="0"/>
    <n v="0"/>
    <n v="-88428.372000000032"/>
    <n v="2022.8719999999958"/>
    <n v="0"/>
    <n v="0"/>
    <n v="-88954.733917266625"/>
    <n v="0"/>
    <n v="0"/>
    <n v="0"/>
    <n v="0"/>
    <n v="0"/>
    <n v="0"/>
    <n v="0"/>
    <n v="0"/>
    <n v="0"/>
    <n v="0"/>
    <n v="0"/>
    <n v="0"/>
    <n v="9609.921973131873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0"/>
    <s v="PROJETADO"/>
    <s v="Azul"/>
    <s v="A4"/>
    <s v="Industrial"/>
    <s v="Não se aplica"/>
    <s v="Não se aplica"/>
    <s v="Não se aplica"/>
    <s v="Fora ponta"/>
    <s v="CATIVO"/>
    <x v="11"/>
    <n v="6209"/>
    <n v="6209"/>
    <n v="3121.3009999999999"/>
    <n v="3121.3009999999999"/>
    <n v="3121.3009999999999"/>
    <n v="3121.3009999999999"/>
    <n v="18.12"/>
    <n v="96.28"/>
    <n v="128.11000000000001"/>
    <n v="112507.08"/>
    <n v="700388.73139000009"/>
    <n v="812895.81139000005"/>
    <n v="790889.10664000001"/>
    <n v="0"/>
    <n v="166234.13594810865"/>
    <n v="0"/>
    <n v="0"/>
    <n v="0"/>
    <n v="0"/>
    <n v="81082.948016380658"/>
    <n v="399873.1373179701"/>
    <n v="0"/>
    <n v="0"/>
    <n v="0"/>
    <n v="0"/>
    <n v="0"/>
    <n v="29508.312748420409"/>
    <m/>
    <n v="1534.4336088486104"/>
    <n v="4935.3503879215805"/>
    <n v="26458.542336427592"/>
    <n v="0"/>
    <n v="0"/>
    <n v="0"/>
    <n v="0"/>
    <n v="0"/>
    <n v="0"/>
    <n v="0"/>
    <n v="0"/>
    <n v="0"/>
    <n v="0"/>
    <m/>
    <n v="0"/>
    <n v="0"/>
    <n v="0"/>
    <n v="0"/>
    <n v="0"/>
    <n v="16351.295218878651"/>
    <n v="0"/>
    <n v="0"/>
    <n v="0"/>
    <n v="0"/>
    <n v="0"/>
    <m/>
    <m/>
    <m/>
    <m/>
    <m/>
    <m/>
    <m/>
    <m/>
    <m/>
    <n v="416224.43253684876"/>
    <m/>
    <m/>
    <m/>
    <m/>
    <m/>
    <m/>
    <m/>
    <m/>
    <m/>
    <m/>
    <m/>
    <m/>
    <n v="790888.88199999998"/>
    <n v="-22006.959389999975"/>
    <m/>
    <m/>
    <m/>
    <m/>
    <n v="-40297.528610000008"/>
    <n v="18290.823859999953"/>
    <n v="31"/>
    <n v="3068.3354056861717"/>
    <n v="360.25989988759193"/>
    <n v="1931.3627329522387"/>
    <n v="0"/>
    <n v="0"/>
    <n v="0"/>
    <n v="0"/>
    <n v="0"/>
    <n v="0"/>
    <n v="0"/>
    <n v="0"/>
    <n v="18289.058007509506"/>
    <n v="0"/>
    <n v="0"/>
    <n v="0"/>
    <n v="747.86165622864064"/>
    <n v="0"/>
    <n v="-15724.283497926168"/>
    <m/>
    <n v="0"/>
    <n v="0"/>
    <n v="0"/>
    <n v="0"/>
    <n v="-2356.1378802485742"/>
    <n v="-179.78551271700417"/>
    <n v="0"/>
    <n v="0"/>
    <m/>
    <m/>
    <n v="81082.948016380658"/>
    <n v="0"/>
    <n v="0"/>
    <n v="0"/>
    <n v="-40297.528610000038"/>
    <n v="18290.823860000004"/>
    <n v="0"/>
    <n v="0"/>
    <n v="-25070.92252134376"/>
    <n v="0"/>
    <n v="0"/>
    <n v="0"/>
    <n v="0"/>
    <n v="0"/>
    <n v="0"/>
    <n v="0"/>
    <n v="0"/>
    <n v="0"/>
    <n v="0"/>
    <n v="0"/>
    <n v="0"/>
    <n v="86892.98686169898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1"/>
    <s v="PROJETADO"/>
    <s v="Azul"/>
    <s v="A4"/>
    <s v="Industr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42"/>
    <s v="PROJETADO"/>
    <s v="Verde"/>
    <s v="A4"/>
    <s v="Industrial"/>
    <s v="Não se aplica"/>
    <s v="Não se aplica"/>
    <s v="Não se aplica"/>
    <s v="Ponta"/>
    <s v="CATIVO"/>
    <x v="11"/>
    <n v="0"/>
    <n v="0"/>
    <n v="893.82100000000003"/>
    <n v="893.82100000000003"/>
    <n v="893.82100000000003"/>
    <n v="893.82100000000003"/>
    <m/>
    <n v="1351.49"/>
    <n v="128.11000000000001"/>
    <m/>
    <n v="1322497.5516000001"/>
    <n v="1322497.5516000001"/>
    <n v="1020663.1381100002"/>
    <n v="0"/>
    <n v="47603.086542206103"/>
    <n v="0"/>
    <n v="0"/>
    <n v="0"/>
    <n v="0"/>
    <n v="1004605.3139729414"/>
    <n v="114508.34362680349"/>
    <n v="0"/>
    <n v="0"/>
    <n v="0"/>
    <n v="0"/>
    <n v="0"/>
    <n v="8450.0500301335505"/>
    <m/>
    <n v="439.40298698993593"/>
    <n v="18566.922744041196"/>
    <n v="98760.139207549233"/>
    <n v="0"/>
    <n v="0"/>
    <n v="0"/>
    <n v="0"/>
    <n v="0"/>
    <n v="0"/>
    <n v="0"/>
    <n v="0"/>
    <n v="0"/>
    <n v="0"/>
    <m/>
    <n v="0"/>
    <n v="0"/>
    <n v="0"/>
    <n v="0"/>
    <n v="0"/>
    <n v="4682.384378768128"/>
    <n v="0"/>
    <n v="0"/>
    <n v="0"/>
    <n v="0"/>
    <n v="0"/>
    <m/>
    <m/>
    <m/>
    <m/>
    <m/>
    <m/>
    <m/>
    <m/>
    <m/>
    <n v="119190.72800557161"/>
    <m/>
    <m/>
    <m/>
    <m/>
    <m/>
    <m/>
    <m/>
    <m/>
    <m/>
    <m/>
    <m/>
    <m/>
    <n v="1020661.9962000001"/>
    <n v="-301835.5854000001"/>
    <m/>
    <m/>
    <m/>
    <m/>
    <n v="-307072.20454999997"/>
    <n v="5237.7910599999868"/>
    <n v="31"/>
    <n v="8786.8047133903601"/>
    <n v="1355.3075674948923"/>
    <n v="7209.0763709242747"/>
    <n v="0"/>
    <n v="0"/>
    <n v="0"/>
    <n v="0"/>
    <n v="0"/>
    <n v="0"/>
    <n v="0"/>
    <n v="0"/>
    <n v="5237.285387513155"/>
    <n v="0"/>
    <n v="0"/>
    <n v="0"/>
    <n v="214.1589207295101"/>
    <n v="0"/>
    <n v="-4502.8322486039906"/>
    <m/>
    <n v="0"/>
    <n v="0"/>
    <n v="0"/>
    <n v="0"/>
    <n v="-674.70760309936941"/>
    <n v="-51.48368156811074"/>
    <n v="0"/>
    <n v="0"/>
    <m/>
    <m/>
    <m/>
    <n v="1004605.3139729414"/>
    <n v="0"/>
    <n v="0"/>
    <n v="-307072.20454999991"/>
    <n v="5237.7910599999886"/>
    <n v="0"/>
    <n v="0"/>
    <n v="-310624.89225302241"/>
    <n v="0"/>
    <n v="0"/>
    <n v="0"/>
    <n v="0"/>
    <n v="0"/>
    <n v="0"/>
    <n v="0"/>
    <n v="0"/>
    <n v="0"/>
    <n v="0"/>
    <n v="0"/>
    <n v="0"/>
    <n v="24882.82174955592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3"/>
    <s v="PROJETADO"/>
    <s v="Verde"/>
    <s v="A4"/>
    <s v="Industrial"/>
    <s v="Não se aplica"/>
    <s v="Não se aplica"/>
    <s v="Não se aplica"/>
    <s v="Fora ponta"/>
    <s v="CATIVO"/>
    <x v="11"/>
    <n v="0"/>
    <n v="0"/>
    <n v="12817.423000000001"/>
    <n v="12817.423000000001"/>
    <n v="12817.423000000001"/>
    <n v="12817.423000000001"/>
    <m/>
    <n v="96.28"/>
    <n v="128.11000000000001"/>
    <m/>
    <n v="2876101.5469700005"/>
    <n v="2876101.5469700005"/>
    <n v="2879305.9027200001"/>
    <n v="0"/>
    <n v="682629.85129803722"/>
    <n v="0"/>
    <n v="0"/>
    <n v="0"/>
    <n v="0"/>
    <n v="0"/>
    <n v="1642053.4730042084"/>
    <n v="0"/>
    <n v="0"/>
    <n v="0"/>
    <n v="0"/>
    <n v="0"/>
    <n v="121173.99972408845"/>
    <m/>
    <n v="6301.05351263117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45.548416588237"/>
    <n v="0"/>
    <n v="0"/>
    <n v="0"/>
    <n v="0"/>
    <n v="0"/>
    <m/>
    <m/>
    <m/>
    <m/>
    <m/>
    <m/>
    <m/>
    <m/>
    <m/>
    <n v="1709199.0214207966"/>
    <m/>
    <m/>
    <m/>
    <m/>
    <m/>
    <m/>
    <m/>
    <m/>
    <m/>
    <m/>
    <m/>
    <m/>
    <n v="2879305.2287999997"/>
    <n v="3203.6518299994059"/>
    <m/>
    <m/>
    <m/>
    <m/>
    <n v="-71905.743029999998"/>
    <n v="75110.098779999811"/>
    <n v="31"/>
    <n v="3189.5213435282931"/>
    <n v="0"/>
    <n v="0"/>
    <n v="0"/>
    <n v="0"/>
    <n v="0"/>
    <n v="0"/>
    <n v="0"/>
    <n v="0"/>
    <n v="0"/>
    <n v="0"/>
    <n v="75102.847419645404"/>
    <n v="0"/>
    <n v="0"/>
    <n v="0"/>
    <n v="3071.046077697436"/>
    <n v="0"/>
    <n v="-64570.764871711959"/>
    <m/>
    <n v="0"/>
    <n v="0"/>
    <n v="0"/>
    <n v="0"/>
    <n v="-9675.3295684938348"/>
    <n v="-738.27771360907627"/>
    <n v="0"/>
    <n v="0"/>
    <m/>
    <m/>
    <m/>
    <n v="0"/>
    <n v="0"/>
    <n v="0"/>
    <n v="-71905.743030000012"/>
    <n v="75110.098779999651"/>
    <n v="0"/>
    <n v="0"/>
    <n v="0"/>
    <n v="0"/>
    <n v="0"/>
    <n v="0"/>
    <n v="0"/>
    <n v="0"/>
    <n v="0"/>
    <n v="0"/>
    <n v="0"/>
    <n v="0"/>
    <n v="0"/>
    <n v="0"/>
    <n v="0"/>
    <n v="356820.495152450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4"/>
    <s v="PROJETADO"/>
    <s v="Verde"/>
    <s v="A4"/>
    <s v="Industrial"/>
    <s v="Não se aplica"/>
    <s v="Não se aplica"/>
    <s v="Não se aplica"/>
    <s v="Não se aplica"/>
    <s v="CATIVO"/>
    <x v="11"/>
    <n v="50687"/>
    <n v="50687"/>
    <n v="0"/>
    <n v="0"/>
    <n v="0"/>
    <n v="0"/>
    <n v="18.12"/>
    <m/>
    <m/>
    <n v="918448.44000000006"/>
    <m/>
    <n v="918448.44000000006"/>
    <n v="732427.14999999991"/>
    <n v="0"/>
    <n v="0"/>
    <n v="0"/>
    <n v="0"/>
    <n v="0"/>
    <n v="0"/>
    <n v="661918.40652380197"/>
    <m/>
    <m/>
    <m/>
    <n v="0"/>
    <n v="0"/>
    <n v="0"/>
    <n v="0"/>
    <m/>
    <n v="0"/>
    <n v="40289.596571522176"/>
    <n v="215993.57954686834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8285.22"/>
    <n v="97"/>
    <m/>
    <m/>
    <m/>
    <m/>
    <m/>
    <m/>
    <m/>
    <m/>
    <m/>
    <n v="0"/>
    <m/>
    <m/>
    <m/>
    <m/>
    <m/>
    <m/>
    <m/>
    <m/>
    <m/>
    <m/>
    <m/>
    <m/>
    <n v="732427.14999999991"/>
    <n v="-186021.32000000018"/>
    <m/>
    <m/>
    <m/>
    <m/>
    <n v="-186021.2900000001"/>
    <n v="0"/>
    <n v="31"/>
    <n v="18707.598065832222"/>
    <n v="2940.971741923393"/>
    <n v="15766.626323908829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1918.40652380197"/>
    <m/>
    <n v="0"/>
    <n v="0"/>
    <n v="-186021.29000000015"/>
    <m/>
    <n v="0"/>
    <m/>
    <n v="-204665.78351414902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545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982.68499999999995"/>
    <n v="982.68499999999995"/>
    <n v="982.68499999999995"/>
    <n v="982.68499999999995"/>
    <m/>
    <n v="333.61"/>
    <n v="128.11000000000001"/>
    <m/>
    <n v="453725.31819999998"/>
    <n v="453725.31819999998"/>
    <n v="396051.53554999997"/>
    <n v="0"/>
    <n v="60156.094534868069"/>
    <n v="0"/>
    <n v="0"/>
    <n v="0"/>
    <n v="0"/>
    <n v="191128.49659137428"/>
    <n v="125892.80365633094"/>
    <n v="0"/>
    <n v="0"/>
    <n v="0"/>
    <n v="0"/>
    <n v="0"/>
    <n v="9290.1569932478506"/>
    <m/>
    <n v="845.4902896673857"/>
    <n v="3415.8328792005154"/>
    <n v="18221.56984667401"/>
    <n v="0"/>
    <n v="0"/>
    <n v="0"/>
    <n v="0"/>
    <n v="0"/>
    <n v="0"/>
    <n v="0"/>
    <n v="0"/>
    <n v="0"/>
    <n v="0"/>
    <m/>
    <n v="0"/>
    <n v="0"/>
    <n v="0"/>
    <n v="0"/>
    <n v="0"/>
    <n v="13333.434495924621"/>
    <n v="0"/>
    <n v="0"/>
    <n v="0"/>
    <n v="80760.91"/>
    <n v="1676"/>
    <m/>
    <m/>
    <m/>
    <m/>
    <m/>
    <m/>
    <m/>
    <m/>
    <m/>
    <n v="139226.23815225557"/>
    <m/>
    <m/>
    <m/>
    <m/>
    <m/>
    <m/>
    <m/>
    <m/>
    <m/>
    <m/>
    <m/>
    <m/>
    <n v="396053.55070000002"/>
    <n v="-57671.797499999986"/>
    <m/>
    <m/>
    <m/>
    <m/>
    <n v="-63432.316750000005"/>
    <n v="5758.5340999999853"/>
    <n v="31"/>
    <n v="1416.1639561370248"/>
    <n v="249.34148831767061"/>
    <n v="1330.098252967724"/>
    <n v="0"/>
    <n v="0"/>
    <n v="0"/>
    <n v="0"/>
    <n v="0"/>
    <n v="0"/>
    <n v="0"/>
    <n v="0"/>
    <n v="5757.9781533756177"/>
    <n v="0"/>
    <n v="0"/>
    <n v="0"/>
    <n v="609.83330505979757"/>
    <n v="0"/>
    <n v="-5690.2361190698721"/>
    <m/>
    <n v="0"/>
    <n v="0"/>
    <n v="0"/>
    <n v="0"/>
    <n v="-741.78727167039324"/>
    <n v="-99.06385284350074"/>
    <n v="0"/>
    <n v="0"/>
    <m/>
    <m/>
    <m/>
    <n v="191128.49659137428"/>
    <n v="0"/>
    <n v="0"/>
    <n v="-63432.316749999998"/>
    <n v="5758.5340999999898"/>
    <n v="0"/>
    <n v="0"/>
    <n v="-59097.107923298579"/>
    <n v="0"/>
    <n v="0"/>
    <n v="0"/>
    <n v="0"/>
    <n v="0"/>
    <n v="0"/>
    <n v="0"/>
    <n v="0"/>
    <n v="0"/>
    <n v="0"/>
    <n v="0"/>
    <n v="0"/>
    <n v="31444.46056314882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6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8.9160000000000004"/>
    <n v="8.9160000000000004"/>
    <n v="8.9160000000000004"/>
    <n v="8.9160000000000004"/>
    <m/>
    <n v="333.61"/>
    <n v="128.11000000000001"/>
    <m/>
    <n v="4116.6955200000002"/>
    <n v="4116.6955200000002"/>
    <n v="3593.4154799999997"/>
    <n v="0"/>
    <n v="545.80230579777219"/>
    <n v="0"/>
    <n v="0"/>
    <n v="0"/>
    <n v="0"/>
    <n v="1734.1281037246863"/>
    <n v="1142.2380899269317"/>
    <n v="0"/>
    <n v="0"/>
    <n v="0"/>
    <n v="0"/>
    <n v="0"/>
    <n v="84.290530283659407"/>
    <m/>
    <n v="7.6712185722529718"/>
    <n v="30.992195821602852"/>
    <n v="165.32613884708275"/>
    <n v="0"/>
    <n v="0"/>
    <n v="0"/>
    <n v="0"/>
    <n v="0"/>
    <n v="0"/>
    <n v="0"/>
    <n v="0"/>
    <n v="0"/>
    <n v="0"/>
    <m/>
    <n v="0"/>
    <n v="0"/>
    <n v="0"/>
    <n v="0"/>
    <n v="0"/>
    <n v="120.9755943823951"/>
    <n v="0"/>
    <n v="0"/>
    <n v="0"/>
    <n v="1840.04"/>
    <n v="17"/>
    <m/>
    <m/>
    <m/>
    <m/>
    <m/>
    <m/>
    <m/>
    <m/>
    <m/>
    <n v="1263.2136843093267"/>
    <m/>
    <m/>
    <m/>
    <m/>
    <m/>
    <m/>
    <m/>
    <m/>
    <m/>
    <m/>
    <m/>
    <m/>
    <n v="3595.0275999999999"/>
    <n v="-521.69792000000098"/>
    <m/>
    <m/>
    <m/>
    <m/>
    <n v="-575.52780000000007"/>
    <n v="52.247759999999872"/>
    <n v="31"/>
    <n v="12.848998237398519"/>
    <n v="2.2623004419934638"/>
    <n v="12.068115442344407"/>
    <n v="0"/>
    <n v="0"/>
    <n v="0"/>
    <n v="0"/>
    <n v="0"/>
    <n v="0"/>
    <n v="0"/>
    <n v="0"/>
    <n v="52.24271584027133"/>
    <n v="0"/>
    <n v="0"/>
    <n v="0"/>
    <n v="5.5330790109884163"/>
    <n v="0"/>
    <n v="-51.62808553873009"/>
    <m/>
    <n v="0"/>
    <n v="0"/>
    <n v="0"/>
    <n v="0"/>
    <n v="-6.7303106429967272"/>
    <n v="-0.89881631647237104"/>
    <n v="0"/>
    <n v="0"/>
    <m/>
    <m/>
    <m/>
    <n v="1734.1281037246863"/>
    <n v="0"/>
    <n v="0"/>
    <n v="-575.5278000000003"/>
    <n v="52.247759999999744"/>
    <n v="0"/>
    <n v="0"/>
    <n v="-536.19401358943128"/>
    <n v="0"/>
    <n v="0"/>
    <n v="0"/>
    <n v="0"/>
    <n v="0"/>
    <n v="0"/>
    <n v="0"/>
    <n v="0"/>
    <n v="0"/>
    <n v="0"/>
    <n v="0"/>
    <n v="0"/>
    <n v="285.2987583824266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7"/>
    <s v="PROJETADO"/>
    <s v="Verde"/>
    <s v="A4"/>
    <s v="Comercial"/>
    <s v="Não se aplica"/>
    <s v="Não se aplica"/>
    <s v="Não se aplica"/>
    <s v="Ponta"/>
    <s v="CATIVO"/>
    <x v="11"/>
    <n v="0"/>
    <n v="0"/>
    <n v="35.9"/>
    <n v="35.9"/>
    <n v="35.9"/>
    <n v="35.9"/>
    <m/>
    <n v="1351.49"/>
    <n v="128.11000000000001"/>
    <m/>
    <n v="53117.64"/>
    <n v="53117.64"/>
    <n v="40994.569000000003"/>
    <n v="0"/>
    <n v="1911.96090365431"/>
    <n v="0"/>
    <n v="0"/>
    <n v="0"/>
    <n v="0"/>
    <n v="40349.612250807033"/>
    <n v="4599.1865666640688"/>
    <n v="0"/>
    <n v="0"/>
    <n v="0"/>
    <n v="0"/>
    <n v="0"/>
    <n v="339.3932298321414"/>
    <m/>
    <n v="17.64846343164761"/>
    <n v="745.73379514587259"/>
    <n v="3966.6655824275972"/>
    <n v="0"/>
    <n v="0"/>
    <n v="0"/>
    <n v="0"/>
    <n v="0"/>
    <n v="0"/>
    <n v="0"/>
    <n v="0"/>
    <n v="0"/>
    <n v="0"/>
    <m/>
    <n v="0"/>
    <n v="0"/>
    <n v="0"/>
    <n v="0"/>
    <n v="0"/>
    <n v="188.06628978036517"/>
    <n v="0"/>
    <n v="0"/>
    <n v="0"/>
    <n v="0"/>
    <n v="0"/>
    <m/>
    <m/>
    <m/>
    <m/>
    <m/>
    <m/>
    <m/>
    <m/>
    <m/>
    <n v="4787.2528564444337"/>
    <m/>
    <m/>
    <m/>
    <m/>
    <m/>
    <m/>
    <m/>
    <m/>
    <m/>
    <m/>
    <m/>
    <m/>
    <n v="40994.569000000003"/>
    <n v="-12123.101000000002"/>
    <m/>
    <m/>
    <m/>
    <m/>
    <n v="-12333.444999999998"/>
    <n v="210.37399999999946"/>
    <n v="31"/>
    <n v="352.91886094723122"/>
    <n v="54.435442524919949"/>
    <n v="289.54996774094752"/>
    <n v="0"/>
    <n v="0"/>
    <n v="0"/>
    <n v="0"/>
    <n v="0"/>
    <n v="0"/>
    <n v="0"/>
    <n v="0"/>
    <n v="210.35368984586694"/>
    <n v="0"/>
    <n v="0"/>
    <n v="0"/>
    <n v="8.6016162678986063"/>
    <n v="0"/>
    <n v="-180.85464284782233"/>
    <m/>
    <n v="0"/>
    <n v="0"/>
    <n v="0"/>
    <n v="0"/>
    <n v="-27.099388973035275"/>
    <n v="-2.0678236115454602"/>
    <n v="0"/>
    <n v="0"/>
    <m/>
    <m/>
    <m/>
    <n v="40349.612250807033"/>
    <n v="0"/>
    <n v="0"/>
    <n v="-12333.445"/>
    <n v="210.3739999999998"/>
    <n v="0"/>
    <n v="0"/>
    <n v="-12476.13742783343"/>
    <n v="0"/>
    <n v="0"/>
    <n v="0"/>
    <n v="0"/>
    <n v="0"/>
    <n v="0"/>
    <n v="0"/>
    <n v="0"/>
    <n v="0"/>
    <n v="0"/>
    <n v="0"/>
    <n v="0"/>
    <n v="999.4096142393808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8"/>
    <s v="PROJETADO"/>
    <s v="Verde"/>
    <s v="A4"/>
    <s v="Comercial"/>
    <s v="Não se aplica"/>
    <s v="Não se aplica"/>
    <s v="Não se aplica"/>
    <s v="Fora ponta"/>
    <s v="CATIVO"/>
    <x v="11"/>
    <n v="0"/>
    <n v="0"/>
    <n v="421.21100000000001"/>
    <n v="421.21100000000001"/>
    <n v="421.21100000000001"/>
    <n v="421.21100000000001"/>
    <m/>
    <n v="96.28"/>
    <n v="128.11000000000001"/>
    <m/>
    <n v="94515.536290000018"/>
    <n v="94515.536290000018"/>
    <n v="94620.839040000006"/>
    <n v="0"/>
    <n v="22432.840228109628"/>
    <n v="0"/>
    <n v="0"/>
    <n v="0"/>
    <n v="0"/>
    <n v="0"/>
    <n v="53961.781975797756"/>
    <n v="0"/>
    <n v="0"/>
    <n v="0"/>
    <n v="0"/>
    <n v="0"/>
    <n v="3982.0657863739866"/>
    <m/>
    <n v="207.067602521106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6.562395116362"/>
    <n v="0"/>
    <n v="0"/>
    <n v="0"/>
    <n v="0"/>
    <n v="0"/>
    <m/>
    <m/>
    <m/>
    <m/>
    <m/>
    <m/>
    <m/>
    <m/>
    <m/>
    <n v="56168.344370914121"/>
    <m/>
    <m/>
    <m/>
    <m/>
    <m/>
    <m/>
    <m/>
    <m/>
    <m/>
    <m/>
    <m/>
    <m/>
    <n v="94620.614399999991"/>
    <n v="105.04810999998881"/>
    <m/>
    <m/>
    <m/>
    <m/>
    <n v="-2362.9937099999997"/>
    <n v="2468.2964599999937"/>
    <n v="31"/>
    <n v="104.8152561266761"/>
    <n v="0"/>
    <n v="0"/>
    <n v="0"/>
    <n v="0"/>
    <n v="0"/>
    <n v="0"/>
    <n v="0"/>
    <n v="0"/>
    <n v="0"/>
    <n v="0"/>
    <n v="2468.0581630547968"/>
    <n v="0"/>
    <n v="0"/>
    <n v="0"/>
    <n v="100.92187715370028"/>
    <n v="0"/>
    <n v="-2121.9488849185"/>
    <m/>
    <n v="0"/>
    <n v="0"/>
    <n v="0"/>
    <n v="0"/>
    <n v="-317.95433784738589"/>
    <n v="-24.261561315951951"/>
    <n v="0"/>
    <n v="0"/>
    <m/>
    <m/>
    <m/>
    <n v="0"/>
    <n v="0"/>
    <n v="0"/>
    <n v="-2362.9937100000025"/>
    <n v="2468.2964599999978"/>
    <n v="0"/>
    <n v="0"/>
    <n v="0"/>
    <n v="0"/>
    <n v="0"/>
    <n v="0"/>
    <n v="0"/>
    <n v="0"/>
    <n v="0"/>
    <n v="0"/>
    <n v="0"/>
    <n v="0"/>
    <n v="0"/>
    <n v="0"/>
    <n v="0"/>
    <n v="11725.97000065136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49"/>
    <s v="PROJETADO"/>
    <s v="Verde"/>
    <s v="A4"/>
    <s v="Comercial"/>
    <s v="Não se aplica"/>
    <s v="Não se aplica"/>
    <s v="Não se aplica"/>
    <s v="Não se aplica"/>
    <s v="CATIVO"/>
    <x v="11"/>
    <n v="1684"/>
    <n v="1684"/>
    <n v="0"/>
    <n v="0"/>
    <n v="0"/>
    <n v="0"/>
    <n v="18.12"/>
    <m/>
    <m/>
    <n v="30514.080000000002"/>
    <m/>
    <n v="30514.080000000002"/>
    <n v="24333.8"/>
    <n v="0"/>
    <n v="0"/>
    <n v="0"/>
    <n v="0"/>
    <n v="0"/>
    <n v="0"/>
    <n v="21991.252127489941"/>
    <m/>
    <m/>
    <m/>
    <n v="0"/>
    <n v="0"/>
    <n v="0"/>
    <n v="0"/>
    <m/>
    <n v="0"/>
    <n v="1338.5617737574396"/>
    <n v="7176.0646311071132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566.65"/>
    <n v="17"/>
    <m/>
    <m/>
    <m/>
    <m/>
    <m/>
    <m/>
    <m/>
    <m/>
    <m/>
    <n v="0"/>
    <m/>
    <m/>
    <m/>
    <m/>
    <m/>
    <m/>
    <m/>
    <m/>
    <m/>
    <m/>
    <m/>
    <m/>
    <n v="24333.8"/>
    <n v="-6180.3099999999977"/>
    <m/>
    <m/>
    <m/>
    <m/>
    <n v="-6180.2800000000025"/>
    <n v="0"/>
    <n v="31"/>
    <n v="621.53205245647769"/>
    <n v="97.709401096908323"/>
    <n v="523.8226513595700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991.252127489941"/>
    <m/>
    <n v="0"/>
    <n v="0"/>
    <n v="-6180.2800000000025"/>
    <m/>
    <n v="0"/>
    <m/>
    <n v="-6799.7154978165418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550"/>
    <s v="PROJETADO"/>
    <s v="Convencional"/>
    <s v="B2"/>
    <s v="Rural"/>
    <s v="Não se aplica"/>
    <s v="Não se aplica"/>
    <s v="Não se aplica"/>
    <s v="Não se aplica"/>
    <s v="CATIVO"/>
    <x v="11"/>
    <n v="0"/>
    <n v="0"/>
    <n v="938.06500000000005"/>
    <n v="938.06500000000005"/>
    <n v="938.06500000000005"/>
    <n v="938.06500000000005"/>
    <m/>
    <n v="333.61"/>
    <n v="128.11000000000001"/>
    <m/>
    <n v="433123.37180000002"/>
    <n v="433123.37180000002"/>
    <n v="378068.33695000003"/>
    <n v="0"/>
    <n v="57424.634363861274"/>
    <n v="0"/>
    <n v="0"/>
    <n v="0"/>
    <n v="0"/>
    <n v="182450.07622482031"/>
    <n v="120176.48876483929"/>
    <n v="0"/>
    <n v="0"/>
    <n v="0"/>
    <n v="0"/>
    <n v="0"/>
    <n v="8868.3261878130288"/>
    <m/>
    <n v="807.09978128987041"/>
    <n v="3260.7328592857652"/>
    <n v="17394.197447015329"/>
    <n v="0"/>
    <n v="0"/>
    <n v="0"/>
    <n v="0"/>
    <n v="0"/>
    <n v="0"/>
    <n v="0"/>
    <n v="0"/>
    <n v="0"/>
    <n v="0"/>
    <m/>
    <n v="0"/>
    <n v="0"/>
    <n v="0"/>
    <n v="0"/>
    <n v="0"/>
    <n v="12728.013789179169"/>
    <n v="0"/>
    <n v="0"/>
    <n v="0"/>
    <n v="52693.08"/>
    <n v="2303"/>
    <m/>
    <m/>
    <m/>
    <m/>
    <m/>
    <n v="45374.204049999993"/>
    <m/>
    <m/>
    <m/>
    <n v="132904.50255401846"/>
    <m/>
    <m/>
    <m/>
    <m/>
    <m/>
    <m/>
    <m/>
    <m/>
    <m/>
    <m/>
    <m/>
    <m/>
    <n v="332695.90620000003"/>
    <n v="-48458.694599999988"/>
    <m/>
    <m/>
    <m/>
    <m/>
    <n v="-60552.095750000015"/>
    <n v="5497.0608999999868"/>
    <n v="31"/>
    <n v="1351.8613202742708"/>
    <n v="238.01983671137259"/>
    <n v="1269.7035343677453"/>
    <n v="0"/>
    <n v="0"/>
    <n v="0"/>
    <n v="0"/>
    <n v="0"/>
    <n v="0"/>
    <n v="0"/>
    <n v="0"/>
    <n v="5496.5301968039712"/>
    <n v="0"/>
    <n v="0"/>
    <n v="0"/>
    <n v="582.14308685989636"/>
    <n v="0"/>
    <n v="-5431.8640714321155"/>
    <m/>
    <n v="0"/>
    <n v="0"/>
    <n v="0"/>
    <n v="0"/>
    <n v="-708.10552415014809"/>
    <n v="-94.565738886457552"/>
    <n v="0"/>
    <n v="0"/>
    <m/>
    <m/>
    <m/>
    <n v="182450.07622482031"/>
    <n v="0"/>
    <n v="0"/>
    <n v="-60552.095749999979"/>
    <n v="5497.0608999999822"/>
    <n v="0"/>
    <n v="0"/>
    <n v="-56413.73231917563"/>
    <n v="0"/>
    <n v="0"/>
    <n v="0"/>
    <n v="0"/>
    <n v="0"/>
    <n v="0"/>
    <n v="0"/>
    <n v="0"/>
    <n v="0"/>
    <n v="0"/>
    <n v="0"/>
    <n v="0"/>
    <n v="30016.68683064278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1"/>
    <s v="PROJETADO"/>
    <s v="Convencional"/>
    <s v="B2"/>
    <s v="Rural"/>
    <s v="Não se aplica"/>
    <s v="Não se aplica"/>
    <s v="Não se aplica"/>
    <s v="Não se aplica"/>
    <s v="CATIVO"/>
    <x v="11"/>
    <n v="0"/>
    <n v="0"/>
    <n v="-0.17199999999999999"/>
    <n v="-0.17199999999999999"/>
    <n v="-0.17199999999999999"/>
    <n v="-0.17199999999999999"/>
    <m/>
    <n v="333.61"/>
    <n v="128.11000000000001"/>
    <m/>
    <n v="-79.415840000000003"/>
    <n v="-79.415840000000003"/>
    <n v="-69.321159999999992"/>
    <n v="0"/>
    <n v="-10.529160677121668"/>
    <n v="0"/>
    <n v="0"/>
    <n v="0"/>
    <n v="0"/>
    <n v="-33.453346101463211"/>
    <n v="-22.035099985131474"/>
    <n v="0"/>
    <n v="0"/>
    <n v="0"/>
    <n v="0"/>
    <n v="0"/>
    <n v="-1.62606227106207"/>
    <m/>
    <n v="-0.1479867198774687"/>
    <n v="-0.59787546896766375"/>
    <n v="-3.1893333200648528"/>
    <n v="0"/>
    <n v="0"/>
    <n v="0"/>
    <n v="0"/>
    <n v="0"/>
    <n v="0"/>
    <n v="0"/>
    <n v="0"/>
    <n v="0"/>
    <n v="0"/>
    <m/>
    <n v="0"/>
    <n v="0"/>
    <n v="0"/>
    <n v="0"/>
    <n v="0"/>
    <n v="-2.3337597839582722"/>
    <n v="0"/>
    <n v="0"/>
    <n v="0"/>
    <n v="-8.31"/>
    <n v="0"/>
    <m/>
    <m/>
    <m/>
    <m/>
    <m/>
    <n v="-8.3196399999999979"/>
    <m/>
    <m/>
    <m/>
    <n v="-24.368859769089745"/>
    <m/>
    <m/>
    <m/>
    <m/>
    <m/>
    <m/>
    <m/>
    <m/>
    <m/>
    <m/>
    <m/>
    <m/>
    <n v="-60.292200000000008"/>
    <n v="9.5648399999999754"/>
    <m/>
    <m/>
    <m/>
    <m/>
    <n v="11.102600000000001"/>
    <n v="-1.0079199999999975"/>
    <n v="31"/>
    <n v="-0.24787210597045828"/>
    <n v="-4.3642404219703446E-2"/>
    <n v="-0.23280796950238214"/>
    <n v="0"/>
    <n v="0"/>
    <n v="0"/>
    <n v="0"/>
    <n v="0"/>
    <n v="0"/>
    <n v="0"/>
    <n v="0"/>
    <n v="-1.0078226922977436"/>
    <n v="0"/>
    <n v="0"/>
    <n v="0"/>
    <n v="-0.10673952331651027"/>
    <n v="0"/>
    <n v="0.99596575960762301"/>
    <m/>
    <n v="0"/>
    <n v="0"/>
    <n v="0"/>
    <n v="0"/>
    <n v="0.1298355126284696"/>
    <n v="1.7339211129794502E-2"/>
    <n v="0"/>
    <n v="0"/>
    <m/>
    <m/>
    <m/>
    <n v="-33.453346101463211"/>
    <n v="0"/>
    <n v="0"/>
    <n v="11.102600000000002"/>
    <n v="-1.0079199999999986"/>
    <n v="0"/>
    <n v="0"/>
    <n v="10.343805556009663"/>
    <n v="0"/>
    <n v="0"/>
    <n v="0"/>
    <n v="0"/>
    <n v="0"/>
    <n v="0"/>
    <n v="0"/>
    <n v="0"/>
    <n v="0"/>
    <n v="0"/>
    <n v="0"/>
    <n v="0"/>
    <n v="-5.503744553810832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2"/>
    <s v="PROJETADO"/>
    <s v="Convencional"/>
    <s v="B2"/>
    <s v="Rural"/>
    <s v="Não se aplica"/>
    <s v="Não se aplica"/>
    <s v="Não se aplica"/>
    <s v="Não se aplica"/>
    <s v="CATIVO"/>
    <x v="11"/>
    <n v="0"/>
    <n v="0"/>
    <n v="35.591999999999999"/>
    <n v="35.591999999999999"/>
    <n v="35.591999999999999"/>
    <n v="35.591999999999999"/>
    <m/>
    <n v="333.61"/>
    <n v="128.11000000000001"/>
    <m/>
    <n v="16433.538240000002"/>
    <n v="16433.538240000002"/>
    <n v="14344.643759999999"/>
    <n v="0"/>
    <n v="2178.8016675588051"/>
    <n v="0"/>
    <n v="0"/>
    <n v="0"/>
    <n v="0"/>
    <n v="6922.5086886237132"/>
    <n v="4559.7283643651126"/>
    <n v="0"/>
    <n v="0"/>
    <n v="0"/>
    <n v="0"/>
    <n v="0"/>
    <n v="336.48144390489068"/>
    <m/>
    <n v="30.62292635976085"/>
    <n v="123.7185098342854"/>
    <n v="659.96948562644332"/>
    <n v="0"/>
    <n v="0"/>
    <n v="0"/>
    <n v="0"/>
    <n v="0"/>
    <n v="0"/>
    <n v="0"/>
    <n v="0"/>
    <n v="0"/>
    <n v="0"/>
    <m/>
    <n v="0"/>
    <n v="0"/>
    <n v="0"/>
    <n v="0"/>
    <n v="0"/>
    <n v="482.92545482931877"/>
    <n v="0"/>
    <n v="0"/>
    <n v="0"/>
    <n v="4776.16"/>
    <n v="49"/>
    <m/>
    <m/>
    <m/>
    <m/>
    <m/>
    <n v="1721.5850399999997"/>
    <m/>
    <m/>
    <m/>
    <n v="5042.653819194431"/>
    <m/>
    <m/>
    <m/>
    <m/>
    <m/>
    <m/>
    <m/>
    <m/>
    <m/>
    <m/>
    <m/>
    <m/>
    <n v="12622.349400000003"/>
    <n v="-1839.4220399999958"/>
    <m/>
    <m/>
    <m/>
    <m/>
    <n v="-2297.4636000000005"/>
    <n v="208.56911999999946"/>
    <n v="31"/>
    <n v="51.292232533141942"/>
    <n v="9.0309328545795751"/>
    <n v="48.175007270516176"/>
    <n v="0"/>
    <n v="0"/>
    <n v="0"/>
    <n v="0"/>
    <n v="0"/>
    <n v="0"/>
    <n v="0"/>
    <n v="0"/>
    <n v="208.5489840945429"/>
    <n v="0"/>
    <n v="0"/>
    <n v="0"/>
    <n v="22.08763438303049"/>
    <n v="0"/>
    <n v="-206.09542625554968"/>
    <m/>
    <n v="0"/>
    <n v="0"/>
    <n v="0"/>
    <n v="0"/>
    <n v="-26.866892822514501"/>
    <n v="-3.5880069914630575"/>
    <n v="0"/>
    <n v="0"/>
    <m/>
    <m/>
    <m/>
    <n v="6922.5086886237132"/>
    <n v="0"/>
    <n v="0"/>
    <n v="-2297.463600000001"/>
    <n v="208.5691199999992"/>
    <n v="0"/>
    <n v="0"/>
    <n v="-2140.4460892412553"/>
    <n v="0"/>
    <n v="0"/>
    <n v="0"/>
    <n v="0"/>
    <n v="0"/>
    <n v="0"/>
    <n v="0"/>
    <n v="0"/>
    <n v="0"/>
    <n v="0"/>
    <n v="0"/>
    <n v="0"/>
    <n v="1138.891140460669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3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155.661"/>
    <n v="155.661"/>
    <n v="155.661"/>
    <n v="155.661"/>
    <m/>
    <n v="333.61"/>
    <n v="128.11000000000001"/>
    <m/>
    <n v="71871.796920000008"/>
    <n v="71871.796920000008"/>
    <n v="62736.052830000001"/>
    <n v="0"/>
    <n v="9528.9516288455598"/>
    <n v="0"/>
    <n v="0"/>
    <n v="0"/>
    <n v="0"/>
    <n v="30275.472718022473"/>
    <n v="19941.89359759041"/>
    <n v="0"/>
    <n v="0"/>
    <n v="0"/>
    <n v="0"/>
    <n v="0"/>
    <n v="1471.5958091615867"/>
    <m/>
    <n v="133.92884187701546"/>
    <n v="541.08077543590412"/>
    <n v="2886.3651972942739"/>
    <n v="0"/>
    <n v="0"/>
    <n v="0"/>
    <n v="0"/>
    <n v="0"/>
    <n v="0"/>
    <n v="0"/>
    <n v="0"/>
    <n v="0"/>
    <n v="0"/>
    <m/>
    <n v="0"/>
    <n v="0"/>
    <n v="0"/>
    <n v="0"/>
    <n v="0"/>
    <n v="2112.0661728530736"/>
    <n v="0"/>
    <n v="0"/>
    <n v="0"/>
    <n v="10826.33"/>
    <n v="217"/>
    <m/>
    <m/>
    <m/>
    <m/>
    <m/>
    <m/>
    <m/>
    <m/>
    <m/>
    <n v="22053.959770443482"/>
    <m/>
    <m/>
    <m/>
    <m/>
    <m/>
    <m/>
    <m/>
    <m/>
    <m/>
    <m/>
    <m/>
    <m/>
    <n v="62735.649799999999"/>
    <n v="-9136.1771200000076"/>
    <m/>
    <m/>
    <m/>
    <m/>
    <n v="-10047.917550000002"/>
    <n v="912.1734599999977"/>
    <n v="31"/>
    <n v="224.32569702015462"/>
    <n v="39.496629553739922"/>
    <n v="210.69256593436239"/>
    <n v="0"/>
    <n v="0"/>
    <n v="0"/>
    <n v="0"/>
    <n v="0"/>
    <n v="0"/>
    <n v="0"/>
    <n v="0"/>
    <n v="912.08539596371702"/>
    <n v="0"/>
    <n v="0"/>
    <n v="0"/>
    <n v="96.599889180065929"/>
    <n v="0"/>
    <n v="-901.35480294350054"/>
    <m/>
    <n v="0"/>
    <n v="0"/>
    <n v="0"/>
    <n v="0"/>
    <n v="-117.50189378639675"/>
    <n v="-15.692086881831074"/>
    <n v="0"/>
    <n v="0"/>
    <m/>
    <m/>
    <m/>
    <n v="30275.472718022473"/>
    <n v="0"/>
    <n v="0"/>
    <n v="-10047.917550000006"/>
    <n v="912.17345999999816"/>
    <n v="0"/>
    <n v="0"/>
    <n v="-9361.2041665931392"/>
    <n v="0"/>
    <n v="0"/>
    <n v="0"/>
    <n v="0"/>
    <n v="0"/>
    <n v="0"/>
    <n v="0"/>
    <n v="0"/>
    <n v="0"/>
    <n v="0"/>
    <n v="0"/>
    <n v="0"/>
    <n v="4980.920819713651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0.2"/>
    <n v="0.2"/>
    <n v="0.2"/>
    <n v="0.2"/>
    <m/>
    <n v="333.61"/>
    <n v="128.11000000000001"/>
    <m/>
    <n v="92.344000000000008"/>
    <n v="92.344000000000008"/>
    <n v="80.606000000000009"/>
    <n v="0"/>
    <n v="12.24321008967636"/>
    <n v="0"/>
    <n v="0"/>
    <n v="0"/>
    <n v="0"/>
    <n v="38.899239652864203"/>
    <n v="25.6222092850366"/>
    <n v="0"/>
    <n v="0"/>
    <n v="0"/>
    <n v="0"/>
    <n v="0"/>
    <n v="1.8907700826303142"/>
    <m/>
    <n v="0.17207758125287062"/>
    <n v="0.69520403368333006"/>
    <n v="3.7085271163544804"/>
    <n v="0"/>
    <n v="0"/>
    <n v="0"/>
    <n v="0"/>
    <n v="0"/>
    <n v="0"/>
    <n v="0"/>
    <n v="0"/>
    <n v="0"/>
    <n v="0"/>
    <m/>
    <n v="0"/>
    <n v="0"/>
    <n v="0"/>
    <n v="0"/>
    <n v="0"/>
    <n v="2.7136741673933402"/>
    <n v="0"/>
    <n v="0"/>
    <n v="0"/>
    <n v="66.56"/>
    <n v="2"/>
    <m/>
    <m/>
    <m/>
    <m/>
    <m/>
    <m/>
    <m/>
    <m/>
    <m/>
    <n v="28.33588345242994"/>
    <m/>
    <m/>
    <m/>
    <m/>
    <m/>
    <m/>
    <m/>
    <m/>
    <m/>
    <m/>
    <m/>
    <m/>
    <n v="80.606000000000009"/>
    <n v="-11.768000000000015"/>
    <m/>
    <m/>
    <m/>
    <m/>
    <n v="-12.910000000000004"/>
    <n v="1.171999999999997"/>
    <n v="31"/>
    <n v="0.28822337903542916"/>
    <n v="5.0746981650817924E-2"/>
    <n v="0.27070694128184014"/>
    <n v="0"/>
    <n v="0"/>
    <n v="0"/>
    <n v="0"/>
    <n v="0"/>
    <n v="0"/>
    <n v="0"/>
    <n v="0"/>
    <n v="1.1718868515090044"/>
    <n v="0"/>
    <n v="0"/>
    <n v="0"/>
    <n v="0.12411572478664024"/>
    <n v="0"/>
    <n v="-1.1580997204739791"/>
    <m/>
    <n v="0"/>
    <n v="0"/>
    <n v="0"/>
    <n v="0"/>
    <n v="-0.15097152631217403"/>
    <n v="-2.0161873406737807E-2"/>
    <n v="0"/>
    <n v="0"/>
    <m/>
    <m/>
    <m/>
    <n v="38.899239652864203"/>
    <n v="0"/>
    <n v="0"/>
    <n v="-12.910000000000004"/>
    <n v="1.171999999999997"/>
    <n v="0"/>
    <n v="0"/>
    <n v="-12.027680879081004"/>
    <n v="0"/>
    <n v="0"/>
    <n v="0"/>
    <n v="0"/>
    <n v="0"/>
    <n v="0"/>
    <n v="0"/>
    <n v="0"/>
    <n v="0"/>
    <n v="0"/>
    <n v="0"/>
    <n v="0"/>
    <n v="6.39970296954748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5"/>
    <s v="PROJETADO"/>
    <s v="Verde"/>
    <s v="A4"/>
    <s v="Poder público"/>
    <s v="Não se aplica"/>
    <s v="Não se aplica"/>
    <s v="Não se aplica"/>
    <s v="Ponta"/>
    <s v="CATIVO"/>
    <x v="11"/>
    <n v="0"/>
    <n v="0"/>
    <n v="1.8120000000000001"/>
    <n v="1.8120000000000001"/>
    <n v="1.8120000000000001"/>
    <n v="1.8120000000000001"/>
    <m/>
    <n v="1351.49"/>
    <n v="128.11000000000001"/>
    <m/>
    <n v="2681.0351999999998"/>
    <n v="2681.0351999999998"/>
    <n v="2069.1409200000003"/>
    <n v="0"/>
    <n v="96.503430568847065"/>
    <n v="0"/>
    <n v="0"/>
    <n v="0"/>
    <n v="0"/>
    <n v="2036.5876712663605"/>
    <n v="232.1372161224316"/>
    <n v="0"/>
    <n v="0"/>
    <n v="0"/>
    <n v="0"/>
    <n v="0"/>
    <n v="17.130376948630648"/>
    <m/>
    <n v="0.89078038267814685"/>
    <n v="37.639822752209504"/>
    <n v="200.21164443896399"/>
    <n v="0"/>
    <n v="0"/>
    <n v="0"/>
    <n v="0"/>
    <n v="0"/>
    <n v="0"/>
    <n v="0"/>
    <n v="0"/>
    <n v="0"/>
    <n v="0"/>
    <m/>
    <n v="0"/>
    <n v="0"/>
    <n v="0"/>
    <n v="0"/>
    <n v="0"/>
    <n v="9.4923709493599358"/>
    <n v="0"/>
    <n v="0"/>
    <n v="0"/>
    <n v="0"/>
    <n v="0"/>
    <m/>
    <m/>
    <m/>
    <m/>
    <m/>
    <m/>
    <m/>
    <m/>
    <m/>
    <n v="241.62958707179152"/>
    <m/>
    <m/>
    <m/>
    <m/>
    <m/>
    <m/>
    <m/>
    <m/>
    <m/>
    <m/>
    <m/>
    <m/>
    <n v="2066.8571000000002"/>
    <n v="-614.20810000000029"/>
    <m/>
    <m/>
    <m/>
    <m/>
    <n v="-622.51259999999991"/>
    <n v="10.618319999999974"/>
    <n v="31"/>
    <n v="17.8130633993419"/>
    <n v="2.7475493552967976"/>
    <n v="14.614611185141939"/>
    <n v="0"/>
    <n v="0"/>
    <n v="0"/>
    <n v="0"/>
    <n v="0"/>
    <n v="0"/>
    <n v="0"/>
    <n v="0"/>
    <n v="10.617294874671558"/>
    <n v="0"/>
    <n v="0"/>
    <n v="0"/>
    <n v="0.43415400215688926"/>
    <n v="0"/>
    <n v="-9.1283736167201539"/>
    <m/>
    <n v="0"/>
    <n v="0"/>
    <n v="0"/>
    <n v="0"/>
    <n v="-1.367802028388299"/>
    <n v="-0.10437037281672357"/>
    <n v="0"/>
    <n v="0"/>
    <m/>
    <m/>
    <m/>
    <n v="2036.5876712663605"/>
    <n v="0"/>
    <n v="0"/>
    <n v="-622.51259999999979"/>
    <n v="10.618319999999983"/>
    <n v="0"/>
    <n v="0"/>
    <n v="-629.71479162212177"/>
    <n v="0"/>
    <n v="0"/>
    <n v="0"/>
    <n v="0"/>
    <n v="0"/>
    <n v="0"/>
    <n v="0"/>
    <n v="0"/>
    <n v="0"/>
    <n v="0"/>
    <n v="0"/>
    <n v="0"/>
    <n v="50.443738746567078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6"/>
    <s v="PROJETADO"/>
    <s v="Verde"/>
    <s v="A4"/>
    <s v="Poder público"/>
    <s v="Não se aplica"/>
    <s v="Não se aplica"/>
    <s v="Não se aplica"/>
    <s v="Fora ponta"/>
    <s v="CATIVO"/>
    <x v="11"/>
    <n v="0"/>
    <n v="0"/>
    <n v="20.71"/>
    <n v="20.71"/>
    <n v="20.71"/>
    <n v="20.71"/>
    <m/>
    <n v="96.28"/>
    <n v="128.11000000000001"/>
    <m/>
    <n v="4647.1169000000009"/>
    <n v="4647.1169000000009"/>
    <n v="4652.2944000000007"/>
    <n v="0"/>
    <n v="1102.9724321638096"/>
    <n v="0"/>
    <n v="0"/>
    <n v="0"/>
    <n v="0"/>
    <n v="0"/>
    <n v="2653.1797714655399"/>
    <n v="0"/>
    <n v="0"/>
    <n v="0"/>
    <n v="0"/>
    <n v="0"/>
    <n v="195.78924205636903"/>
    <m/>
    <n v="10.1810495172540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.49172315741959"/>
    <n v="0"/>
    <n v="0"/>
    <n v="0"/>
    <n v="0"/>
    <n v="0"/>
    <m/>
    <m/>
    <m/>
    <m/>
    <m/>
    <m/>
    <m/>
    <m/>
    <m/>
    <n v="2761.6714946229595"/>
    <m/>
    <m/>
    <m/>
    <m/>
    <m/>
    <m/>
    <m/>
    <m/>
    <m/>
    <m/>
    <m/>
    <m/>
    <n v="4652.2944000000007"/>
    <n v="5.1475000000000364"/>
    <m/>
    <m/>
    <m/>
    <m/>
    <n v="-116.1831"/>
    <n v="121.36059999999969"/>
    <n v="31"/>
    <n v="5.1535310198050865"/>
    <n v="0"/>
    <n v="0"/>
    <n v="0"/>
    <n v="0"/>
    <n v="0"/>
    <n v="0"/>
    <n v="0"/>
    <n v="0"/>
    <n v="0"/>
    <n v="0"/>
    <n v="121.34888347375727"/>
    <n v="0"/>
    <n v="0"/>
    <n v="0"/>
    <n v="4.9621023094200609"/>
    <n v="0"/>
    <n v="-104.33146666792197"/>
    <m/>
    <n v="0"/>
    <n v="0"/>
    <n v="0"/>
    <n v="0"/>
    <n v="-15.633101549625621"/>
    <n v="-1.1928865458246936"/>
    <n v="0"/>
    <n v="0"/>
    <m/>
    <m/>
    <m/>
    <n v="0"/>
    <n v="0"/>
    <n v="0"/>
    <n v="-116.18309999999997"/>
    <n v="121.36059999999952"/>
    <n v="0"/>
    <n v="0"/>
    <n v="0"/>
    <n v="0"/>
    <n v="0"/>
    <n v="0"/>
    <n v="0"/>
    <n v="0"/>
    <n v="0"/>
    <n v="0"/>
    <n v="0"/>
    <n v="0"/>
    <n v="0"/>
    <n v="0"/>
    <n v="0"/>
    <n v="576.539640972077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7"/>
    <s v="PROJETADO"/>
    <s v="Verde"/>
    <s v="A4"/>
    <s v="Poder público"/>
    <s v="Não se aplica"/>
    <s v="Não se aplica"/>
    <s v="Não se aplica"/>
    <s v="Não se aplica"/>
    <s v="CATIVO"/>
    <x v="11"/>
    <n v="320"/>
    <n v="320"/>
    <n v="0"/>
    <n v="0"/>
    <n v="0"/>
    <n v="0"/>
    <n v="18.12"/>
    <m/>
    <m/>
    <n v="5798.4000000000005"/>
    <m/>
    <n v="5798.4000000000005"/>
    <n v="4624"/>
    <n v="0"/>
    <n v="0"/>
    <n v="0"/>
    <n v="0"/>
    <n v="0"/>
    <n v="0"/>
    <n v="4178.8602617558081"/>
    <m/>
    <m/>
    <m/>
    <n v="0"/>
    <n v="0"/>
    <n v="0"/>
    <n v="0"/>
    <m/>
    <n v="0"/>
    <n v="254.35853183039231"/>
    <n v="1363.62273275194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617.99"/>
    <n v="3"/>
    <m/>
    <m/>
    <m/>
    <m/>
    <m/>
    <m/>
    <m/>
    <m/>
    <m/>
    <n v="0"/>
    <m/>
    <m/>
    <m/>
    <m/>
    <m/>
    <m/>
    <m/>
    <m/>
    <m/>
    <m/>
    <m/>
    <m/>
    <n v="4624"/>
    <n v="-1174.4300000000012"/>
    <m/>
    <m/>
    <m/>
    <m/>
    <n v="-1174.4000000000005"/>
    <n v="0"/>
    <n v="31"/>
    <n v="118.1058531983806"/>
    <n v="18.567107096799731"/>
    <n v="99.538746101580955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8.8602617558081"/>
    <m/>
    <n v="0"/>
    <n v="0"/>
    <n v="-1174.4000000000005"/>
    <m/>
    <n v="0"/>
    <m/>
    <n v="-1292.1074580173949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558"/>
    <s v="PROJETADO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1011.848"/>
    <n v="1011.848"/>
    <n v="1011.848"/>
    <n v="1011.848"/>
    <m/>
    <n v="183.49"/>
    <n v="70.459999999999994"/>
    <m/>
    <n v="256958.7996"/>
    <n v="256958.7996"/>
    <n v="224286.22767999998"/>
    <n v="0"/>
    <n v="34067.736017751835"/>
    <n v="0"/>
    <n v="0"/>
    <n v="0"/>
    <n v="0"/>
    <n v="108240.32407174661"/>
    <n v="71295.898356775971"/>
    <n v="0"/>
    <n v="0"/>
    <n v="0"/>
    <n v="0"/>
    <n v="0"/>
    <n v="5261.2227980656207"/>
    <m/>
    <n v="478.81998019777501"/>
    <n v="1934.4622304546303"/>
    <n v="10319.280800479861"/>
    <n v="0"/>
    <n v="0"/>
    <n v="0"/>
    <n v="0"/>
    <n v="0"/>
    <n v="0"/>
    <n v="0"/>
    <n v="0"/>
    <n v="0"/>
    <n v="0"/>
    <m/>
    <n v="0"/>
    <n v="0"/>
    <n v="0"/>
    <n v="0"/>
    <n v="0"/>
    <n v="7551.0208920536688"/>
    <n v="0"/>
    <n v="0"/>
    <n v="0"/>
    <n v="45938.14"/>
    <n v="5"/>
    <m/>
    <m/>
    <m/>
    <m/>
    <m/>
    <m/>
    <m/>
    <m/>
    <m/>
    <n v="78846.919248829639"/>
    <m/>
    <m/>
    <m/>
    <m/>
    <m/>
    <m/>
    <m/>
    <m/>
    <m/>
    <m/>
    <m/>
    <m/>
    <n v="224286.671"/>
    <n v="-32672.158600000024"/>
    <m/>
    <m/>
    <m/>
    <m/>
    <n v="-35930.722480000019"/>
    <n v="3258.1505600000132"/>
    <n v="31"/>
    <n v="802.00518648294383"/>
    <n v="141.20763769589689"/>
    <n v="753.26426208594603"/>
    <n v="0"/>
    <n v="0"/>
    <n v="0"/>
    <n v="0"/>
    <n v="0"/>
    <n v="0"/>
    <n v="0"/>
    <n v="0"/>
    <n v="3260.8712590454525"/>
    <n v="0"/>
    <n v="0"/>
    <n v="0"/>
    <n v="345.36218170830944"/>
    <n v="0"/>
    <n v="-3222.5074363959866"/>
    <m/>
    <n v="0"/>
    <n v="0"/>
    <n v="0"/>
    <n v="0"/>
    <n v="-420.09065162877323"/>
    <n v="-56.102066027867352"/>
    <n v="0"/>
    <n v="0"/>
    <m/>
    <m/>
    <m/>
    <n v="108240.32407174661"/>
    <n v="0"/>
    <n v="0"/>
    <n v="-35930.722480000026"/>
    <n v="3258.1505600000091"/>
    <n v="0"/>
    <n v="0"/>
    <n v="-33468.008315875195"/>
    <n v="0"/>
    <n v="0"/>
    <n v="0"/>
    <n v="0"/>
    <n v="0"/>
    <n v="0"/>
    <n v="0"/>
    <n v="0"/>
    <n v="0"/>
    <n v="0"/>
    <n v="0"/>
    <n v="0"/>
    <n v="17807.69828840939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59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71.58"/>
    <n v="67.285200000000003"/>
    <n v="71.58"/>
    <n v="67.285200000000003"/>
    <m/>
    <n v="333.61"/>
    <n v="128.11000000000001"/>
    <m/>
    <n v="33049.917600000001"/>
    <n v="33049.917600000001"/>
    <n v="28848.8874"/>
    <n v="0"/>
    <n v="4381.8448910951693"/>
    <n v="0"/>
    <n v="0"/>
    <n v="0"/>
    <n v="0"/>
    <n v="13922.037871760098"/>
    <n v="9170.188703114598"/>
    <n v="0"/>
    <n v="0"/>
    <n v="0"/>
    <n v="0"/>
    <n v="0"/>
    <n v="676.70661257338941"/>
    <m/>
    <n v="61.586566330402391"/>
    <n v="248.81352365526379"/>
    <n v="1327.2818549432684"/>
    <n v="0"/>
    <n v="0"/>
    <n v="0"/>
    <n v="0"/>
    <n v="0"/>
    <n v="0"/>
    <n v="0"/>
    <n v="0"/>
    <n v="0"/>
    <n v="0"/>
    <m/>
    <n v="0"/>
    <n v="0"/>
    <n v="0"/>
    <n v="0"/>
    <n v="0"/>
    <n v="971.22398451007643"/>
    <n v="0"/>
    <n v="0"/>
    <n v="0"/>
    <n v="5554.32"/>
    <n v="27"/>
    <m/>
    <m/>
    <m/>
    <m/>
    <n v="1730.933243999998"/>
    <m/>
    <m/>
    <m/>
    <m/>
    <n v="10141.412687624674"/>
    <m/>
    <m/>
    <m/>
    <m/>
    <m/>
    <m/>
    <m/>
    <m/>
    <m/>
    <m/>
    <m/>
    <m/>
    <n v="27119.888700000003"/>
    <n v="-3947.063843999993"/>
    <m/>
    <m/>
    <m/>
    <m/>
    <n v="-4620.4890000000005"/>
    <n v="419.45879999999892"/>
    <n v="31"/>
    <n v="103.15514735677425"/>
    <n v="18.162344732827762"/>
    <n v="96.886014284770454"/>
    <n v="0"/>
    <n v="0"/>
    <n v="0"/>
    <n v="0"/>
    <n v="0"/>
    <n v="0"/>
    <n v="0"/>
    <n v="0"/>
    <n v="419.4183041550732"/>
    <n v="0"/>
    <n v="0"/>
    <n v="0"/>
    <n v="44.421017901138384"/>
    <n v="0"/>
    <n v="-414.48388995763753"/>
    <m/>
    <n v="0"/>
    <n v="0"/>
    <n v="0"/>
    <n v="0"/>
    <n v="-54.032709267127075"/>
    <n v="-7.2159344922714652"/>
    <n v="0"/>
    <n v="0"/>
    <m/>
    <m/>
    <m/>
    <n v="13922.037871760098"/>
    <n v="0"/>
    <n v="0"/>
    <n v="-4620.4890000000014"/>
    <n v="419.45879999999852"/>
    <n v="0"/>
    <n v="0"/>
    <n v="-4304.7069866230922"/>
    <n v="0"/>
    <n v="0"/>
    <n v="0"/>
    <n v="0"/>
    <n v="0"/>
    <n v="0"/>
    <n v="0"/>
    <n v="0"/>
    <n v="0"/>
    <n v="0"/>
    <n v="0"/>
    <n v="0"/>
    <n v="2290.453692801043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0"/>
    <s v="PROJETADO"/>
    <s v="Azul"/>
    <s v="A4"/>
    <s v="Serviço público"/>
    <s v="Água, esgoto e saneamento"/>
    <s v="Não se aplica"/>
    <s v="Não se aplica"/>
    <s v="Ponta"/>
    <s v="CATIVO"/>
    <x v="11"/>
    <n v="497"/>
    <n v="467.18"/>
    <n v="20.617999999999999"/>
    <n v="19.38092"/>
    <n v="20.617999999999999"/>
    <n v="19.38092"/>
    <n v="52.19"/>
    <n v="96.28"/>
    <n v="128.11000000000001"/>
    <n v="25938.43"/>
    <n v="4626.4730199999995"/>
    <n v="30564.903020000002"/>
    <n v="23587.20752"/>
    <n v="0"/>
    <n v="1098.0726994859208"/>
    <n v="0"/>
    <n v="0"/>
    <n v="0"/>
    <n v="0"/>
    <n v="23226.622324707889"/>
    <n v="2641.3935551944228"/>
    <n v="0"/>
    <n v="0"/>
    <n v="0"/>
    <n v="0"/>
    <n v="0"/>
    <n v="194.91948781835907"/>
    <m/>
    <n v="10.135822257206417"/>
    <n v="429.22392841896755"/>
    <n v="2283.35918041684"/>
    <n v="0"/>
    <n v="0"/>
    <n v="0"/>
    <n v="0"/>
    <n v="0"/>
    <n v="0"/>
    <n v="0"/>
    <n v="0"/>
    <n v="0"/>
    <n v="0"/>
    <m/>
    <n v="0"/>
    <n v="0"/>
    <n v="0"/>
    <n v="0"/>
    <n v="0"/>
    <n v="108.00977054851167"/>
    <n v="0"/>
    <n v="0"/>
    <n v="0"/>
    <n v="0"/>
    <n v="0"/>
    <m/>
    <m/>
    <m/>
    <m/>
    <n v="1415.2324511999998"/>
    <m/>
    <m/>
    <m/>
    <m/>
    <n v="2749.4033257429346"/>
    <m/>
    <m/>
    <m/>
    <m/>
    <m/>
    <m/>
    <m/>
    <m/>
    <m/>
    <m/>
    <m/>
    <m/>
    <n v="22171.768400000001"/>
    <n v="-6559.2704387999911"/>
    <m/>
    <m/>
    <m/>
    <m/>
    <n v="-7098.5169799999985"/>
    <n v="120.82147999999968"/>
    <n v="31"/>
    <n v="203.13783909678932"/>
    <n v="31.331548386111194"/>
    <n v="166.6756532135114"/>
    <n v="0"/>
    <n v="0"/>
    <n v="0"/>
    <n v="0"/>
    <n v="0"/>
    <n v="0"/>
    <n v="0"/>
    <n v="0"/>
    <n v="120.80981552206322"/>
    <n v="0"/>
    <n v="0"/>
    <n v="0"/>
    <n v="4.9400591702377028"/>
    <n v="0"/>
    <n v="-103.86799515978817"/>
    <m/>
    <n v="0"/>
    <n v="0"/>
    <n v="0"/>
    <n v="0"/>
    <n v="-15.563654647522043"/>
    <n v="-1.1875873878229601"/>
    <n v="0"/>
    <n v="0"/>
    <m/>
    <m/>
    <n v="23226.622324707889"/>
    <n v="0"/>
    <n v="0"/>
    <n v="0"/>
    <n v="-7098.5169800000003"/>
    <n v="120.82148000000007"/>
    <n v="0"/>
    <n v="0"/>
    <n v="-7181.6931054063516"/>
    <n v="0"/>
    <n v="0"/>
    <n v="0"/>
    <n v="0"/>
    <n v="0"/>
    <n v="0"/>
    <n v="0"/>
    <n v="0"/>
    <n v="0"/>
    <n v="0"/>
    <n v="0"/>
    <n v="0"/>
    <n v="573.9784798436644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1"/>
    <s v="PROJETADO"/>
    <s v="Azul"/>
    <s v="A4"/>
    <s v="Serviço público"/>
    <s v="Água, esgoto e saneamento"/>
    <s v="Não se aplica"/>
    <s v="Não se aplica"/>
    <s v="Fora ponta"/>
    <s v="CATIVO"/>
    <x v="11"/>
    <n v="497"/>
    <n v="467.18"/>
    <n v="162.51599999999999"/>
    <n v="152.76504"/>
    <n v="162.51599999999999"/>
    <n v="152.76504"/>
    <n v="18.12"/>
    <n v="96.28"/>
    <n v="128.11000000000001"/>
    <n v="9005.6400000000012"/>
    <n v="36466.965240000005"/>
    <n v="45472.605240000004"/>
    <n v="43689.24424"/>
    <n v="0"/>
    <n v="8655.2712595622233"/>
    <n v="0"/>
    <n v="0"/>
    <n v="0"/>
    <n v="0"/>
    <n v="6490.2923440394898"/>
    <n v="20820.094820835038"/>
    <n v="0"/>
    <n v="0"/>
    <n v="0"/>
    <n v="0"/>
    <n v="0"/>
    <n v="1536.4019537437407"/>
    <m/>
    <n v="79.89297167291484"/>
    <n v="395.05059474907807"/>
    <n v="2117.8765568053655"/>
    <n v="0"/>
    <n v="0"/>
    <n v="0"/>
    <n v="0"/>
    <n v="0"/>
    <n v="0"/>
    <n v="0"/>
    <n v="0"/>
    <n v="0"/>
    <n v="0"/>
    <m/>
    <n v="0"/>
    <n v="0"/>
    <n v="0"/>
    <n v="0"/>
    <n v="0"/>
    <n v="851.35880640517621"/>
    <n v="0"/>
    <n v="0"/>
    <n v="0"/>
    <n v="0"/>
    <n v="0"/>
    <m/>
    <m/>
    <m/>
    <m/>
    <n v="2621.3546543999983"/>
    <m/>
    <m/>
    <m/>
    <m/>
    <n v="21671.453627240215"/>
    <m/>
    <m/>
    <m/>
    <m/>
    <m/>
    <m/>
    <m/>
    <m/>
    <m/>
    <m/>
    <m/>
    <m/>
    <n v="41069.003800000006"/>
    <n v="-1675.2751255999974"/>
    <m/>
    <m/>
    <m/>
    <m/>
    <n v="-2735.7047600000005"/>
    <n v="952.34375999999759"/>
    <n v="31"/>
    <n v="223.8740633025518"/>
    <n v="28.837038209717036"/>
    <n v="154.59611503901806"/>
    <n v="0"/>
    <n v="0"/>
    <n v="0"/>
    <n v="0"/>
    <n v="0"/>
    <n v="0"/>
    <n v="0"/>
    <n v="0"/>
    <n v="952.25181779918421"/>
    <n v="0"/>
    <n v="0"/>
    <n v="0"/>
    <n v="38.938726166958531"/>
    <n v="0"/>
    <n v="-818.71234365060354"/>
    <m/>
    <n v="0"/>
    <n v="0"/>
    <n v="0"/>
    <n v="0"/>
    <n v="-122.67644285074653"/>
    <n v="-9.3608474109727524"/>
    <n v="0"/>
    <n v="0"/>
    <m/>
    <m/>
    <n v="6490.2923440394898"/>
    <n v="0"/>
    <n v="0"/>
    <n v="0"/>
    <n v="-2735.7047600000042"/>
    <n v="952.34375999999611"/>
    <n v="0"/>
    <n v="0"/>
    <n v="-2006.8043957332666"/>
    <n v="0"/>
    <n v="0"/>
    <n v="0"/>
    <n v="0"/>
    <n v="0"/>
    <n v="0"/>
    <n v="0"/>
    <n v="0"/>
    <n v="0"/>
    <n v="0"/>
    <n v="0"/>
    <n v="0"/>
    <n v="4524.235455925549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2"/>
    <s v="PROJETADO"/>
    <s v="Azul"/>
    <s v="A4"/>
    <s v="Serviço público"/>
    <s v="Água, esgoto e saneamento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723.55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63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998"/>
    <n v="0.998"/>
    <n v="0.998"/>
    <n v="0.998"/>
    <m/>
    <n v="333.61"/>
    <n v="128.11000000000001"/>
    <m/>
    <n v="460.79656000000006"/>
    <n v="460.79656000000006"/>
    <n v="402.22393999999997"/>
    <n v="0"/>
    <n v="61.093618347485034"/>
    <n v="0"/>
    <n v="0"/>
    <n v="0"/>
    <n v="0"/>
    <n v="194.10720586779237"/>
    <n v="127.85482433233263"/>
    <n v="0"/>
    <n v="0"/>
    <n v="0"/>
    <n v="0"/>
    <n v="0"/>
    <n v="9.4349427123252685"/>
    <m/>
    <n v="0.8586671304518243"/>
    <n v="3.4690681280798166"/>
    <n v="18.505550310608857"/>
    <n v="0"/>
    <n v="0"/>
    <n v="0"/>
    <n v="0"/>
    <n v="0"/>
    <n v="0"/>
    <n v="0"/>
    <n v="0"/>
    <n v="0"/>
    <n v="0"/>
    <m/>
    <n v="0"/>
    <n v="0"/>
    <n v="0"/>
    <n v="0"/>
    <n v="0"/>
    <n v="13.541234095292767"/>
    <n v="0"/>
    <n v="0"/>
    <n v="0"/>
    <n v="82.39"/>
    <n v="2"/>
    <m/>
    <m/>
    <m/>
    <m/>
    <m/>
    <m/>
    <m/>
    <m/>
    <m/>
    <n v="141.39605842762541"/>
    <m/>
    <m/>
    <m/>
    <m/>
    <m/>
    <m/>
    <m/>
    <m/>
    <m/>
    <m/>
    <m/>
    <m/>
    <n v="403.03"/>
    <n v="-57.796560000000056"/>
    <m/>
    <m/>
    <m/>
    <m/>
    <n v="-64.420900000000017"/>
    <n v="5.8482799999999848"/>
    <n v="31"/>
    <n v="1.4382346613866162"/>
    <n v="0.25322743843758166"/>
    <n v="1.3508276369963816"/>
    <n v="0"/>
    <n v="0"/>
    <n v="0"/>
    <n v="0"/>
    <n v="0"/>
    <n v="0"/>
    <n v="0"/>
    <n v="0"/>
    <n v="5.8477153890299149"/>
    <n v="0"/>
    <n v="0"/>
    <n v="0"/>
    <n v="0.61933746668533374"/>
    <n v="0"/>
    <n v="-5.7789176051651552"/>
    <m/>
    <n v="0"/>
    <n v="0"/>
    <n v="0"/>
    <n v="0"/>
    <n v="-0.75334791629775033"/>
    <n v="-0.1006077482996216"/>
    <n v="0"/>
    <n v="0"/>
    <m/>
    <m/>
    <m/>
    <n v="194.10720586779237"/>
    <n v="0"/>
    <n v="0"/>
    <n v="-64.420900000000017"/>
    <n v="5.8482799999999742"/>
    <n v="0"/>
    <n v="0"/>
    <n v="-60.018127586614213"/>
    <n v="0"/>
    <n v="0"/>
    <n v="0"/>
    <n v="0"/>
    <n v="0"/>
    <n v="0"/>
    <n v="0"/>
    <n v="0"/>
    <n v="0"/>
    <n v="0"/>
    <n v="0"/>
    <n v="0"/>
    <n v="31.934517818041925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4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0.03"/>
    <n v="0.03"/>
    <n v="0.03"/>
    <n v="0.03"/>
    <m/>
    <n v="333.61"/>
    <n v="128.11000000000001"/>
    <m/>
    <n v="13.851600000000001"/>
    <n v="13.851600000000001"/>
    <n v="12.0909"/>
    <n v="0"/>
    <n v="1.8364815134514538"/>
    <n v="0"/>
    <n v="0"/>
    <n v="0"/>
    <n v="0"/>
    <n v="5.8348859479296298"/>
    <n v="3.8433313927554895"/>
    <n v="0"/>
    <n v="0"/>
    <n v="0"/>
    <n v="0"/>
    <n v="0"/>
    <n v="0.28361551239454713"/>
    <m/>
    <n v="2.581163718793059E-2"/>
    <n v="0.1042806050524995"/>
    <n v="0.55627906745317202"/>
    <n v="0"/>
    <n v="0"/>
    <n v="0"/>
    <n v="0"/>
    <n v="0"/>
    <n v="0"/>
    <n v="0"/>
    <n v="0"/>
    <n v="0"/>
    <n v="0"/>
    <m/>
    <n v="0"/>
    <n v="0"/>
    <n v="0"/>
    <n v="0"/>
    <n v="0"/>
    <n v="0.40705112510900099"/>
    <n v="0"/>
    <n v="0"/>
    <n v="0"/>
    <n v="2.48"/>
    <n v="1"/>
    <m/>
    <m/>
    <m/>
    <m/>
    <m/>
    <m/>
    <m/>
    <m/>
    <m/>
    <n v="4.2503825178644909"/>
    <m/>
    <m/>
    <m/>
    <m/>
    <m/>
    <m/>
    <m/>
    <m/>
    <m/>
    <m/>
    <m/>
    <m/>
    <n v="12.0909"/>
    <n v="-1.7907000000000011"/>
    <m/>
    <m/>
    <m/>
    <m/>
    <n v="-1.9365000000000003"/>
    <n v="0.17579999999999954"/>
    <n v="31"/>
    <n v="4.3233506855312243E-2"/>
    <n v="7.6120472476226969E-3"/>
    <n v="4.0606041192275955E-2"/>
    <n v="0"/>
    <n v="0"/>
    <n v="0"/>
    <n v="0"/>
    <n v="0"/>
    <n v="0"/>
    <n v="0"/>
    <n v="0"/>
    <n v="0.17578302772635102"/>
    <n v="0"/>
    <n v="0"/>
    <n v="0"/>
    <n v="1.8617358717996024E-2"/>
    <n v="0"/>
    <n v="-0.17371495807109683"/>
    <m/>
    <n v="0"/>
    <n v="0"/>
    <n v="0"/>
    <n v="0"/>
    <n v="-2.2645728946826149E-2"/>
    <n v="-3.0242810110106717E-3"/>
    <n v="0"/>
    <n v="0"/>
    <m/>
    <m/>
    <m/>
    <n v="5.8348859479296298"/>
    <n v="0"/>
    <n v="0"/>
    <n v="-1.9365000000000006"/>
    <n v="0.17579999999999973"/>
    <n v="0"/>
    <n v="0"/>
    <n v="-1.8041521318621498"/>
    <n v="0"/>
    <n v="0"/>
    <n v="0"/>
    <n v="0"/>
    <n v="0"/>
    <n v="0"/>
    <n v="0"/>
    <n v="0"/>
    <n v="0"/>
    <n v="0"/>
    <n v="0"/>
    <n v="0"/>
    <n v="0.959955445432121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5"/>
    <s v="PROJETADO"/>
    <s v="Verde"/>
    <s v="A4"/>
    <s v="Consumo próprio"/>
    <s v="Não se aplica"/>
    <s v="Não se aplica"/>
    <s v="Não se aplica"/>
    <s v="Ponta"/>
    <s v="CATIVO"/>
    <x v="11"/>
    <n v="0"/>
    <n v="0"/>
    <n v="1.0349999999999999"/>
    <n v="1.0349999999999999"/>
    <n v="1.0349999999999999"/>
    <n v="1.0349999999999999"/>
    <m/>
    <n v="1351.49"/>
    <n v="128.11000000000001"/>
    <m/>
    <n v="1531.386"/>
    <n v="1531.386"/>
    <n v="1181.8768499999999"/>
    <n v="0"/>
    <n v="55.121992626245422"/>
    <n v="0"/>
    <n v="0"/>
    <n v="0"/>
    <n v="0"/>
    <n v="1163.2826930246595"/>
    <n v="132.59493305006438"/>
    <n v="0"/>
    <n v="0"/>
    <n v="0"/>
    <n v="0"/>
    <n v="0"/>
    <n v="9.7847351776118749"/>
    <m/>
    <n v="0.50880667553635861"/>
    <n v="21.499567631642844"/>
    <n v="114.35930021762015"/>
    <n v="0"/>
    <n v="0"/>
    <n v="0"/>
    <n v="0"/>
    <n v="0"/>
    <n v="0"/>
    <n v="0"/>
    <n v="0"/>
    <n v="0"/>
    <n v="0"/>
    <m/>
    <n v="0"/>
    <n v="0"/>
    <n v="0"/>
    <n v="0"/>
    <n v="0"/>
    <n v="5.4219668502138703"/>
    <n v="0"/>
    <n v="0"/>
    <n v="0"/>
    <n v="0"/>
    <n v="0"/>
    <m/>
    <m/>
    <m/>
    <m/>
    <m/>
    <m/>
    <m/>
    <m/>
    <m/>
    <n v="138.01689990027825"/>
    <m/>
    <m/>
    <m/>
    <m/>
    <m/>
    <m/>
    <m/>
    <m/>
    <m/>
    <m/>
    <m/>
    <m/>
    <n v="1187.5864000000001"/>
    <n v="-343.8295999999998"/>
    <m/>
    <m/>
    <m/>
    <m/>
    <n v="-355.57424999999995"/>
    <n v="6.0650999999999842"/>
    <n v="31"/>
    <n v="10.174680252935389"/>
    <n v="1.5693783569162179"/>
    <n v="8.3477497663476328"/>
    <n v="0"/>
    <n v="0"/>
    <n v="0"/>
    <n v="0"/>
    <n v="0"/>
    <n v="0"/>
    <n v="0"/>
    <n v="0"/>
    <n v="6.0645144565590954"/>
    <n v="0"/>
    <n v="0"/>
    <n v="0"/>
    <n v="0.24798531580153416"/>
    <n v="0"/>
    <n v="-5.2140544665040665"/>
    <m/>
    <n v="0"/>
    <n v="0"/>
    <n v="0"/>
    <n v="0"/>
    <n v="-0.78127764866550109"/>
    <n v="-5.9615527519486067E-2"/>
    <n v="0"/>
    <n v="0"/>
    <m/>
    <m/>
    <m/>
    <n v="1163.2826930246595"/>
    <n v="0"/>
    <n v="0"/>
    <n v="-355.57425000000012"/>
    <n v="6.0650999999999726"/>
    <n v="0"/>
    <n v="0"/>
    <n v="-359.68808461859601"/>
    <n v="0"/>
    <n v="0"/>
    <n v="0"/>
    <n v="0"/>
    <n v="0"/>
    <n v="0"/>
    <n v="0"/>
    <n v="0"/>
    <n v="0"/>
    <n v="0"/>
    <n v="0"/>
    <n v="0"/>
    <n v="28.813062694645101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6"/>
    <s v="PROJETADO"/>
    <s v="Verde"/>
    <s v="A4"/>
    <s v="Consumo próprio"/>
    <s v="Não se aplica"/>
    <s v="Não se aplica"/>
    <s v="Não se aplica"/>
    <s v="Fora ponta"/>
    <s v="CATIVO"/>
    <x v="11"/>
    <n v="0"/>
    <n v="0"/>
    <n v="12.145"/>
    <n v="12.145"/>
    <n v="12.145"/>
    <n v="12.145"/>
    <m/>
    <n v="96.28"/>
    <n v="128.11000000000001"/>
    <m/>
    <n v="2725.2165500000001"/>
    <n v="2725.2165500000001"/>
    <n v="2728.2528000000002"/>
    <n v="0"/>
    <n v="646.81797144516975"/>
    <n v="0"/>
    <n v="0"/>
    <n v="0"/>
    <n v="0"/>
    <n v="0"/>
    <n v="1555.9086588338473"/>
    <n v="0"/>
    <n v="0"/>
    <n v="0"/>
    <n v="0"/>
    <n v="0"/>
    <n v="114.81701326772583"/>
    <m/>
    <n v="5.9704899269459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622982991156967"/>
    <n v="0"/>
    <n v="0"/>
    <n v="0"/>
    <n v="0"/>
    <n v="0"/>
    <m/>
    <m/>
    <m/>
    <m/>
    <m/>
    <m/>
    <m/>
    <m/>
    <m/>
    <n v="1619.5316418250043"/>
    <m/>
    <m/>
    <m/>
    <m/>
    <m/>
    <m/>
    <m/>
    <m/>
    <m/>
    <m/>
    <m/>
    <m/>
    <n v="2729.3760000000002"/>
    <n v="4.1294499999999061"/>
    <m/>
    <m/>
    <m/>
    <m/>
    <n v="-68.133449999999996"/>
    <n v="71.169699999999821"/>
    <n v="31"/>
    <n v="3.0221938307831806"/>
    <n v="0"/>
    <n v="0"/>
    <n v="0"/>
    <n v="0"/>
    <n v="0"/>
    <n v="0"/>
    <n v="0"/>
    <n v="0"/>
    <n v="0"/>
    <n v="0"/>
    <n v="71.16282905788421"/>
    <n v="0"/>
    <n v="0"/>
    <n v="0"/>
    <n v="2.9099339714102612"/>
    <n v="0"/>
    <n v="-61.183276807431753"/>
    <m/>
    <n v="0"/>
    <n v="0"/>
    <n v="0"/>
    <n v="0"/>
    <n v="-9.1677459353067832"/>
    <n v="-0.69954645577213359"/>
    <n v="0"/>
    <n v="0"/>
    <m/>
    <m/>
    <m/>
    <n v="0"/>
    <n v="0"/>
    <n v="0"/>
    <n v="-68.133450000000039"/>
    <n v="71.169699999999921"/>
    <n v="0"/>
    <n v="0"/>
    <n v="0"/>
    <n v="0"/>
    <n v="0"/>
    <n v="0"/>
    <n v="0"/>
    <n v="0"/>
    <n v="0"/>
    <n v="0"/>
    <n v="0"/>
    <n v="0"/>
    <n v="0"/>
    <n v="0"/>
    <n v="0"/>
    <n v="338.1011076584200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67"/>
    <s v="PROJETADO"/>
    <s v="Verde"/>
    <s v="A4"/>
    <s v="Consumo próprio"/>
    <s v="Não se aplica"/>
    <s v="Não se aplica"/>
    <s v="Não se aplica"/>
    <s v="Não se aplica"/>
    <s v="CATIVO"/>
    <x v="11"/>
    <n v="95"/>
    <n v="95"/>
    <n v="0"/>
    <n v="0"/>
    <n v="0"/>
    <n v="0"/>
    <n v="18.12"/>
    <m/>
    <m/>
    <n v="1721.4"/>
    <m/>
    <n v="1721.4"/>
    <n v="1372.75"/>
    <n v="0"/>
    <n v="0"/>
    <n v="0"/>
    <n v="0"/>
    <n v="0"/>
    <n v="0"/>
    <n v="1240.5991402087554"/>
    <m/>
    <m/>
    <m/>
    <n v="0"/>
    <n v="0"/>
    <n v="0"/>
    <n v="0"/>
    <m/>
    <n v="0"/>
    <n v="75.512689137147717"/>
    <n v="404.82549878573383"/>
    <n v="0"/>
    <n v="0"/>
    <m/>
    <m/>
    <n v="0"/>
    <n v="0"/>
    <n v="0"/>
    <m/>
    <m/>
    <n v="0"/>
    <m/>
    <n v="0"/>
    <n v="0"/>
    <n v="0"/>
    <n v="0"/>
    <m/>
    <n v="0"/>
    <n v="0"/>
    <n v="0"/>
    <n v="0"/>
    <n v="361.66"/>
    <n v="1"/>
    <m/>
    <m/>
    <m/>
    <m/>
    <m/>
    <m/>
    <m/>
    <m/>
    <m/>
    <n v="0"/>
    <m/>
    <m/>
    <m/>
    <m/>
    <m/>
    <m/>
    <m/>
    <m/>
    <m/>
    <m/>
    <m/>
    <m/>
    <n v="1372.75"/>
    <n v="-348.68000000000006"/>
    <m/>
    <m/>
    <m/>
    <m/>
    <n v="-348.65000000000015"/>
    <n v="0"/>
    <n v="31"/>
    <n v="35.062675168269209"/>
    <n v="5.5121099193624161"/>
    <n v="29.550565248906821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40.5991402087554"/>
    <m/>
    <n v="0"/>
    <n v="0"/>
    <n v="-348.65000000000009"/>
    <m/>
    <n v="0"/>
    <m/>
    <n v="-383.59440159891403"/>
    <m/>
    <n v="0"/>
    <n v="0"/>
    <m/>
    <n v="0"/>
    <n v="0"/>
    <n v="0"/>
    <n v="0"/>
    <n v="0"/>
    <m/>
    <m/>
    <n v="0"/>
    <n v="0"/>
    <m/>
    <n v="0"/>
    <m/>
    <n v="0"/>
    <m/>
    <n v="230"/>
    <m/>
    <m/>
    <m/>
    <m/>
    <n v="0"/>
    <m/>
    <m/>
    <m/>
    <m/>
    <n v="0"/>
    <n v="0"/>
    <n v="0"/>
    <n v="0"/>
  </r>
  <r>
    <n v="568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85.6"/>
    <n v="10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69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13.619"/>
    <n v="13.619"/>
    <n v="13.619"/>
    <n v="13.619"/>
    <m/>
    <n v="333.61"/>
    <n v="128.11000000000001"/>
    <m/>
    <n v="6288.1646799999999"/>
    <n v="6288.1646799999999"/>
    <n v="5488.8655699999999"/>
    <n v="0"/>
    <n v="833.70139105651174"/>
    <n v="0"/>
    <n v="0"/>
    <n v="0"/>
    <n v="0"/>
    <n v="2648.8437241617876"/>
    <n v="1744.7443412645671"/>
    <n v="0"/>
    <n v="0"/>
    <n v="0"/>
    <n v="0"/>
    <n v="0"/>
    <n v="128.75198877671124"/>
    <m/>
    <n v="11.717622895414223"/>
    <n v="47.339918673666354"/>
    <n v="252.53215398815834"/>
    <n v="0"/>
    <n v="0"/>
    <n v="0"/>
    <n v="0"/>
    <n v="0"/>
    <n v="0"/>
    <n v="0"/>
    <n v="0"/>
    <n v="0"/>
    <n v="0"/>
    <m/>
    <n v="0"/>
    <n v="0"/>
    <n v="0"/>
    <n v="0"/>
    <n v="0"/>
    <n v="184.78764242864949"/>
    <n v="0"/>
    <n v="0"/>
    <n v="0"/>
    <n v="0"/>
    <n v="0"/>
    <m/>
    <m/>
    <m/>
    <m/>
    <m/>
    <n v="658.7510299999999"/>
    <m/>
    <m/>
    <m/>
    <n v="1929.5319836932165"/>
    <m/>
    <m/>
    <m/>
    <m/>
    <m/>
    <m/>
    <m/>
    <m/>
    <m/>
    <m/>
    <m/>
    <m/>
    <n v="4830.4691999999995"/>
    <n v="-703.23288000000048"/>
    <m/>
    <m/>
    <m/>
    <m/>
    <n v="-879.10645000000011"/>
    <n v="79.807339999999797"/>
    <n v="31"/>
    <n v="19.626570995416387"/>
    <n v="3.4556157155124509"/>
    <n v="18.433789166586877"/>
    <n v="0"/>
    <n v="0"/>
    <n v="0"/>
    <n v="0"/>
    <n v="0"/>
    <n v="0"/>
    <n v="0"/>
    <n v="0"/>
    <n v="79.799635153505733"/>
    <n v="0"/>
    <n v="0"/>
    <n v="0"/>
    <n v="8.4516602793462425"/>
    <n v="0"/>
    <n v="-78.860800465675652"/>
    <m/>
    <n v="0"/>
    <n v="0"/>
    <n v="0"/>
    <n v="0"/>
    <n v="-10.280406084227494"/>
    <n v="-1.3729227696318098"/>
    <n v="0"/>
    <n v="0"/>
    <m/>
    <m/>
    <m/>
    <n v="2648.8437241617876"/>
    <n v="0"/>
    <n v="0"/>
    <n v="-879.10644999999977"/>
    <n v="79.807339999999613"/>
    <n v="0"/>
    <n v="0"/>
    <n v="-819.02492946102075"/>
    <n v="0"/>
    <n v="0"/>
    <n v="0"/>
    <n v="0"/>
    <n v="0"/>
    <n v="0"/>
    <n v="0"/>
    <n v="0"/>
    <n v="0"/>
    <n v="0"/>
    <n v="0"/>
    <n v="0"/>
    <n v="435.78777371133566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70"/>
    <s v="PROJETADO"/>
    <s v="Convencional"/>
    <s v="B2"/>
    <s v="Rural"/>
    <s v="Agropecuária rural"/>
    <s v="IRRIG./AQUIC. PR"/>
    <s v="Não se aplica"/>
    <s v="Não se aplica"/>
    <s v="CATIVO"/>
    <x v="11"/>
    <n v="0"/>
    <n v="0"/>
    <n v="3.4420000000000002"/>
    <n v="1.3768"/>
    <n v="3.4420000000000002"/>
    <n v="1.3768"/>
    <m/>
    <n v="333.61"/>
    <n v="128.11000000000001"/>
    <m/>
    <n v="1589.2402400000001"/>
    <n v="1589.2402400000001"/>
    <n v="1387.2292600000001"/>
    <n v="0"/>
    <n v="210.70564564333017"/>
    <n v="0"/>
    <n v="0"/>
    <n v="0"/>
    <n v="0"/>
    <n v="669.45591442579291"/>
    <n v="440.95822179547986"/>
    <n v="0"/>
    <n v="0"/>
    <n v="0"/>
    <n v="0"/>
    <n v="0"/>
    <n v="32.540153122067707"/>
    <m/>
    <n v="2.9614551733619034"/>
    <n v="11.96446141969011"/>
    <n v="63.82375167246061"/>
    <n v="0"/>
    <n v="0"/>
    <n v="0"/>
    <n v="0"/>
    <n v="0"/>
    <n v="0"/>
    <n v="0"/>
    <n v="0"/>
    <n v="0"/>
    <n v="0"/>
    <m/>
    <n v="0"/>
    <n v="0"/>
    <n v="0"/>
    <n v="0"/>
    <n v="0"/>
    <n v="46.702332420839383"/>
    <n v="0"/>
    <n v="0"/>
    <n v="0"/>
    <n v="0"/>
    <n v="0"/>
    <m/>
    <m/>
    <m/>
    <m/>
    <m/>
    <m/>
    <n v="898.93337199999985"/>
    <m/>
    <m/>
    <n v="487.66055421631927"/>
    <m/>
    <m/>
    <m/>
    <m/>
    <m/>
    <m/>
    <m/>
    <m/>
    <m/>
    <m/>
    <m/>
    <m/>
    <n v="489.43079999999998"/>
    <n v="-70.020576000000005"/>
    <m/>
    <m/>
    <m/>
    <m/>
    <n v="-222.18110000000004"/>
    <n v="20.170119999999951"/>
    <n v="31"/>
    <n v="4.9603243531992121"/>
    <n v="0.87335555421057798"/>
    <n v="4.6588664594604623"/>
    <n v="0"/>
    <n v="0"/>
    <n v="0"/>
    <n v="0"/>
    <n v="0"/>
    <n v="0"/>
    <n v="0"/>
    <n v="0"/>
    <n v="20.168172714469961"/>
    <n v="0"/>
    <n v="0"/>
    <n v="0"/>
    <n v="2.1360316235780772"/>
    <n v="0"/>
    <n v="-19.930896189357213"/>
    <m/>
    <n v="0"/>
    <n v="0"/>
    <n v="0"/>
    <n v="0"/>
    <n v="-2.5982199678325166"/>
    <n v="-0.3469858413299578"/>
    <n v="0"/>
    <n v="0"/>
    <m/>
    <m/>
    <m/>
    <n v="669.45591442579291"/>
    <n v="0"/>
    <n v="0"/>
    <n v="-222.18110000000001"/>
    <n v="20.17011999999994"/>
    <n v="0"/>
    <n v="0"/>
    <n v="-206.99638792898406"/>
    <n v="0"/>
    <n v="0"/>
    <n v="0"/>
    <n v="0"/>
    <n v="0"/>
    <n v="0"/>
    <n v="0"/>
    <n v="0"/>
    <n v="0"/>
    <n v="0"/>
    <n v="0"/>
    <n v="0"/>
    <n v="110.13888810591214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71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8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"/>
    <m/>
    <m/>
    <m/>
    <m/>
    <n v="0"/>
    <m/>
    <m/>
    <m/>
    <m/>
    <n v="0"/>
    <n v="0"/>
    <n v="0"/>
    <n v="0"/>
  </r>
  <r>
    <n v="572"/>
    <s v="PROJETADO"/>
    <s v="Convencional"/>
    <s v="B2"/>
    <s v="Rural"/>
    <s v="Aquicultura"/>
    <s v="IRRIG./AQUIC."/>
    <s v="Não se aplica"/>
    <s v="Não se aplica"/>
    <s v="CATIVO"/>
    <x v="11"/>
    <n v="0"/>
    <n v="0"/>
    <n v="0.104"/>
    <n v="0.104"/>
    <n v="0.104"/>
    <n v="0.104"/>
    <m/>
    <n v="333.61"/>
    <n v="128.11000000000001"/>
    <m/>
    <n v="48.018879999999996"/>
    <n v="48.018879999999996"/>
    <n v="41.915119999999995"/>
    <n v="0"/>
    <n v="6.3664692466317065"/>
    <n v="0"/>
    <n v="0"/>
    <n v="0"/>
    <n v="0"/>
    <n v="20.227604619489384"/>
    <n v="13.32354882821903"/>
    <n v="0"/>
    <n v="0"/>
    <n v="0"/>
    <n v="0"/>
    <n v="0"/>
    <n v="0.98320044296776332"/>
    <m/>
    <n v="8.9480342251492706E-2"/>
    <n v="0.36150609751533158"/>
    <n v="1.9284341005043297"/>
    <n v="0"/>
    <n v="0"/>
    <n v="0"/>
    <n v="0"/>
    <n v="0"/>
    <n v="0"/>
    <n v="0"/>
    <n v="0"/>
    <n v="0"/>
    <n v="0"/>
    <m/>
    <n v="0"/>
    <n v="0"/>
    <n v="0"/>
    <n v="0"/>
    <n v="0"/>
    <n v="1.4111105670445367"/>
    <n v="0"/>
    <n v="0"/>
    <n v="0"/>
    <n v="0"/>
    <n v="0"/>
    <m/>
    <m/>
    <m/>
    <m/>
    <m/>
    <n v="5.030479999999999"/>
    <m/>
    <m/>
    <m/>
    <n v="14.734659395263566"/>
    <m/>
    <m/>
    <m/>
    <m/>
    <m/>
    <m/>
    <m/>
    <m/>
    <m/>
    <m/>
    <m/>
    <m/>
    <n v="35.466000000000008"/>
    <n v="-6.8212799999999945"/>
    <m/>
    <m/>
    <m/>
    <m/>
    <n v="-6.7132000000000005"/>
    <n v="0.60943999999999843"/>
    <n v="31"/>
    <n v="0.14987615709841151"/>
    <n v="2.6388430458425371E-2"/>
    <n v="0.14076760946655686"/>
    <n v="0"/>
    <n v="0"/>
    <n v="0"/>
    <n v="0"/>
    <n v="0"/>
    <n v="0"/>
    <n v="0"/>
    <n v="0"/>
    <n v="0.60938116278468257"/>
    <n v="0"/>
    <n v="0"/>
    <n v="0"/>
    <n v="6.454017688905278E-2"/>
    <n v="0"/>
    <n v="-0.60221185464646965"/>
    <m/>
    <n v="0"/>
    <n v="0"/>
    <n v="0"/>
    <n v="0"/>
    <n v="-7.8505193682330554E-2"/>
    <n v="-1.0484174171503657E-2"/>
    <n v="0"/>
    <n v="0"/>
    <m/>
    <m/>
    <m/>
    <n v="20.227604619489384"/>
    <n v="0"/>
    <n v="0"/>
    <n v="-6.7132000000000005"/>
    <n v="0.60943999999999754"/>
    <n v="0"/>
    <n v="0"/>
    <n v="-6.2543940571221217"/>
    <n v="0"/>
    <n v="0"/>
    <n v="0"/>
    <n v="0"/>
    <n v="0"/>
    <n v="0"/>
    <n v="0"/>
    <n v="0"/>
    <n v="0"/>
    <n v="0"/>
    <n v="0"/>
    <n v="0"/>
    <n v="3.3278455441646897"/>
    <n v="0"/>
    <n v="0"/>
    <n v="0"/>
    <n v="0"/>
    <n v="0"/>
    <n v="230"/>
    <n v="0"/>
    <n v="0"/>
    <n v="0"/>
    <m/>
    <n v="0"/>
    <m/>
    <m/>
    <m/>
    <m/>
    <n v="0"/>
    <n v="0"/>
    <n v="0"/>
    <n v="0"/>
  </r>
  <r>
    <n v="573"/>
    <s v="PROJETADO"/>
    <s v="Convencional"/>
    <s v="B2"/>
    <s v="Rural"/>
    <s v="Aquicultura"/>
    <s v="IRRIG./AQUIC. PR"/>
    <s v="Não se aplica"/>
    <s v="Não se aplica"/>
    <s v="CATIVO"/>
    <x v="11"/>
    <n v="0"/>
    <n v="0"/>
    <n v="0.14799999999999999"/>
    <n v="5.9200000000000003E-2"/>
    <n v="0.14799999999999999"/>
    <n v="5.9200000000000003E-2"/>
    <m/>
    <n v="333.61"/>
    <n v="128.11000000000001"/>
    <m/>
    <n v="68.334559999999996"/>
    <n v="68.334559999999996"/>
    <n v="59.648439999999994"/>
    <n v="0"/>
    <n v="9.0599754663605054"/>
    <n v="0"/>
    <n v="0"/>
    <n v="0"/>
    <n v="0"/>
    <n v="28.785437343119508"/>
    <n v="18.960434870927081"/>
    <n v="0"/>
    <n v="0"/>
    <n v="0"/>
    <n v="0"/>
    <n v="0"/>
    <n v="1.3991698611464325"/>
    <m/>
    <n v="0.12733741012712424"/>
    <n v="0.51445098492566421"/>
    <n v="2.7443100661023152"/>
    <n v="0"/>
    <n v="0"/>
    <n v="0"/>
    <n v="0"/>
    <n v="0"/>
    <n v="0"/>
    <n v="0"/>
    <n v="0"/>
    <n v="0"/>
    <n v="0"/>
    <m/>
    <n v="0"/>
    <n v="0"/>
    <n v="0"/>
    <n v="0"/>
    <n v="0"/>
    <n v="2.0081188838710715"/>
    <n v="0"/>
    <n v="0"/>
    <n v="0"/>
    <n v="0"/>
    <n v="0"/>
    <m/>
    <m/>
    <m/>
    <m/>
    <m/>
    <m/>
    <n v="38.652567999999995"/>
    <m/>
    <m/>
    <n v="20.968553754798151"/>
    <m/>
    <m/>
    <m/>
    <m/>
    <m/>
    <m/>
    <m/>
    <m/>
    <m/>
    <m/>
    <m/>
    <m/>
    <n v="21.279600000000002"/>
    <n v="-2.8045440000000035"/>
    <m/>
    <m/>
    <m/>
    <m/>
    <n v="-9.5534000000000017"/>
    <n v="0.86727999999999772"/>
    <n v="31"/>
    <n v="0.21328530048620564"/>
    <n v="3.7552766421605321E-2"/>
    <n v="0.20032313654856138"/>
    <n v="0"/>
    <n v="0"/>
    <n v="0"/>
    <n v="0"/>
    <n v="0"/>
    <n v="0"/>
    <n v="0"/>
    <n v="0"/>
    <n v="0.86719627011666489"/>
    <n v="0"/>
    <n v="0"/>
    <n v="0"/>
    <n v="9.1845636342113846E-2"/>
    <n v="0"/>
    <n v="-0.85699379315074431"/>
    <m/>
    <n v="0"/>
    <n v="0"/>
    <n v="0"/>
    <n v="0"/>
    <n v="-0.11171892947100903"/>
    <n v="-1.4919786320985978E-2"/>
    <n v="0"/>
    <n v="0"/>
    <m/>
    <m/>
    <m/>
    <n v="28.785437343119508"/>
    <n v="0"/>
    <n v="0"/>
    <n v="-9.5534000000000034"/>
    <n v="0.86727999999999739"/>
    <n v="0"/>
    <n v="0"/>
    <n v="-8.9004838505199437"/>
    <n v="0"/>
    <n v="0"/>
    <n v="0"/>
    <n v="0"/>
    <n v="0"/>
    <n v="0"/>
    <n v="0"/>
    <n v="0"/>
    <n v="0"/>
    <n v="0"/>
    <n v="0"/>
    <n v="0"/>
    <n v="4.735780197465135"/>
    <n v="0"/>
    <n v="0"/>
    <n v="0"/>
    <n v="0"/>
    <n v="0"/>
    <n v="230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4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7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3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#DIV/0!"/>
        <filter val="#NÚM!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575" totalsRowShown="0" headerRowDxfId="447" dataDxfId="446" totalsRowDxfId="445">
  <autoFilter ref="A2:FI575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zoomScaleNormal="100" workbookViewId="0">
      <selection activeCell="C73" sqref="C73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2" t="s">
        <v>12</v>
      </c>
      <c r="C1" s="933"/>
      <c r="D1" s="933"/>
      <c r="E1" s="934" t="s">
        <v>13</v>
      </c>
      <c r="F1" s="935">
        <f ca="1">LnkTXTIRTEco</f>
        <v>1.49E-2</v>
      </c>
    </row>
    <row r="2" spans="2:43" ht="28.5" customHeight="1">
      <c r="B2" s="136" t="str">
        <f>CAPA!C9</f>
        <v>Coopera</v>
      </c>
      <c r="C2" s="70"/>
      <c r="D2" s="70"/>
      <c r="E2" s="83" t="s">
        <v>14</v>
      </c>
      <c r="F2" s="84">
        <f ca="1">LnkTXTIRTTotal</f>
        <v>6.0000000000000001E-3</v>
      </c>
      <c r="M2" s="85"/>
      <c r="N2" s="86"/>
      <c r="AA2" s="847"/>
      <c r="AB2" s="909"/>
      <c r="AC2" s="847"/>
      <c r="AD2" s="847"/>
    </row>
    <row r="3" spans="2:43" ht="21" customHeight="1">
      <c r="B3" s="936" t="s">
        <v>15</v>
      </c>
      <c r="C3" s="785"/>
      <c r="I3" s="936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7" t="s">
        <v>17</v>
      </c>
      <c r="C5" s="938">
        <v>332449.01199999999</v>
      </c>
      <c r="D5" s="1780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4" t="s">
        <v>27</v>
      </c>
      <c r="T5" s="480" t="s">
        <v>28</v>
      </c>
      <c r="U5" s="71" t="s">
        <v>29</v>
      </c>
      <c r="V5" s="784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2035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2059</v>
      </c>
      <c r="AP5" s="847" t="s">
        <v>37</v>
      </c>
      <c r="AQ5" s="847" t="s">
        <v>2060</v>
      </c>
    </row>
    <row r="6" spans="2:43" ht="16.5">
      <c r="B6" s="93"/>
      <c r="C6" s="88"/>
      <c r="D6" s="1781"/>
      <c r="E6" s="90"/>
      <c r="F6" s="72"/>
      <c r="G6" s="72"/>
      <c r="H6" s="68" t="str">
        <f>CONCATENATE(W6,J6,L6,O6)</f>
        <v>5697A3Não se aplicaEnergia</v>
      </c>
      <c r="I6" s="939">
        <v>2022</v>
      </c>
      <c r="J6" s="940" t="s">
        <v>535</v>
      </c>
      <c r="K6" s="940" t="s">
        <v>752</v>
      </c>
      <c r="L6" s="940" t="s">
        <v>1239</v>
      </c>
      <c r="M6" s="940" t="s">
        <v>154</v>
      </c>
      <c r="N6" s="940">
        <v>5370</v>
      </c>
      <c r="O6" s="940" t="s">
        <v>108</v>
      </c>
      <c r="P6" s="940" t="s">
        <v>753</v>
      </c>
      <c r="Q6" s="941">
        <v>44795</v>
      </c>
      <c r="R6" s="941">
        <v>44785</v>
      </c>
      <c r="S6" s="507" t="s">
        <v>2324</v>
      </c>
      <c r="T6" s="941" t="s">
        <v>2325</v>
      </c>
      <c r="U6" s="940">
        <v>6.29</v>
      </c>
      <c r="V6" s="940">
        <v>111</v>
      </c>
      <c r="W6" s="68">
        <f>VLOOKUP(V6,DescontosTE[[#All],[idsreag supridora]:[codsariSUP]],2,FALSE)</f>
        <v>5697</v>
      </c>
      <c r="AA6" s="848"/>
      <c r="AB6" s="849"/>
      <c r="AC6" s="848"/>
      <c r="AD6" s="848"/>
      <c r="AE6" s="848"/>
      <c r="AI6" s="895">
        <v>44348</v>
      </c>
      <c r="AJ6" s="896">
        <v>59062.12</v>
      </c>
      <c r="AL6" s="898" t="s">
        <v>2356</v>
      </c>
      <c r="AM6" s="899">
        <v>0</v>
      </c>
      <c r="AO6" s="1459" t="s">
        <v>2073</v>
      </c>
      <c r="AP6" s="1460"/>
      <c r="AQ6" s="1460"/>
    </row>
    <row r="7" spans="2:43" ht="16.5">
      <c r="B7" s="942" t="s">
        <v>38</v>
      </c>
      <c r="C7" s="943">
        <v>0</v>
      </c>
      <c r="D7" s="1781"/>
      <c r="E7" s="72"/>
      <c r="F7" s="72"/>
      <c r="G7" s="72"/>
      <c r="H7" s="68" t="str">
        <f t="shared" ref="H7:H30" si="0">CONCATENATE(W7,J7,L7,O7)</f>
        <v>5697A3PontaPotência</v>
      </c>
      <c r="I7" s="505">
        <v>2022</v>
      </c>
      <c r="J7" s="506" t="s">
        <v>535</v>
      </c>
      <c r="K7" s="506" t="s">
        <v>752</v>
      </c>
      <c r="L7" s="506" t="s">
        <v>893</v>
      </c>
      <c r="M7" s="506" t="s">
        <v>154</v>
      </c>
      <c r="N7" s="506">
        <v>5370</v>
      </c>
      <c r="O7" s="506" t="s">
        <v>1238</v>
      </c>
      <c r="P7" s="506" t="s">
        <v>753</v>
      </c>
      <c r="Q7" s="507">
        <v>44795</v>
      </c>
      <c r="R7" s="507">
        <v>44785</v>
      </c>
      <c r="S7" s="507" t="s">
        <v>2324</v>
      </c>
      <c r="T7" s="507" t="s">
        <v>2325</v>
      </c>
      <c r="U7" s="506">
        <v>23.96</v>
      </c>
      <c r="V7" s="506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>
        <v>44378</v>
      </c>
      <c r="AJ7" s="896">
        <v>44075.17</v>
      </c>
      <c r="AL7" s="898" t="s">
        <v>2357</v>
      </c>
      <c r="AM7" s="899">
        <v>0</v>
      </c>
      <c r="AO7" s="1459" t="s">
        <v>2074</v>
      </c>
      <c r="AP7" s="1460"/>
      <c r="AQ7" s="1460"/>
    </row>
    <row r="8" spans="2:43" ht="16.5">
      <c r="B8" s="93" t="s">
        <v>39</v>
      </c>
      <c r="C8" s="119">
        <v>0</v>
      </c>
      <c r="D8" s="1781"/>
      <c r="E8" s="72"/>
      <c r="F8" s="72"/>
      <c r="G8" s="72"/>
      <c r="H8" s="68" t="str">
        <f t="shared" si="0"/>
        <v>5697A3Fora pontaPotência</v>
      </c>
      <c r="I8" s="505">
        <v>2022</v>
      </c>
      <c r="J8" s="506" t="s">
        <v>535</v>
      </c>
      <c r="K8" s="506" t="s">
        <v>752</v>
      </c>
      <c r="L8" s="506" t="s">
        <v>2326</v>
      </c>
      <c r="M8" s="506" t="s">
        <v>154</v>
      </c>
      <c r="N8" s="506">
        <v>5370</v>
      </c>
      <c r="O8" s="506" t="s">
        <v>1238</v>
      </c>
      <c r="P8" s="506" t="s">
        <v>753</v>
      </c>
      <c r="Q8" s="507">
        <v>44795</v>
      </c>
      <c r="R8" s="507">
        <v>44785</v>
      </c>
      <c r="S8" s="507" t="s">
        <v>2324</v>
      </c>
      <c r="T8" s="507" t="s">
        <v>2325</v>
      </c>
      <c r="U8" s="506">
        <v>13.18</v>
      </c>
      <c r="V8" s="506">
        <v>111</v>
      </c>
      <c r="W8" s="68">
        <f>VLOOKUP(V8,DescontosTE[[#All],[idsreag supridora]:[codsariSUP]],2,FALSE)</f>
        <v>5697</v>
      </c>
      <c r="AI8" s="895">
        <v>44409</v>
      </c>
      <c r="AJ8" s="896">
        <v>43923.360000000001</v>
      </c>
      <c r="AL8" s="898" t="s">
        <v>2358</v>
      </c>
      <c r="AM8" s="899">
        <v>0</v>
      </c>
      <c r="AO8" s="1459" t="s">
        <v>2075</v>
      </c>
      <c r="AP8" s="1460"/>
      <c r="AQ8" s="1460"/>
    </row>
    <row r="9" spans="2:43" ht="16.5">
      <c r="B9" s="93" t="s">
        <v>40</v>
      </c>
      <c r="C9" s="119">
        <v>194641.68561373901</v>
      </c>
      <c r="D9" s="1781"/>
      <c r="E9" s="72"/>
      <c r="F9" s="72"/>
      <c r="G9" s="72"/>
      <c r="H9" s="68" t="e">
        <f t="shared" si="0"/>
        <v>#N/A</v>
      </c>
      <c r="I9" s="505"/>
      <c r="J9" s="506"/>
      <c r="K9" s="506"/>
      <c r="L9" s="506"/>
      <c r="M9" s="506"/>
      <c r="N9" s="506"/>
      <c r="O9" s="506"/>
      <c r="P9" s="506"/>
      <c r="Q9" s="507"/>
      <c r="R9" s="507"/>
      <c r="S9" s="507"/>
      <c r="T9" s="507"/>
      <c r="U9" s="506"/>
      <c r="V9" s="506"/>
      <c r="W9" s="68" t="e">
        <f>VLOOKUP(V9,DescontosTE[[#All],[idsreag supridora]:[codsariSUP]],2,FALSE)</f>
        <v>#N/A</v>
      </c>
      <c r="AI9" s="895">
        <v>44440</v>
      </c>
      <c r="AJ9" s="896">
        <v>44812.639999999999</v>
      </c>
      <c r="AL9" s="898" t="s">
        <v>2359</v>
      </c>
      <c r="AM9" s="899"/>
      <c r="AO9" s="1459"/>
      <c r="AP9" s="1460" t="s">
        <v>2076</v>
      </c>
      <c r="AQ9" s="1460"/>
    </row>
    <row r="10" spans="2:43" ht="16.5">
      <c r="B10" s="93" t="s">
        <v>41</v>
      </c>
      <c r="C10" s="119">
        <v>18021294.755259998</v>
      </c>
      <c r="D10" s="1781"/>
      <c r="H10" s="68" t="e">
        <f t="shared" si="0"/>
        <v>#N/A</v>
      </c>
      <c r="I10" s="505"/>
      <c r="J10" s="506"/>
      <c r="K10" s="506"/>
      <c r="L10" s="506"/>
      <c r="M10" s="506"/>
      <c r="N10" s="506"/>
      <c r="O10" s="506"/>
      <c r="P10" s="506"/>
      <c r="Q10" s="507"/>
      <c r="R10" s="507"/>
      <c r="S10" s="507"/>
      <c r="T10" s="507"/>
      <c r="U10" s="506"/>
      <c r="V10" s="506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>
        <v>44470</v>
      </c>
      <c r="AJ10" s="896">
        <v>45910.92</v>
      </c>
      <c r="AL10" s="898" t="s">
        <v>2360</v>
      </c>
      <c r="AM10" s="899">
        <v>0</v>
      </c>
    </row>
    <row r="11" spans="2:43" ht="16.5">
      <c r="B11" s="93" t="s">
        <v>46</v>
      </c>
      <c r="C11" s="119">
        <v>0</v>
      </c>
      <c r="D11" s="1781"/>
      <c r="H11" s="68" t="e">
        <f t="shared" si="0"/>
        <v>#N/A</v>
      </c>
      <c r="I11" s="505"/>
      <c r="J11" s="506"/>
      <c r="K11" s="506"/>
      <c r="L11" s="506"/>
      <c r="M11" s="506"/>
      <c r="N11" s="506"/>
      <c r="O11" s="506"/>
      <c r="P11" s="506"/>
      <c r="Q11" s="507"/>
      <c r="R11" s="507"/>
      <c r="S11" s="507"/>
      <c r="T11" s="507"/>
      <c r="U11" s="506"/>
      <c r="V11" s="506"/>
      <c r="W11" s="68" t="e">
        <f>VLOOKUP(V11,DescontosTE[[#All],[idsreag supridora]:[codsariSUP]],2,FALSE)</f>
        <v>#N/A</v>
      </c>
      <c r="AA11" s="848">
        <v>0.87029999999999996</v>
      </c>
      <c r="AB11" s="849">
        <v>195.04</v>
      </c>
      <c r="AC11" s="848">
        <v>14739.74</v>
      </c>
      <c r="AD11" s="848"/>
      <c r="AI11" s="895">
        <v>44501</v>
      </c>
      <c r="AJ11" s="896">
        <v>49169.13</v>
      </c>
      <c r="AL11" s="898" t="s">
        <v>2361</v>
      </c>
      <c r="AM11" s="899">
        <v>0</v>
      </c>
    </row>
    <row r="12" spans="2:43" ht="16.5">
      <c r="B12" s="93" t="s">
        <v>47</v>
      </c>
      <c r="C12" s="119">
        <v>3089595.4712</v>
      </c>
      <c r="D12" s="1781"/>
      <c r="H12" s="68" t="e">
        <f t="shared" si="0"/>
        <v>#N/A</v>
      </c>
      <c r="I12" s="505"/>
      <c r="J12" s="506"/>
      <c r="K12" s="506"/>
      <c r="L12" s="506"/>
      <c r="M12" s="506"/>
      <c r="N12" s="506"/>
      <c r="O12" s="506"/>
      <c r="P12" s="506"/>
      <c r="Q12" s="507"/>
      <c r="R12" s="507"/>
      <c r="S12" s="507"/>
      <c r="T12" s="507"/>
      <c r="U12" s="506"/>
      <c r="V12" s="506"/>
      <c r="W12" s="68" t="e">
        <f>VLOOKUP(V12,DescontosTE[[#All],[idsreag supridora]:[codsariSUP]],2,FALSE)</f>
        <v>#N/A</v>
      </c>
      <c r="AI12" s="895">
        <v>44531</v>
      </c>
      <c r="AJ12" s="896">
        <v>54526.85</v>
      </c>
      <c r="AL12" s="898" t="s">
        <v>2362</v>
      </c>
      <c r="AM12" s="899">
        <v>0</v>
      </c>
    </row>
    <row r="13" spans="2:43" ht="16.5">
      <c r="B13" s="93" t="s">
        <v>48</v>
      </c>
      <c r="C13" s="119">
        <v>0</v>
      </c>
      <c r="D13" s="1781"/>
      <c r="H13" s="68" t="e">
        <f t="shared" si="0"/>
        <v>#N/A</v>
      </c>
      <c r="I13" s="505"/>
      <c r="J13" s="506"/>
      <c r="K13" s="506"/>
      <c r="L13" s="506"/>
      <c r="M13" s="506"/>
      <c r="N13" s="506"/>
      <c r="O13" s="506"/>
      <c r="P13" s="506"/>
      <c r="Q13" s="507"/>
      <c r="R13" s="507"/>
      <c r="S13" s="507"/>
      <c r="T13" s="507"/>
      <c r="U13" s="506"/>
      <c r="V13" s="506"/>
      <c r="W13" s="68" t="e">
        <f>VLOOKUP(V13,DescontosTE[[#All],[idsreag supridora]:[codsariSUP]],2,FALSE)</f>
        <v>#N/A</v>
      </c>
      <c r="AI13" s="895">
        <v>44562</v>
      </c>
      <c r="AJ13" s="896">
        <v>50385.03</v>
      </c>
      <c r="AL13" s="898" t="s">
        <v>2363</v>
      </c>
      <c r="AM13" s="899">
        <v>0</v>
      </c>
    </row>
    <row r="14" spans="2:43" ht="16.5">
      <c r="B14" s="93" t="s">
        <v>49</v>
      </c>
      <c r="C14" s="119">
        <v>0</v>
      </c>
      <c r="D14" s="1781"/>
      <c r="H14" s="68" t="e">
        <f t="shared" si="0"/>
        <v>#N/A</v>
      </c>
      <c r="I14" s="505"/>
      <c r="J14" s="506"/>
      <c r="K14" s="506"/>
      <c r="L14" s="506"/>
      <c r="M14" s="506"/>
      <c r="N14" s="506"/>
      <c r="O14" s="506"/>
      <c r="P14" s="506"/>
      <c r="Q14" s="507"/>
      <c r="R14" s="507"/>
      <c r="S14" s="507"/>
      <c r="T14" s="507"/>
      <c r="U14" s="506"/>
      <c r="V14" s="506"/>
      <c r="W14" s="68" t="e">
        <f>VLOOKUP(V14,DescontosTE[[#All],[idsreag supridora]:[codsariSUP]],2,FALSE)</f>
        <v>#N/A</v>
      </c>
      <c r="AA14" s="797"/>
      <c r="AB14" s="797"/>
      <c r="AC14" s="797"/>
      <c r="AI14" s="895">
        <v>44593</v>
      </c>
      <c r="AJ14" s="896">
        <v>50097.7</v>
      </c>
      <c r="AL14" s="898" t="s">
        <v>2364</v>
      </c>
      <c r="AM14" s="899">
        <v>0</v>
      </c>
    </row>
    <row r="15" spans="2:43" ht="16.5">
      <c r="B15" s="944" t="s">
        <v>2036</v>
      </c>
      <c r="C15" s="945">
        <v>9419991.3842511307</v>
      </c>
      <c r="D15" s="1781"/>
      <c r="F15" s="92"/>
      <c r="H15" s="68" t="e">
        <f t="shared" si="0"/>
        <v>#N/A</v>
      </c>
      <c r="I15" s="505"/>
      <c r="J15" s="506"/>
      <c r="K15" s="506"/>
      <c r="L15" s="506"/>
      <c r="M15" s="506"/>
      <c r="N15" s="506"/>
      <c r="O15" s="506"/>
      <c r="P15" s="506"/>
      <c r="Q15" s="507"/>
      <c r="R15" s="507"/>
      <c r="S15" s="507"/>
      <c r="T15" s="507"/>
      <c r="U15" s="506"/>
      <c r="V15" s="506"/>
      <c r="W15" s="68" t="e">
        <f>VLOOKUP(V15,DescontosTE[[#All],[idsreag supridora]:[codsariSUP]],2,FALSE)</f>
        <v>#N/A</v>
      </c>
      <c r="AA15" s="901" t="s">
        <v>109</v>
      </c>
      <c r="AB15" s="901" t="s">
        <v>898</v>
      </c>
      <c r="AC15" s="797"/>
      <c r="AI15" s="895">
        <v>44621</v>
      </c>
      <c r="AJ15" s="896">
        <v>56236.11</v>
      </c>
      <c r="AL15" s="898"/>
      <c r="AM15" s="899"/>
    </row>
    <row r="16" spans="2:43" ht="16.5">
      <c r="D16" s="1781"/>
      <c r="F16" s="92"/>
      <c r="H16" s="68" t="e">
        <f t="shared" si="0"/>
        <v>#N/A</v>
      </c>
      <c r="I16" s="505"/>
      <c r="J16" s="506"/>
      <c r="K16" s="506"/>
      <c r="L16" s="506"/>
      <c r="M16" s="506"/>
      <c r="N16" s="506"/>
      <c r="O16" s="506"/>
      <c r="P16" s="506"/>
      <c r="Q16" s="507"/>
      <c r="R16" s="507"/>
      <c r="S16" s="507"/>
      <c r="T16" s="507"/>
      <c r="U16" s="506"/>
      <c r="V16" s="506"/>
      <c r="W16" s="68" t="e">
        <f>VLOOKUP(V16,DescontosTE[[#All],[idsreag supridora]:[codsariSUP]],2,FALSE)</f>
        <v>#N/A</v>
      </c>
      <c r="AA16" s="848">
        <v>2022</v>
      </c>
      <c r="AB16" s="849">
        <v>5759.4236211601437</v>
      </c>
      <c r="AC16" s="847"/>
      <c r="AI16" s="895">
        <v>44652</v>
      </c>
      <c r="AJ16" s="896">
        <v>52062.39</v>
      </c>
      <c r="AL16" s="898"/>
      <c r="AM16" s="899"/>
    </row>
    <row r="17" spans="2:42" ht="16.5">
      <c r="B17" s="937" t="s">
        <v>50</v>
      </c>
      <c r="C17" s="946"/>
      <c r="D17" s="1781"/>
      <c r="F17" s="92"/>
      <c r="H17" s="68" t="e">
        <f t="shared" si="0"/>
        <v>#N/A</v>
      </c>
      <c r="I17" s="505"/>
      <c r="J17" s="506"/>
      <c r="K17" s="506"/>
      <c r="L17" s="506"/>
      <c r="M17" s="506"/>
      <c r="N17" s="506"/>
      <c r="O17" s="506"/>
      <c r="P17" s="506"/>
      <c r="Q17" s="507"/>
      <c r="R17" s="507"/>
      <c r="S17" s="507"/>
      <c r="T17" s="507"/>
      <c r="U17" s="506"/>
      <c r="V17" s="506"/>
      <c r="W17" s="68" t="e">
        <f>VLOOKUP(V17,DescontosTE[[#All],[idsreag supridora]:[codsariSUP]],2,FALSE)</f>
        <v>#N/A</v>
      </c>
      <c r="AI17" s="895">
        <v>44682</v>
      </c>
      <c r="AJ17" s="896">
        <v>51659.69</v>
      </c>
      <c r="AL17" s="854"/>
      <c r="AM17" s="849"/>
    </row>
    <row r="18" spans="2:42" ht="16.5">
      <c r="B18" s="93" t="s">
        <v>51</v>
      </c>
      <c r="C18" s="119">
        <v>6498549</v>
      </c>
      <c r="D18" s="1781"/>
      <c r="F18" s="92"/>
      <c r="H18" s="68" t="e">
        <f t="shared" si="0"/>
        <v>#N/A</v>
      </c>
      <c r="I18" s="505"/>
      <c r="J18" s="506"/>
      <c r="K18" s="506"/>
      <c r="L18" s="506"/>
      <c r="M18" s="506"/>
      <c r="N18" s="506"/>
      <c r="O18" s="506"/>
      <c r="P18" s="506"/>
      <c r="Q18" s="507"/>
      <c r="R18" s="507"/>
      <c r="S18" s="507"/>
      <c r="T18" s="507"/>
      <c r="U18" s="506"/>
      <c r="V18" s="506"/>
      <c r="W18" s="68" t="e">
        <f>VLOOKUP(V18,DescontosTE[[#All],[idsreag supridora]:[codsariSUP]],2,FALSE)</f>
        <v>#N/A</v>
      </c>
      <c r="AI18" s="895">
        <v>44713</v>
      </c>
      <c r="AJ18" s="896">
        <v>50988.82</v>
      </c>
      <c r="AL18" s="854"/>
      <c r="AM18" s="849"/>
    </row>
    <row r="19" spans="2:42" ht="16.5">
      <c r="B19" s="93" t="s">
        <v>52</v>
      </c>
      <c r="C19" s="119">
        <v>1213380</v>
      </c>
      <c r="D19" s="1781"/>
      <c r="F19" s="92"/>
      <c r="H19" s="68" t="e">
        <f t="shared" si="0"/>
        <v>#N/A</v>
      </c>
      <c r="I19" s="505"/>
      <c r="J19" s="506"/>
      <c r="K19" s="506"/>
      <c r="L19" s="506"/>
      <c r="M19" s="506"/>
      <c r="N19" s="506"/>
      <c r="O19" s="506"/>
      <c r="P19" s="506"/>
      <c r="Q19" s="507"/>
      <c r="R19" s="507"/>
      <c r="S19" s="507"/>
      <c r="T19" s="507"/>
      <c r="U19" s="506"/>
      <c r="V19" s="506"/>
      <c r="W19" s="68" t="e">
        <f>VLOOKUP(V19,DescontosTE[[#All],[idsreag supridora]:[codsariSUP]],2,FALSE)</f>
        <v>#N/A</v>
      </c>
      <c r="AI19" s="895">
        <v>44743</v>
      </c>
      <c r="AJ19" s="896">
        <v>59605.5</v>
      </c>
    </row>
    <row r="20" spans="2:42" ht="16.5">
      <c r="B20" s="93" t="s">
        <v>53</v>
      </c>
      <c r="C20" s="119"/>
      <c r="D20" s="1781"/>
      <c r="F20" s="92"/>
      <c r="H20" s="68" t="e">
        <f t="shared" si="0"/>
        <v>#N/A</v>
      </c>
      <c r="I20" s="505"/>
      <c r="J20" s="506"/>
      <c r="K20" s="506"/>
      <c r="L20" s="506"/>
      <c r="M20" s="506"/>
      <c r="N20" s="506"/>
      <c r="O20" s="506"/>
      <c r="P20" s="506"/>
      <c r="Q20" s="507"/>
      <c r="R20" s="507"/>
      <c r="S20" s="507"/>
      <c r="T20" s="507"/>
      <c r="U20" s="506"/>
      <c r="V20" s="506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>
        <v>44774</v>
      </c>
      <c r="AJ20" s="849">
        <v>59489.75</v>
      </c>
    </row>
    <row r="21" spans="2:42" ht="16.5">
      <c r="B21" s="93" t="s">
        <v>55</v>
      </c>
      <c r="C21" s="119"/>
      <c r="D21" s="1781"/>
      <c r="F21" s="92"/>
      <c r="H21" s="68" t="e">
        <f t="shared" si="0"/>
        <v>#N/A</v>
      </c>
      <c r="I21" s="505"/>
      <c r="J21" s="506"/>
      <c r="K21" s="506"/>
      <c r="L21" s="506"/>
      <c r="M21" s="506"/>
      <c r="N21" s="506"/>
      <c r="O21" s="506"/>
      <c r="P21" s="506"/>
      <c r="Q21" s="507"/>
      <c r="R21" s="507"/>
      <c r="S21" s="507"/>
      <c r="T21" s="507"/>
      <c r="U21" s="506"/>
      <c r="V21" s="506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81"/>
      <c r="H22" s="68" t="e">
        <f t="shared" si="0"/>
        <v>#N/A</v>
      </c>
      <c r="I22" s="505"/>
      <c r="J22" s="506"/>
      <c r="K22" s="506"/>
      <c r="L22" s="506"/>
      <c r="M22" s="506"/>
      <c r="N22" s="506"/>
      <c r="O22" s="506"/>
      <c r="P22" s="506"/>
      <c r="Q22" s="507"/>
      <c r="R22" s="507"/>
      <c r="S22" s="507"/>
      <c r="T22" s="507"/>
      <c r="U22" s="506"/>
      <c r="V22" s="506"/>
      <c r="W22" s="68" t="e">
        <f>VLOOKUP(V22,DescontosTE[[#All],[idsreag supridora]:[codsariSUP]],2,FALSE)</f>
        <v>#N/A</v>
      </c>
      <c r="AA22" s="848"/>
      <c r="AB22" s="849"/>
      <c r="AC22" s="848"/>
      <c r="AD22" s="848"/>
      <c r="AE22" s="849"/>
      <c r="AF22" s="854"/>
      <c r="AG22" s="848"/>
    </row>
    <row r="23" spans="2:42" ht="16.5">
      <c r="B23" s="93" t="s">
        <v>64</v>
      </c>
      <c r="C23" s="119"/>
      <c r="D23" s="1781"/>
      <c r="F23" s="92"/>
      <c r="H23" s="68" t="e">
        <f t="shared" si="0"/>
        <v>#N/A</v>
      </c>
      <c r="I23" s="505"/>
      <c r="J23" s="506"/>
      <c r="K23" s="506"/>
      <c r="L23" s="506"/>
      <c r="M23" s="506"/>
      <c r="N23" s="506"/>
      <c r="O23" s="506"/>
      <c r="P23" s="506"/>
      <c r="Q23" s="507"/>
      <c r="R23" s="507"/>
      <c r="S23" s="507"/>
      <c r="T23" s="507"/>
      <c r="U23" s="506"/>
      <c r="V23" s="506"/>
      <c r="W23" s="68" t="e">
        <f>VLOOKUP(V23,DescontosTE[[#All],[idsreag supridora]:[codsariSUP]],2,FALSE)</f>
        <v>#N/A</v>
      </c>
      <c r="AA23" s="848"/>
      <c r="AB23" s="849"/>
      <c r="AC23" s="848"/>
      <c r="AD23" s="848"/>
      <c r="AE23" s="849"/>
      <c r="AF23" s="848"/>
      <c r="AG23" s="848"/>
      <c r="AI23" s="847" t="s">
        <v>2063</v>
      </c>
      <c r="AM23" s="847" t="s">
        <v>2067</v>
      </c>
    </row>
    <row r="24" spans="2:42" ht="16.5">
      <c r="B24" s="93" t="s">
        <v>65</v>
      </c>
      <c r="C24" s="119">
        <v>0</v>
      </c>
      <c r="D24" s="1781"/>
      <c r="F24" s="92"/>
      <c r="H24" s="68" t="e">
        <f t="shared" si="0"/>
        <v>#N/A</v>
      </c>
      <c r="I24" s="505"/>
      <c r="J24" s="506"/>
      <c r="K24" s="506"/>
      <c r="L24" s="506"/>
      <c r="M24" s="506"/>
      <c r="N24" s="506"/>
      <c r="O24" s="506"/>
      <c r="P24" s="506"/>
      <c r="Q24" s="507"/>
      <c r="R24" s="507"/>
      <c r="S24" s="507"/>
      <c r="T24" s="507"/>
      <c r="U24" s="506"/>
      <c r="V24" s="506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1417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0</v>
      </c>
      <c r="D25" s="1781"/>
      <c r="H25" s="68" t="e">
        <f t="shared" si="0"/>
        <v>#N/A</v>
      </c>
      <c r="I25" s="505"/>
      <c r="J25" s="506"/>
      <c r="K25" s="506"/>
      <c r="L25" s="506"/>
      <c r="M25" s="506"/>
      <c r="N25" s="506"/>
      <c r="O25" s="506"/>
      <c r="P25" s="506"/>
      <c r="Q25" s="507"/>
      <c r="R25" s="507"/>
      <c r="S25" s="507"/>
      <c r="T25" s="507"/>
      <c r="U25" s="506"/>
      <c r="V25" s="506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2077</v>
      </c>
      <c r="AJ25" s="257" t="s">
        <v>41</v>
      </c>
      <c r="AK25" s="69">
        <v>-1704655.5818105501</v>
      </c>
      <c r="AM25" s="1463" t="s">
        <v>104</v>
      </c>
      <c r="AN25" s="1463"/>
      <c r="AO25" s="1463" t="s">
        <v>2370</v>
      </c>
      <c r="AP25" s="1462">
        <v>-14333926.7217062</v>
      </c>
    </row>
    <row r="26" spans="2:42" ht="16.5">
      <c r="B26" s="937" t="s">
        <v>67</v>
      </c>
      <c r="C26" s="947">
        <v>44000000</v>
      </c>
      <c r="D26" s="1781"/>
      <c r="H26" s="68" t="e">
        <f t="shared" si="0"/>
        <v>#N/A</v>
      </c>
      <c r="I26" s="505"/>
      <c r="J26" s="506"/>
      <c r="K26" s="506"/>
      <c r="L26" s="506"/>
      <c r="M26" s="506"/>
      <c r="N26" s="506"/>
      <c r="O26" s="506"/>
      <c r="P26" s="506"/>
      <c r="Q26" s="507"/>
      <c r="R26" s="507"/>
      <c r="S26" s="507"/>
      <c r="T26" s="507"/>
      <c r="U26" s="506"/>
      <c r="V26" s="506"/>
      <c r="W26" s="68" t="e">
        <f>VLOOKUP(V26,DescontosTE[[#All],[idsreag supridora]:[codsariSUP]],2,FALSE)</f>
        <v>#N/A</v>
      </c>
      <c r="AA26" s="901" t="s">
        <v>2068</v>
      </c>
      <c r="AB26" s="901" t="s">
        <v>37</v>
      </c>
      <c r="AD26" s="847"/>
      <c r="AE26" s="909"/>
      <c r="AF26" s="847"/>
      <c r="AG26" s="847"/>
      <c r="AI26" s="257" t="s">
        <v>2077</v>
      </c>
      <c r="AJ26" s="257" t="s">
        <v>47</v>
      </c>
      <c r="AK26" s="69">
        <v>-246693.63465142201</v>
      </c>
      <c r="AM26" s="1463"/>
      <c r="AN26" s="1463"/>
      <c r="AO26" s="1463"/>
      <c r="AP26" s="1462"/>
    </row>
    <row r="27" spans="2:42" ht="16.5">
      <c r="C27" s="69"/>
      <c r="D27" s="1781"/>
      <c r="H27" s="68" t="e">
        <f t="shared" si="0"/>
        <v>#N/A</v>
      </c>
      <c r="I27" s="505"/>
      <c r="J27" s="506"/>
      <c r="K27" s="506"/>
      <c r="L27" s="506"/>
      <c r="M27" s="506"/>
      <c r="N27" s="506"/>
      <c r="O27" s="506"/>
      <c r="P27" s="506"/>
      <c r="Q27" s="507"/>
      <c r="R27" s="507"/>
      <c r="S27" s="507"/>
      <c r="T27" s="507"/>
      <c r="U27" s="506"/>
      <c r="V27" s="506"/>
      <c r="W27" s="68" t="e">
        <f>VLOOKUP(V27,DescontosTE[[#All],[idsreag supridora]:[codsariSUP]],2,FALSE)</f>
        <v>#N/A</v>
      </c>
      <c r="AA27" s="848" t="s">
        <v>2070</v>
      </c>
      <c r="AB27" s="849"/>
      <c r="AI27" s="257" t="s">
        <v>2077</v>
      </c>
      <c r="AJ27" s="257" t="s">
        <v>40</v>
      </c>
      <c r="AK27" s="69">
        <v>-22805.649617142099</v>
      </c>
      <c r="AM27" s="1463"/>
      <c r="AN27" s="1463"/>
      <c r="AO27" s="1463"/>
      <c r="AP27" s="1462"/>
    </row>
    <row r="28" spans="2:42" ht="16.5">
      <c r="B28" s="936" t="s">
        <v>68</v>
      </c>
      <c r="C28" s="948"/>
      <c r="D28" s="1781"/>
      <c r="H28" s="68" t="e">
        <f t="shared" si="0"/>
        <v>#N/A</v>
      </c>
      <c r="I28" s="505"/>
      <c r="J28" s="506"/>
      <c r="K28" s="506"/>
      <c r="L28" s="506"/>
      <c r="M28" s="506"/>
      <c r="N28" s="506"/>
      <c r="O28" s="506"/>
      <c r="P28" s="506"/>
      <c r="Q28" s="507"/>
      <c r="R28" s="507"/>
      <c r="S28" s="507"/>
      <c r="T28" s="507"/>
      <c r="U28" s="506"/>
      <c r="V28" s="506"/>
      <c r="W28" s="68" t="e">
        <f>VLOOKUP(V28,DescontosTE[[#All],[idsreag supridora]:[codsariSUP]],2,FALSE)</f>
        <v>#N/A</v>
      </c>
      <c r="AA28" s="848" t="s">
        <v>2071</v>
      </c>
      <c r="AB28" s="849"/>
      <c r="AI28" s="257" t="s">
        <v>2078</v>
      </c>
      <c r="AJ28" s="257" t="s">
        <v>2079</v>
      </c>
      <c r="AK28" s="69">
        <v>2035792.3190969599</v>
      </c>
      <c r="AM28" s="1463"/>
      <c r="AN28" s="1463"/>
      <c r="AO28" s="1463"/>
      <c r="AP28" s="1462"/>
    </row>
    <row r="29" spans="2:42" ht="18" customHeight="1">
      <c r="D29" s="1781"/>
      <c r="H29" s="68" t="e">
        <f t="shared" si="0"/>
        <v>#N/A</v>
      </c>
      <c r="I29" s="505"/>
      <c r="J29" s="506"/>
      <c r="K29" s="506"/>
      <c r="L29" s="506"/>
      <c r="M29" s="506"/>
      <c r="N29" s="506"/>
      <c r="O29" s="506"/>
      <c r="P29" s="506"/>
      <c r="Q29" s="507"/>
      <c r="R29" s="507"/>
      <c r="S29" s="507"/>
      <c r="T29" s="507"/>
      <c r="U29" s="506"/>
      <c r="V29" s="506"/>
      <c r="W29" s="68" t="e">
        <f>VLOOKUP(V29,DescontosTE[[#All],[idsreag supridora]:[codsariSUP]],2,FALSE)</f>
        <v>#N/A</v>
      </c>
      <c r="AA29" s="848"/>
      <c r="AB29" s="849"/>
      <c r="AI29" s="257" t="s">
        <v>2080</v>
      </c>
      <c r="AJ29" s="257" t="s">
        <v>2368</v>
      </c>
      <c r="AK29" s="69">
        <v>88571.656106811599</v>
      </c>
      <c r="AM29" s="1463"/>
      <c r="AN29" s="1463"/>
      <c r="AO29" s="1463"/>
      <c r="AP29" s="1462"/>
    </row>
    <row r="30" spans="2:42" ht="16.5">
      <c r="B30" s="949"/>
      <c r="C30" s="950"/>
      <c r="D30" s="1781"/>
      <c r="H30" s="68" t="e">
        <f t="shared" si="0"/>
        <v>#N/A</v>
      </c>
      <c r="I30" s="505"/>
      <c r="J30" s="506"/>
      <c r="K30" s="506"/>
      <c r="L30" s="506"/>
      <c r="M30" s="506"/>
      <c r="N30" s="506"/>
      <c r="O30" s="506"/>
      <c r="P30" s="506"/>
      <c r="Q30" s="507"/>
      <c r="R30" s="507"/>
      <c r="S30" s="507"/>
      <c r="T30" s="507"/>
      <c r="U30" s="506"/>
      <c r="V30" s="506"/>
      <c r="W30" s="68" t="e">
        <f>VLOOKUP(V30,DescontosTE[[#All],[idsreag supridora]:[codsariSUP]],2,FALSE)</f>
        <v>#N/A</v>
      </c>
      <c r="AA30" s="848"/>
      <c r="AB30" s="849"/>
      <c r="AI30" s="257" t="s">
        <v>2080</v>
      </c>
      <c r="AJ30" s="257" t="s">
        <v>2369</v>
      </c>
      <c r="AK30" s="69">
        <v>474366.84898487298</v>
      </c>
      <c r="AM30" s="1463"/>
      <c r="AN30" s="1463"/>
      <c r="AO30" s="1463"/>
      <c r="AP30" s="1462"/>
    </row>
    <row r="31" spans="2:42">
      <c r="B31" s="652" t="s">
        <v>69</v>
      </c>
      <c r="C31" s="653">
        <v>5.6651375974321801E-2</v>
      </c>
      <c r="D31" s="1782"/>
      <c r="AI31" s="257" t="s">
        <v>104</v>
      </c>
      <c r="AJ31" s="257"/>
      <c r="AK31" s="69">
        <v>-13604840.696175311</v>
      </c>
      <c r="AM31" s="1463"/>
      <c r="AN31" s="1463"/>
      <c r="AO31" s="1463"/>
      <c r="AP31" s="1462"/>
    </row>
    <row r="32" spans="2:42">
      <c r="B32" s="951" t="s">
        <v>70</v>
      </c>
      <c r="C32" s="952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2179</v>
      </c>
      <c r="AI33" s="257"/>
      <c r="AJ33" s="257"/>
      <c r="AK33" s="69"/>
    </row>
    <row r="34" spans="1:37">
      <c r="B34" s="936"/>
      <c r="C34" s="948"/>
      <c r="AA34" s="68" t="s">
        <v>34</v>
      </c>
      <c r="AB34" s="68" t="s">
        <v>2180</v>
      </c>
      <c r="AC34" s="68" t="s">
        <v>2181</v>
      </c>
      <c r="AD34" s="68" t="s">
        <v>2182</v>
      </c>
      <c r="AI34" s="257"/>
      <c r="AJ34" s="257"/>
      <c r="AK34" s="69"/>
    </row>
    <row r="35" spans="1:37">
      <c r="B35" s="949" t="s">
        <v>41</v>
      </c>
      <c r="C35" s="953">
        <v>15808950.862120003</v>
      </c>
      <c r="AA35" s="196"/>
      <c r="AB35" s="1575"/>
      <c r="AC35" s="1575"/>
      <c r="AD35" s="1575"/>
      <c r="AI35" s="257"/>
      <c r="AJ35" s="257"/>
      <c r="AK35" s="69"/>
    </row>
    <row r="36" spans="1:37">
      <c r="B36" s="652" t="s">
        <v>47</v>
      </c>
      <c r="C36" s="87">
        <v>2228167.5502300006</v>
      </c>
      <c r="AA36" s="196"/>
      <c r="AB36" s="1575"/>
      <c r="AC36" s="1575"/>
      <c r="AD36" s="1575"/>
      <c r="AI36" s="257"/>
      <c r="AJ36" s="257"/>
      <c r="AK36" s="69"/>
    </row>
    <row r="37" spans="1:37">
      <c r="B37" s="951" t="s">
        <v>40</v>
      </c>
      <c r="C37" s="954">
        <v>234411.79105772576</v>
      </c>
      <c r="AA37" s="196"/>
      <c r="AB37" s="1575"/>
      <c r="AC37" s="1575"/>
      <c r="AD37" s="1575"/>
      <c r="AI37" s="257"/>
      <c r="AJ37" s="257"/>
      <c r="AK37" s="69"/>
    </row>
    <row r="38" spans="1:37">
      <c r="AA38" s="196"/>
      <c r="AB38" s="1575"/>
      <c r="AC38" s="1575"/>
      <c r="AD38" s="1575"/>
      <c r="AI38" s="257"/>
      <c r="AJ38" s="257"/>
      <c r="AK38" s="69"/>
    </row>
    <row r="39" spans="1:37">
      <c r="D39" s="89"/>
      <c r="AA39" s="196"/>
      <c r="AB39" s="1575"/>
      <c r="AC39" s="1575"/>
      <c r="AD39" s="1575"/>
      <c r="AI39" s="257"/>
      <c r="AJ39" s="257"/>
      <c r="AK39" s="69"/>
    </row>
    <row r="40" spans="1:37" ht="16.5">
      <c r="B40" s="951"/>
      <c r="C40" s="72"/>
      <c r="D40" s="9"/>
      <c r="E40" s="9" t="s">
        <v>74</v>
      </c>
      <c r="F40" s="9"/>
      <c r="AA40" s="196"/>
      <c r="AB40" s="1575"/>
      <c r="AC40" s="1575"/>
      <c r="AD40" s="1575"/>
      <c r="AI40" s="257"/>
      <c r="AJ40" s="257"/>
      <c r="AK40" s="69"/>
    </row>
    <row r="41" spans="1:37" ht="16.5">
      <c r="A41" s="955">
        <f>DATE(YEAR(B41),MONTH(B41),1)</f>
        <v>44470</v>
      </c>
      <c r="B41" s="941">
        <v>44476</v>
      </c>
      <c r="C41" s="531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5"/>
      <c r="AC41" s="1575"/>
      <c r="AD41" s="1575"/>
      <c r="AI41" s="257"/>
      <c r="AJ41" s="257"/>
      <c r="AK41" s="69"/>
    </row>
    <row r="42" spans="1:37" ht="16.5">
      <c r="A42" s="955">
        <f t="shared" ref="A42:A57" si="1">DATE(YEAR(B42),MONTH(B42),1)</f>
        <v>44501</v>
      </c>
      <c r="B42" s="507">
        <v>44509</v>
      </c>
      <c r="C42" s="531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4" t="s">
        <v>20</v>
      </c>
      <c r="J42" s="784" t="s">
        <v>21</v>
      </c>
      <c r="K42" s="784"/>
      <c r="L42" s="784" t="s">
        <v>22</v>
      </c>
      <c r="M42" s="784" t="s">
        <v>23</v>
      </c>
      <c r="N42" s="784" t="s">
        <v>24</v>
      </c>
      <c r="O42" s="784" t="s">
        <v>25</v>
      </c>
      <c r="P42" s="784" t="s">
        <v>26</v>
      </c>
      <c r="Q42" s="784" t="s">
        <v>27</v>
      </c>
      <c r="R42" s="784" t="s">
        <v>28</v>
      </c>
      <c r="S42" s="785" t="s">
        <v>29</v>
      </c>
      <c r="T42" s="784" t="s">
        <v>30</v>
      </c>
      <c r="AA42" s="196"/>
      <c r="AB42" s="1575"/>
      <c r="AC42" s="1575"/>
      <c r="AD42" s="1575"/>
      <c r="AI42" s="257"/>
      <c r="AJ42" s="257"/>
      <c r="AK42" s="69"/>
    </row>
    <row r="43" spans="1:37" ht="16.5">
      <c r="A43" s="955">
        <f t="shared" si="1"/>
        <v>44531</v>
      </c>
      <c r="B43" s="507">
        <v>44538</v>
      </c>
      <c r="C43" s="531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5697A3</v>
      </c>
      <c r="I43" s="505">
        <v>2022</v>
      </c>
      <c r="J43" s="506" t="s">
        <v>535</v>
      </c>
      <c r="K43" s="506" t="s">
        <v>2327</v>
      </c>
      <c r="L43" s="506" t="s">
        <v>1239</v>
      </c>
      <c r="M43" s="506" t="s">
        <v>154</v>
      </c>
      <c r="N43" s="506">
        <v>5370</v>
      </c>
      <c r="O43" s="507">
        <v>44795</v>
      </c>
      <c r="P43" s="507">
        <v>44785</v>
      </c>
      <c r="Q43" s="507" t="s">
        <v>2324</v>
      </c>
      <c r="R43" s="507" t="s">
        <v>2325</v>
      </c>
      <c r="S43" s="506">
        <v>284.99</v>
      </c>
      <c r="T43" s="506">
        <v>111</v>
      </c>
      <c r="U43" s="68">
        <f>VLOOKUP(T43,DescontosTE[[#All],[idsreag supridora]:[codsariSUP]],2,FALSE)</f>
        <v>5697</v>
      </c>
      <c r="AA43" s="196"/>
      <c r="AB43" s="1575"/>
      <c r="AC43" s="1575"/>
      <c r="AD43" s="1575"/>
      <c r="AI43" s="257"/>
      <c r="AJ43" s="257"/>
      <c r="AK43" s="69"/>
    </row>
    <row r="44" spans="1:37" ht="16.5">
      <c r="A44" s="955">
        <f t="shared" si="1"/>
        <v>44562</v>
      </c>
      <c r="B44" s="507">
        <v>44566</v>
      </c>
      <c r="C44" s="531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5"/>
      <c r="J44" s="506"/>
      <c r="K44" s="506"/>
      <c r="L44" s="506"/>
      <c r="M44" s="506"/>
      <c r="N44" s="506"/>
      <c r="O44" s="507"/>
      <c r="P44" s="507"/>
      <c r="Q44" s="507"/>
      <c r="R44" s="507"/>
      <c r="S44" s="506"/>
      <c r="T44" s="506"/>
      <c r="U44" s="68" t="e">
        <f>VLOOKUP(T44,DescontosTE[[#All],[idsreag supridora]:[codsariSUP]],2,FALSE)</f>
        <v>#N/A</v>
      </c>
      <c r="AA44" s="196"/>
      <c r="AB44" s="1575"/>
      <c r="AC44" s="1575"/>
      <c r="AD44" s="1575"/>
      <c r="AI44" s="257"/>
      <c r="AJ44" s="257"/>
      <c r="AK44" s="69"/>
    </row>
    <row r="45" spans="1:37" ht="16.5">
      <c r="A45" s="955">
        <f t="shared" si="1"/>
        <v>44593</v>
      </c>
      <c r="B45" s="507">
        <v>44599</v>
      </c>
      <c r="C45" s="531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5"/>
      <c r="J45" s="506"/>
      <c r="K45" s="506"/>
      <c r="L45" s="506"/>
      <c r="M45" s="506"/>
      <c r="N45" s="506"/>
      <c r="O45" s="507"/>
      <c r="P45" s="507"/>
      <c r="Q45" s="507"/>
      <c r="R45" s="507"/>
      <c r="S45" s="506"/>
      <c r="T45" s="506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5">
        <f t="shared" si="1"/>
        <v>44621</v>
      </c>
      <c r="B46" s="507">
        <v>44629</v>
      </c>
      <c r="C46" s="531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5"/>
      <c r="J46" s="506"/>
      <c r="K46" s="506"/>
      <c r="L46" s="506"/>
      <c r="M46" s="506"/>
      <c r="N46" s="506"/>
      <c r="O46" s="507"/>
      <c r="P46" s="507"/>
      <c r="Q46" s="507"/>
      <c r="R46" s="507"/>
      <c r="S46" s="506"/>
      <c r="T46" s="506"/>
      <c r="U46" s="68" t="e">
        <f>VLOOKUP(T46,DescontosTE[[#All],[idsreag supridora]:[codsariSUP]],2,FALSE)</f>
        <v>#N/A</v>
      </c>
      <c r="AA46" s="196"/>
    </row>
    <row r="47" spans="1:37" ht="16.5">
      <c r="A47" s="955">
        <f t="shared" si="1"/>
        <v>44652</v>
      </c>
      <c r="B47" s="507">
        <v>44657</v>
      </c>
      <c r="C47" s="531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5"/>
      <c r="J47" s="506"/>
      <c r="K47" s="506"/>
      <c r="L47" s="506"/>
      <c r="M47" s="506"/>
      <c r="N47" s="506"/>
      <c r="O47" s="507"/>
      <c r="P47" s="507"/>
      <c r="Q47" s="507"/>
      <c r="R47" s="507"/>
      <c r="S47" s="506"/>
      <c r="T47" s="506"/>
      <c r="U47" s="68" t="e">
        <f>VLOOKUP(T47,DescontosTE[[#All],[idsreag supridora]:[codsariSUP]],2,FALSE)</f>
        <v>#N/A</v>
      </c>
      <c r="AA47" s="196"/>
    </row>
    <row r="48" spans="1:37" ht="16.5">
      <c r="A48" s="955">
        <f t="shared" si="1"/>
        <v>44682</v>
      </c>
      <c r="B48" s="507">
        <v>44691</v>
      </c>
      <c r="C48" s="531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5"/>
      <c r="J48" s="506"/>
      <c r="K48" s="506"/>
      <c r="L48" s="506"/>
      <c r="M48" s="506"/>
      <c r="N48" s="506"/>
      <c r="O48" s="507"/>
      <c r="P48" s="507"/>
      <c r="Q48" s="507"/>
      <c r="R48" s="507"/>
      <c r="S48" s="506"/>
      <c r="T48" s="506"/>
      <c r="U48" s="68" t="e">
        <f>VLOOKUP(T48,DescontosTE[[#All],[idsreag supridora]:[codsariSUP]],2,FALSE)</f>
        <v>#N/A</v>
      </c>
      <c r="AA48" s="196"/>
    </row>
    <row r="49" spans="1:28" ht="16.5">
      <c r="A49" s="955">
        <f t="shared" si="1"/>
        <v>44713</v>
      </c>
      <c r="B49" s="507">
        <v>44718</v>
      </c>
      <c r="C49" s="531">
        <v>2044629.5844000001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5"/>
      <c r="J49" s="506"/>
      <c r="K49" s="506"/>
      <c r="L49" s="506"/>
      <c r="M49" s="506"/>
      <c r="N49" s="506"/>
      <c r="O49" s="506"/>
      <c r="P49" s="506"/>
      <c r="Q49" s="507"/>
      <c r="R49" s="507"/>
      <c r="S49" s="507"/>
      <c r="T49" s="506"/>
      <c r="U49" s="68" t="e">
        <f>VLOOKUP(T49,DescontosTE[[#All],[idsreag supridora]:[codsariSUP]],2,FALSE)</f>
        <v>#N/A</v>
      </c>
      <c r="AA49" s="196"/>
    </row>
    <row r="50" spans="1:28" ht="16.5">
      <c r="A50" s="955">
        <f t="shared" si="1"/>
        <v>44743</v>
      </c>
      <c r="B50" s="507">
        <v>44749</v>
      </c>
      <c r="C50" s="531">
        <v>102698.4669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5"/>
      <c r="J50" s="506"/>
      <c r="K50" s="506"/>
      <c r="L50" s="506"/>
      <c r="M50" s="506"/>
      <c r="N50" s="506"/>
      <c r="O50" s="506"/>
      <c r="P50" s="506"/>
      <c r="Q50" s="507"/>
      <c r="R50" s="507"/>
      <c r="S50" s="507"/>
      <c r="T50" s="506"/>
      <c r="U50" s="68" t="e">
        <f>VLOOKUP(T50,DescontosTE[[#All],[idsreag supridora]:[codsariSUP]],2,FALSE)</f>
        <v>#N/A</v>
      </c>
      <c r="AA50" s="196" t="s">
        <v>2185</v>
      </c>
    </row>
    <row r="51" spans="1:28" ht="16.5">
      <c r="A51" s="955">
        <f t="shared" si="1"/>
        <v>44774</v>
      </c>
      <c r="B51" s="507">
        <v>44781</v>
      </c>
      <c r="C51" s="531">
        <v>-11.36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5"/>
      <c r="J51" s="506"/>
      <c r="K51" s="506"/>
      <c r="L51" s="506"/>
      <c r="M51" s="506"/>
      <c r="N51" s="506"/>
      <c r="O51" s="506"/>
      <c r="P51" s="506"/>
      <c r="Q51" s="507"/>
      <c r="R51" s="507"/>
      <c r="S51" s="507"/>
      <c r="T51" s="506"/>
      <c r="U51" s="68" t="e">
        <f>VLOOKUP(T51,DescontosTE[[#All],[idsreag supridora]:[codsariSUP]],2,FALSE)</f>
        <v>#N/A</v>
      </c>
      <c r="AA51" s="196" t="s">
        <v>2183</v>
      </c>
      <c r="AB51" s="68" t="s">
        <v>2184</v>
      </c>
    </row>
    <row r="52" spans="1:28" ht="16.5">
      <c r="A52" s="955">
        <f t="shared" si="1"/>
        <v>44805</v>
      </c>
      <c r="B52" s="507">
        <v>44809</v>
      </c>
      <c r="C52" s="531">
        <v>0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5"/>
      <c r="J52" s="506"/>
      <c r="K52" s="506"/>
      <c r="L52" s="506"/>
      <c r="M52" s="506"/>
      <c r="N52" s="506"/>
      <c r="O52" s="506"/>
      <c r="P52" s="506"/>
      <c r="Q52" s="507"/>
      <c r="R52" s="507"/>
      <c r="S52" s="507"/>
      <c r="T52" s="506"/>
      <c r="U52" s="68" t="e">
        <f>VLOOKUP(T52,DescontosTE[[#All],[idsreag supridora]:[codsariSUP]],2,FALSE)</f>
        <v>#N/A</v>
      </c>
      <c r="AA52" s="196"/>
      <c r="AB52" s="1576"/>
    </row>
    <row r="53" spans="1:28" ht="16.5">
      <c r="A53" s="955">
        <f t="shared" si="1"/>
        <v>1</v>
      </c>
      <c r="B53" s="507"/>
      <c r="C53" s="531"/>
      <c r="D53" s="9" t="b">
        <f ca="1">BD!E53&gt;=CAPA!$L$73</f>
        <v>0</v>
      </c>
      <c r="E53" s="233">
        <f>Indexador!L46</f>
        <v>2111164.3430838003</v>
      </c>
      <c r="F53" s="479">
        <f>CAPA!B75</f>
        <v>44713</v>
      </c>
      <c r="H53" s="68" t="e">
        <f t="shared" si="2"/>
        <v>#N/A</v>
      </c>
      <c r="I53" s="505"/>
      <c r="J53" s="506"/>
      <c r="K53" s="506"/>
      <c r="L53" s="506"/>
      <c r="M53" s="506"/>
      <c r="N53" s="506"/>
      <c r="O53" s="506"/>
      <c r="P53" s="506"/>
      <c r="Q53" s="507"/>
      <c r="R53" s="507"/>
      <c r="S53" s="507"/>
      <c r="T53" s="506"/>
      <c r="U53" s="68" t="e">
        <f>VLOOKUP(T53,DescontosTE[[#All],[idsreag supridora]:[codsariSUP]],2,FALSE)</f>
        <v>#N/A</v>
      </c>
      <c r="AA53" s="196"/>
      <c r="AB53" s="1576"/>
    </row>
    <row r="54" spans="1:28" ht="16.5">
      <c r="A54" s="955">
        <f t="shared" si="1"/>
        <v>1</v>
      </c>
      <c r="B54" s="507"/>
      <c r="C54" s="531"/>
      <c r="D54" s="9" t="b">
        <f ca="1">BD!E54&gt;=CAPA!$L$73</f>
        <v>0</v>
      </c>
      <c r="E54" s="233">
        <f>Indexador!L47</f>
        <v>104974.57791207569</v>
      </c>
      <c r="F54" s="479">
        <f>CAPA!B76</f>
        <v>44743</v>
      </c>
      <c r="H54" s="68" t="e">
        <f t="shared" si="2"/>
        <v>#N/A</v>
      </c>
      <c r="I54" s="505"/>
      <c r="J54" s="506"/>
      <c r="K54" s="506"/>
      <c r="L54" s="506"/>
      <c r="M54" s="506"/>
      <c r="N54" s="506"/>
      <c r="O54" s="506"/>
      <c r="P54" s="506"/>
      <c r="Q54" s="507"/>
      <c r="R54" s="507"/>
      <c r="S54" s="507"/>
      <c r="T54" s="506"/>
      <c r="U54" s="68" t="e">
        <f>VLOOKUP(T54,DescontosTE[[#All],[idsreag supridora]:[codsariSUP]],2,FALSE)</f>
        <v>#N/A</v>
      </c>
      <c r="AA54" s="196"/>
      <c r="AB54" s="1576"/>
    </row>
    <row r="55" spans="1:28" ht="16.5">
      <c r="A55" s="955">
        <f t="shared" si="1"/>
        <v>1</v>
      </c>
      <c r="B55" s="507"/>
      <c r="C55" s="531"/>
      <c r="D55" s="9" t="b">
        <f ca="1">BD!E55&gt;=CAPA!$L$73</f>
        <v>0</v>
      </c>
      <c r="E55" s="233">
        <f>Indexador!L48</f>
        <v>-11.492839441408716</v>
      </c>
      <c r="F55" s="479">
        <f>CAPA!B77</f>
        <v>44774</v>
      </c>
      <c r="H55" s="68" t="e">
        <f t="shared" si="2"/>
        <v>#N/A</v>
      </c>
      <c r="I55" s="505"/>
      <c r="J55" s="506"/>
      <c r="K55" s="506"/>
      <c r="L55" s="506"/>
      <c r="M55" s="506"/>
      <c r="N55" s="506"/>
      <c r="O55" s="506"/>
      <c r="P55" s="506"/>
      <c r="Q55" s="507"/>
      <c r="R55" s="507"/>
      <c r="S55" s="507"/>
      <c r="T55" s="506"/>
      <c r="U55" s="68" t="e">
        <f>VLOOKUP(T55,DescontosTE[[#All],[idsreag supridora]:[codsariSUP]],2,FALSE)</f>
        <v>#N/A</v>
      </c>
      <c r="AA55" s="196"/>
      <c r="AB55" s="1576"/>
    </row>
    <row r="56" spans="1:28" ht="16.5">
      <c r="A56" s="955">
        <f t="shared" si="1"/>
        <v>1</v>
      </c>
      <c r="B56" s="507"/>
      <c r="C56" s="531"/>
      <c r="D56" s="9"/>
      <c r="E56" s="233"/>
      <c r="F56" s="479"/>
      <c r="H56" s="68" t="e">
        <f t="shared" si="2"/>
        <v>#N/A</v>
      </c>
      <c r="I56" s="505"/>
      <c r="J56" s="506"/>
      <c r="K56" s="506"/>
      <c r="L56" s="506"/>
      <c r="M56" s="506"/>
      <c r="N56" s="506"/>
      <c r="O56" s="506"/>
      <c r="P56" s="506"/>
      <c r="Q56" s="507"/>
      <c r="R56" s="507"/>
      <c r="S56" s="507"/>
      <c r="T56" s="506"/>
      <c r="U56" s="68" t="e">
        <f>VLOOKUP(T56,DescontosTE[[#All],[idsreag supridora]:[codsariSUP]],2,FALSE)</f>
        <v>#N/A</v>
      </c>
      <c r="AA56" s="196"/>
      <c r="AB56" s="1576"/>
    </row>
    <row r="57" spans="1:28" ht="16.5">
      <c r="A57" s="955">
        <f t="shared" si="1"/>
        <v>1</v>
      </c>
      <c r="B57" s="956"/>
      <c r="C57" s="820"/>
      <c r="D57" s="17"/>
      <c r="H57" s="68" t="e">
        <f t="shared" si="2"/>
        <v>#N/A</v>
      </c>
      <c r="I57" s="505"/>
      <c r="J57" s="506"/>
      <c r="K57" s="506"/>
      <c r="L57" s="506"/>
      <c r="M57" s="506"/>
      <c r="N57" s="506"/>
      <c r="O57" s="506"/>
      <c r="P57" s="506"/>
      <c r="Q57" s="507"/>
      <c r="R57" s="507"/>
      <c r="S57" s="507"/>
      <c r="T57" s="506"/>
      <c r="U57" s="68" t="e">
        <f>VLOOKUP(T57,DescontosTE[[#All],[idsreag supridora]:[codsariSUP]],2,FALSE)</f>
        <v>#N/A</v>
      </c>
      <c r="AA57" s="196"/>
      <c r="AB57" s="1576"/>
    </row>
    <row r="58" spans="1:28" ht="16.5">
      <c r="H58" s="68" t="e">
        <f t="shared" si="2"/>
        <v>#N/A</v>
      </c>
      <c r="I58" s="505"/>
      <c r="J58" s="506"/>
      <c r="K58" s="506"/>
      <c r="L58" s="506"/>
      <c r="M58" s="506"/>
      <c r="N58" s="506"/>
      <c r="O58" s="506"/>
      <c r="P58" s="506"/>
      <c r="Q58" s="507"/>
      <c r="R58" s="507"/>
      <c r="S58" s="507"/>
      <c r="T58" s="506"/>
      <c r="U58" s="68" t="e">
        <f>VLOOKUP(T58,DescontosTE[[#All],[idsreag supridora]:[codsariSUP]],2,FALSE)</f>
        <v>#N/A</v>
      </c>
      <c r="AA58" s="196"/>
      <c r="AB58" s="1576"/>
    </row>
    <row r="59" spans="1:28" ht="16.5">
      <c r="H59" s="68" t="e">
        <f t="shared" si="2"/>
        <v>#N/A</v>
      </c>
      <c r="I59" s="957"/>
      <c r="J59" s="958"/>
      <c r="K59" s="958"/>
      <c r="L59" s="958"/>
      <c r="M59" s="958"/>
      <c r="N59" s="958"/>
      <c r="O59" s="958"/>
      <c r="P59" s="958"/>
      <c r="Q59" s="956"/>
      <c r="R59" s="956"/>
      <c r="S59" s="956"/>
      <c r="T59" s="958"/>
      <c r="U59" s="68" t="e">
        <f>VLOOKUP(T59,DescontosTE[[#All],[idsreag supridora]:[codsariSUP]],2,FALSE)</f>
        <v>#N/A</v>
      </c>
      <c r="AA59" s="196"/>
      <c r="AB59" s="1576"/>
    </row>
    <row r="60" spans="1:28">
      <c r="B60" s="951" t="s">
        <v>75</v>
      </c>
      <c r="C60" s="72"/>
      <c r="AA60" s="196"/>
      <c r="AB60" s="1576"/>
    </row>
    <row r="61" spans="1:28" ht="16.5">
      <c r="B61" s="959" t="s">
        <v>697</v>
      </c>
      <c r="C61" s="821">
        <v>0</v>
      </c>
      <c r="D61" s="68">
        <v>0</v>
      </c>
      <c r="AA61" s="196"/>
      <c r="AB61" s="1576"/>
    </row>
    <row r="62" spans="1:28" ht="16.5">
      <c r="B62" s="689" t="s">
        <v>699</v>
      </c>
      <c r="C62" s="531">
        <v>0</v>
      </c>
      <c r="D62" s="69">
        <v>0</v>
      </c>
      <c r="AA62" s="196"/>
      <c r="AB62" s="1576"/>
    </row>
    <row r="63" spans="1:28" ht="16.5">
      <c r="B63" s="689" t="s">
        <v>701</v>
      </c>
      <c r="C63" s="531">
        <v>0</v>
      </c>
      <c r="D63" s="69">
        <v>0</v>
      </c>
      <c r="AA63" s="196"/>
      <c r="AB63" s="1576"/>
    </row>
    <row r="64" spans="1:28" ht="16.5">
      <c r="B64" s="689" t="s">
        <v>702</v>
      </c>
      <c r="C64" s="531">
        <v>5896.85</v>
      </c>
      <c r="D64" s="69">
        <v>0</v>
      </c>
      <c r="I64" s="68" t="s">
        <v>2178</v>
      </c>
    </row>
    <row r="65" spans="2:16" ht="16.5">
      <c r="B65" s="689" t="s">
        <v>705</v>
      </c>
      <c r="C65" s="531">
        <v>63203.040000000001</v>
      </c>
      <c r="D65" s="69">
        <v>0</v>
      </c>
      <c r="I65" s="68" t="s">
        <v>27</v>
      </c>
      <c r="J65" s="68" t="s">
        <v>2173</v>
      </c>
      <c r="K65" s="68" t="s">
        <v>2174</v>
      </c>
      <c r="L65" s="68" t="s">
        <v>21</v>
      </c>
      <c r="M65" s="68" t="s">
        <v>1123</v>
      </c>
    </row>
    <row r="66" spans="2:16" ht="16.5">
      <c r="B66" s="960" t="s">
        <v>707</v>
      </c>
      <c r="C66" s="820">
        <v>13295.28</v>
      </c>
      <c r="D66" s="69">
        <v>0</v>
      </c>
      <c r="I66" s="68" t="s">
        <v>2352</v>
      </c>
      <c r="J66" s="68">
        <v>5697</v>
      </c>
      <c r="K66" s="1574">
        <v>44469</v>
      </c>
      <c r="L66" s="68" t="s">
        <v>2371</v>
      </c>
      <c r="M66" s="68">
        <v>0.59</v>
      </c>
    </row>
    <row r="67" spans="2:16">
      <c r="K67" s="1574"/>
    </row>
    <row r="68" spans="2:16">
      <c r="K68" s="1574"/>
    </row>
    <row r="69" spans="2:16">
      <c r="K69" s="1574"/>
    </row>
    <row r="70" spans="2:16">
      <c r="B70" s="901" t="s">
        <v>72</v>
      </c>
      <c r="C70" s="901" t="s">
        <v>37</v>
      </c>
      <c r="D70" s="901" t="s">
        <v>73</v>
      </c>
      <c r="K70" s="1574"/>
    </row>
    <row r="71" spans="2:16">
      <c r="B71" s="848" t="s">
        <v>49</v>
      </c>
      <c r="C71" s="1461"/>
      <c r="D71" s="849"/>
      <c r="K71" s="1574"/>
    </row>
    <row r="72" spans="2:16">
      <c r="B72" s="848" t="s">
        <v>768</v>
      </c>
      <c r="C72" s="1461"/>
      <c r="D72" s="849"/>
      <c r="K72" s="1574"/>
    </row>
    <row r="73" spans="2:16">
      <c r="B73" s="848" t="s">
        <v>2319</v>
      </c>
      <c r="C73" s="1461"/>
      <c r="D73" s="849"/>
      <c r="K73" s="1574"/>
    </row>
    <row r="74" spans="2:16">
      <c r="B74" s="848" t="s">
        <v>2072</v>
      </c>
      <c r="C74" s="1461"/>
      <c r="D74" s="849"/>
      <c r="K74" s="1574"/>
    </row>
    <row r="75" spans="2:16">
      <c r="B75" s="848" t="s">
        <v>2320</v>
      </c>
      <c r="C75" s="1461">
        <v>9419991.3842511326</v>
      </c>
      <c r="D75" s="849" t="s">
        <v>2367</v>
      </c>
      <c r="K75" s="1574"/>
    </row>
    <row r="76" spans="2:16">
      <c r="B76" s="848" t="s">
        <v>2321</v>
      </c>
      <c r="C76" s="1461">
        <v>1</v>
      </c>
      <c r="D76" s="849"/>
    </row>
    <row r="77" spans="2:16">
      <c r="B77" s="848" t="s">
        <v>2322</v>
      </c>
      <c r="C77" s="1461">
        <v>0</v>
      </c>
      <c r="D77" s="849"/>
    </row>
    <row r="78" spans="2:16">
      <c r="I78" s="68" t="s">
        <v>2177</v>
      </c>
    </row>
    <row r="79" spans="2:16">
      <c r="I79" s="68" t="s">
        <v>27</v>
      </c>
      <c r="J79" s="68" t="s">
        <v>2173</v>
      </c>
      <c r="K79" s="68" t="s">
        <v>2174</v>
      </c>
      <c r="L79" s="68" t="s">
        <v>21</v>
      </c>
      <c r="M79" s="68" t="s">
        <v>22</v>
      </c>
      <c r="N79" s="68" t="s">
        <v>2175</v>
      </c>
      <c r="O79" s="68" t="s">
        <v>2176</v>
      </c>
      <c r="P79" s="68" t="s">
        <v>1123</v>
      </c>
    </row>
    <row r="80" spans="2:16">
      <c r="I80" s="68" t="s">
        <v>2352</v>
      </c>
      <c r="J80" s="68">
        <v>5697</v>
      </c>
      <c r="K80" s="1574">
        <v>44469</v>
      </c>
      <c r="L80" s="68" t="s">
        <v>2371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2352</v>
      </c>
      <c r="J81" s="68">
        <v>5697</v>
      </c>
      <c r="K81" s="1574">
        <v>44469</v>
      </c>
      <c r="L81" s="68" t="s">
        <v>2371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1" t="s">
        <v>695</v>
      </c>
      <c r="C82" s="901" t="s">
        <v>2172</v>
      </c>
      <c r="D82" s="901" t="s">
        <v>37</v>
      </c>
      <c r="I82" s="68" t="s">
        <v>2352</v>
      </c>
      <c r="J82" s="68">
        <v>5697</v>
      </c>
      <c r="K82" s="1574">
        <v>44469</v>
      </c>
      <c r="L82" s="68" t="s">
        <v>2371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8" t="s">
        <v>1438</v>
      </c>
      <c r="C83" s="1461" t="s">
        <v>2353</v>
      </c>
      <c r="D83" s="849">
        <v>126.30238103066399</v>
      </c>
      <c r="I83" s="68" t="s">
        <v>2352</v>
      </c>
      <c r="J83" s="68">
        <v>5697</v>
      </c>
      <c r="K83" s="1574">
        <v>44469</v>
      </c>
      <c r="L83" s="68" t="s">
        <v>2371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8" t="s">
        <v>2354</v>
      </c>
      <c r="C84" s="1461" t="s">
        <v>2355</v>
      </c>
      <c r="D84" s="849">
        <v>0</v>
      </c>
      <c r="K84" s="1574"/>
    </row>
    <row r="85" spans="2:16">
      <c r="B85" s="848" t="s">
        <v>1431</v>
      </c>
      <c r="C85" s="1461" t="s">
        <v>2355</v>
      </c>
      <c r="D85" s="849">
        <v>0</v>
      </c>
      <c r="K85" s="1574"/>
    </row>
    <row r="86" spans="2:16">
      <c r="B86" s="848" t="s">
        <v>1430</v>
      </c>
      <c r="C86" s="1461" t="s">
        <v>2355</v>
      </c>
      <c r="D86" s="849">
        <v>5.6651375974321801E-2</v>
      </c>
      <c r="K86" s="1574"/>
    </row>
    <row r="87" spans="2:16">
      <c r="K87" s="1574"/>
    </row>
    <row r="88" spans="2:16">
      <c r="K88" s="1574"/>
    </row>
    <row r="89" spans="2:16">
      <c r="K89" s="1574"/>
    </row>
    <row r="90" spans="2:16">
      <c r="K90" s="1574"/>
    </row>
    <row r="91" spans="2:16">
      <c r="K91" s="1574"/>
    </row>
    <row r="92" spans="2:16">
      <c r="K92" s="1574"/>
    </row>
    <row r="93" spans="2:16">
      <c r="K93" s="1574"/>
    </row>
    <row r="94" spans="2:16">
      <c r="K94" s="1574"/>
    </row>
    <row r="95" spans="2:16">
      <c r="K95" s="1574"/>
    </row>
    <row r="96" spans="2:16">
      <c r="K96" s="1574"/>
    </row>
    <row r="97" spans="2:11">
      <c r="K97" s="1574"/>
    </row>
    <row r="98" spans="2:11">
      <c r="K98" s="1574"/>
    </row>
    <row r="103" spans="2:11" ht="25.5" customHeight="1">
      <c r="B103" s="68" t="s">
        <v>2188</v>
      </c>
      <c r="C103" s="1577" t="s">
        <v>2190</v>
      </c>
      <c r="D103" s="68" t="s">
        <v>2189</v>
      </c>
    </row>
    <row r="104" spans="2:11">
      <c r="B104" s="69">
        <v>60899756.095931061</v>
      </c>
      <c r="C104" s="196">
        <v>44531</v>
      </c>
      <c r="D104" s="68" t="s">
        <v>2323</v>
      </c>
    </row>
    <row r="108" spans="2:11" ht="28.5">
      <c r="B108" s="1577" t="s">
        <v>2186</v>
      </c>
      <c r="C108" s="1577" t="s">
        <v>2187</v>
      </c>
      <c r="D108" s="1577" t="s">
        <v>213</v>
      </c>
      <c r="E108" s="1577" t="s">
        <v>214</v>
      </c>
      <c r="F108" s="1577" t="s">
        <v>2191</v>
      </c>
      <c r="G108" s="1577" t="s">
        <v>2192</v>
      </c>
      <c r="H108" s="1577" t="s">
        <v>2193</v>
      </c>
    </row>
    <row r="109" spans="2:11">
      <c r="B109" s="1577" t="s">
        <v>155</v>
      </c>
      <c r="C109" s="1577">
        <v>111</v>
      </c>
      <c r="D109" s="1577">
        <v>214.41662426644362</v>
      </c>
      <c r="E109" s="1577">
        <v>180.36</v>
      </c>
      <c r="F109" s="1578">
        <v>0</v>
      </c>
      <c r="G109" s="1579">
        <v>44430</v>
      </c>
      <c r="H109" s="1579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A2:T309"/>
  <sheetViews>
    <sheetView workbookViewId="0">
      <selection activeCell="H4" sqref="H4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1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1:20">
      <c r="A3">
        <v>2749</v>
      </c>
      <c r="B3" s="375" t="s">
        <v>2385</v>
      </c>
      <c r="C3" s="375" t="s">
        <v>2386</v>
      </c>
      <c r="D3" s="375" t="s">
        <v>893</v>
      </c>
      <c r="E3" s="375">
        <v>4701</v>
      </c>
      <c r="F3" s="375">
        <v>6781</v>
      </c>
      <c r="G3" s="375">
        <v>945</v>
      </c>
      <c r="H3" s="375">
        <v>990</v>
      </c>
      <c r="I3" s="375">
        <v>46</v>
      </c>
      <c r="J3" s="375">
        <v>46</v>
      </c>
      <c r="K3" s="375">
        <v>49</v>
      </c>
      <c r="L3" s="375">
        <v>49</v>
      </c>
      <c r="M3" s="375">
        <v>50</v>
      </c>
      <c r="N3" s="375">
        <v>50</v>
      </c>
      <c r="O3" s="375">
        <v>50</v>
      </c>
      <c r="P3" s="375">
        <v>50</v>
      </c>
      <c r="Q3" s="375">
        <v>50</v>
      </c>
      <c r="R3" s="375">
        <v>50</v>
      </c>
      <c r="S3" s="375">
        <v>46</v>
      </c>
      <c r="T3" s="375">
        <v>46</v>
      </c>
    </row>
    <row r="4" spans="1:20">
      <c r="A4">
        <v>2749</v>
      </c>
      <c r="B4" s="375" t="s">
        <v>2385</v>
      </c>
      <c r="C4" s="375" t="s">
        <v>2386</v>
      </c>
      <c r="D4" s="375" t="s">
        <v>1237</v>
      </c>
      <c r="E4" s="375">
        <v>5346</v>
      </c>
      <c r="F4" s="375">
        <v>7285</v>
      </c>
      <c r="G4" s="375">
        <v>945</v>
      </c>
      <c r="H4" s="375">
        <v>990</v>
      </c>
      <c r="I4" s="375">
        <v>56.5</v>
      </c>
      <c r="J4" s="375">
        <v>56.5</v>
      </c>
      <c r="K4" s="375">
        <v>64</v>
      </c>
      <c r="L4" s="375">
        <v>64</v>
      </c>
      <c r="M4" s="375">
        <v>64</v>
      </c>
      <c r="N4" s="375">
        <v>64</v>
      </c>
      <c r="O4" s="375">
        <v>64</v>
      </c>
      <c r="P4" s="375">
        <v>64</v>
      </c>
      <c r="Q4" s="375">
        <v>64</v>
      </c>
      <c r="R4" s="375">
        <v>64</v>
      </c>
      <c r="S4" s="375">
        <v>58</v>
      </c>
      <c r="T4" s="375">
        <v>58</v>
      </c>
    </row>
    <row r="5" spans="1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1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1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1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1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1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1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1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1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1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1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1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2" workbookViewId="0">
      <selection activeCell="E16" sqref="E16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2163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2164</v>
      </c>
      <c r="H1" t="s">
        <v>2165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192</v>
      </c>
      <c r="W1" t="s">
        <v>176</v>
      </c>
      <c r="X1" t="s">
        <v>2171</v>
      </c>
      <c r="AA1" s="232" t="s">
        <v>2194</v>
      </c>
      <c r="AB1" s="232" t="s">
        <v>2195</v>
      </c>
    </row>
    <row r="2" spans="1:28">
      <c r="A2" t="s">
        <v>2372</v>
      </c>
      <c r="B2">
        <v>5370</v>
      </c>
      <c r="C2" t="s">
        <v>2398</v>
      </c>
      <c r="D2">
        <v>5697</v>
      </c>
      <c r="E2" t="s">
        <v>2201</v>
      </c>
      <c r="F2" t="s">
        <v>2371</v>
      </c>
      <c r="G2">
        <v>2021</v>
      </c>
      <c r="H2">
        <v>6</v>
      </c>
      <c r="I2" s="8">
        <v>44348</v>
      </c>
      <c r="J2">
        <v>0</v>
      </c>
      <c r="K2">
        <v>0</v>
      </c>
      <c r="L2">
        <v>0</v>
      </c>
      <c r="M2">
        <v>0</v>
      </c>
      <c r="N2">
        <v>25547757</v>
      </c>
      <c r="O2">
        <v>2546454</v>
      </c>
      <c r="P2">
        <v>494085</v>
      </c>
      <c r="Q2">
        <v>0</v>
      </c>
      <c r="R2">
        <v>0</v>
      </c>
      <c r="S2">
        <v>0</v>
      </c>
      <c r="T2">
        <v>112.16</v>
      </c>
      <c r="U2">
        <v>105849.12</v>
      </c>
      <c r="V2">
        <v>0</v>
      </c>
      <c r="W2">
        <v>0</v>
      </c>
      <c r="X2">
        <v>3256895.82</v>
      </c>
      <c r="AA2" s="232">
        <f>J2*Q2+K2*R2+((L2+M2)/1000)*S2</f>
        <v>0</v>
      </c>
      <c r="AB2" s="232">
        <f>((N2+O2)/1000)*T2</f>
        <v>3151046.7057599998</v>
      </c>
    </row>
    <row r="3" spans="1:28">
      <c r="A3" t="s">
        <v>2373</v>
      </c>
      <c r="B3">
        <v>5370</v>
      </c>
      <c r="C3" t="s">
        <v>2398</v>
      </c>
      <c r="D3">
        <v>5697</v>
      </c>
      <c r="E3" t="s">
        <v>2201</v>
      </c>
      <c r="F3" t="s">
        <v>2371</v>
      </c>
      <c r="G3">
        <v>2021</v>
      </c>
      <c r="H3">
        <v>7</v>
      </c>
      <c r="I3" s="8">
        <v>44378</v>
      </c>
      <c r="J3">
        <v>0</v>
      </c>
      <c r="K3">
        <v>0</v>
      </c>
      <c r="L3">
        <v>0</v>
      </c>
      <c r="M3">
        <v>0</v>
      </c>
      <c r="N3">
        <v>26147545</v>
      </c>
      <c r="O3">
        <v>2652118</v>
      </c>
      <c r="P3">
        <v>508000</v>
      </c>
      <c r="Q3">
        <v>0</v>
      </c>
      <c r="R3">
        <v>0</v>
      </c>
      <c r="S3">
        <v>0</v>
      </c>
      <c r="T3">
        <v>112.16</v>
      </c>
      <c r="U3">
        <v>5824.8</v>
      </c>
      <c r="V3">
        <v>0</v>
      </c>
      <c r="W3">
        <v>0</v>
      </c>
      <c r="X3">
        <v>3235994.99</v>
      </c>
      <c r="AA3" s="232">
        <f t="shared" ref="AA3:AA66" si="0">J3*Q3+K3*R3+((L3+M3)/1000)*S3</f>
        <v>0</v>
      </c>
      <c r="AB3" s="232">
        <f t="shared" ref="AB3:AB66" si="1">((N3+O3)/1000)*T3</f>
        <v>3230170.2020799997</v>
      </c>
    </row>
    <row r="4" spans="1:28">
      <c r="A4" t="s">
        <v>2374</v>
      </c>
      <c r="B4">
        <v>5370</v>
      </c>
      <c r="C4" t="s">
        <v>2398</v>
      </c>
      <c r="D4">
        <v>5697</v>
      </c>
      <c r="E4" t="s">
        <v>2201</v>
      </c>
      <c r="F4" t="s">
        <v>2371</v>
      </c>
      <c r="G4">
        <v>2021</v>
      </c>
      <c r="H4">
        <v>8</v>
      </c>
      <c r="I4" s="8">
        <v>44409</v>
      </c>
      <c r="J4">
        <v>0</v>
      </c>
      <c r="K4">
        <v>0</v>
      </c>
      <c r="L4">
        <v>0</v>
      </c>
      <c r="M4">
        <v>0</v>
      </c>
      <c r="N4">
        <v>26727331</v>
      </c>
      <c r="O4">
        <v>2723296</v>
      </c>
      <c r="P4">
        <v>518694</v>
      </c>
      <c r="Q4">
        <v>0</v>
      </c>
      <c r="R4">
        <v>0</v>
      </c>
      <c r="S4">
        <v>0</v>
      </c>
      <c r="T4">
        <v>112.16</v>
      </c>
      <c r="U4">
        <v>13265.79</v>
      </c>
      <c r="V4">
        <v>0</v>
      </c>
      <c r="W4">
        <v>0</v>
      </c>
      <c r="X4">
        <v>3316448.1</v>
      </c>
      <c r="AA4" s="232">
        <f t="shared" si="0"/>
        <v>0</v>
      </c>
      <c r="AB4" s="232">
        <f t="shared" si="1"/>
        <v>3303182.3243200001</v>
      </c>
    </row>
    <row r="5" spans="1:28">
      <c r="A5" t="s">
        <v>2375</v>
      </c>
      <c r="B5">
        <v>5370</v>
      </c>
      <c r="C5" t="s">
        <v>2398</v>
      </c>
      <c r="D5">
        <v>5697</v>
      </c>
      <c r="E5" t="s">
        <v>2201</v>
      </c>
      <c r="F5" t="s">
        <v>2371</v>
      </c>
      <c r="G5">
        <v>2021</v>
      </c>
      <c r="H5">
        <v>9</v>
      </c>
      <c r="I5" s="8">
        <v>44440</v>
      </c>
      <c r="J5">
        <v>0</v>
      </c>
      <c r="K5">
        <v>0</v>
      </c>
      <c r="L5">
        <v>0</v>
      </c>
      <c r="M5">
        <v>0</v>
      </c>
      <c r="N5">
        <v>25345390</v>
      </c>
      <c r="O5">
        <v>2502531</v>
      </c>
      <c r="P5">
        <v>528578</v>
      </c>
      <c r="Q5">
        <v>0</v>
      </c>
      <c r="R5">
        <v>0</v>
      </c>
      <c r="S5">
        <v>0</v>
      </c>
      <c r="T5">
        <v>112.7</v>
      </c>
      <c r="U5">
        <v>84442.25</v>
      </c>
      <c r="V5">
        <v>0</v>
      </c>
      <c r="W5">
        <v>0</v>
      </c>
      <c r="X5">
        <v>3222986.48</v>
      </c>
      <c r="AA5" s="232">
        <f t="shared" si="0"/>
        <v>0</v>
      </c>
      <c r="AB5" s="232">
        <f t="shared" si="1"/>
        <v>3138460.6966999997</v>
      </c>
    </row>
    <row r="6" spans="1:28">
      <c r="A6" t="s">
        <v>2376</v>
      </c>
      <c r="B6">
        <v>5370</v>
      </c>
      <c r="C6" t="s">
        <v>2398</v>
      </c>
      <c r="D6">
        <v>5697</v>
      </c>
      <c r="E6" t="s">
        <v>2201</v>
      </c>
      <c r="F6" t="s">
        <v>2371</v>
      </c>
      <c r="G6">
        <v>2021</v>
      </c>
      <c r="H6">
        <v>10</v>
      </c>
      <c r="I6" s="8">
        <v>44470</v>
      </c>
      <c r="J6">
        <v>0</v>
      </c>
      <c r="K6">
        <v>0</v>
      </c>
      <c r="L6">
        <v>0</v>
      </c>
      <c r="M6">
        <v>0</v>
      </c>
      <c r="N6">
        <v>26084820</v>
      </c>
      <c r="O6">
        <v>2459641</v>
      </c>
      <c r="P6">
        <v>562810</v>
      </c>
      <c r="Q6">
        <v>0</v>
      </c>
      <c r="R6">
        <v>0</v>
      </c>
      <c r="S6">
        <v>0</v>
      </c>
      <c r="T6">
        <v>128.44999999999999</v>
      </c>
      <c r="U6">
        <v>134952.85</v>
      </c>
      <c r="V6">
        <v>0</v>
      </c>
      <c r="W6">
        <v>0</v>
      </c>
      <c r="X6">
        <v>3872891.39</v>
      </c>
      <c r="AA6" s="232">
        <f t="shared" si="0"/>
        <v>0</v>
      </c>
      <c r="AB6" s="232">
        <f t="shared" si="1"/>
        <v>3666536.0154499994</v>
      </c>
    </row>
    <row r="7" spans="1:28">
      <c r="A7" t="s">
        <v>2377</v>
      </c>
      <c r="B7">
        <v>5370</v>
      </c>
      <c r="C7" t="s">
        <v>2398</v>
      </c>
      <c r="D7">
        <v>5697</v>
      </c>
      <c r="E7" t="s">
        <v>2201</v>
      </c>
      <c r="F7" t="s">
        <v>2371</v>
      </c>
      <c r="G7">
        <v>2021</v>
      </c>
      <c r="H7">
        <v>11</v>
      </c>
      <c r="I7" s="8">
        <v>44501</v>
      </c>
      <c r="J7">
        <v>0</v>
      </c>
      <c r="K7">
        <v>0</v>
      </c>
      <c r="L7">
        <v>0</v>
      </c>
      <c r="M7">
        <v>0</v>
      </c>
      <c r="N7">
        <v>26856001</v>
      </c>
      <c r="O7">
        <v>2539077</v>
      </c>
      <c r="P7">
        <v>561898</v>
      </c>
      <c r="Q7">
        <v>0</v>
      </c>
      <c r="R7">
        <v>0</v>
      </c>
      <c r="S7">
        <v>0</v>
      </c>
      <c r="T7">
        <v>128.44999999999999</v>
      </c>
      <c r="U7">
        <v>146701.48000000001</v>
      </c>
      <c r="V7">
        <v>0</v>
      </c>
      <c r="W7">
        <v>0</v>
      </c>
      <c r="X7">
        <v>3922499.24</v>
      </c>
      <c r="AA7" s="232">
        <f t="shared" si="0"/>
        <v>0</v>
      </c>
      <c r="AB7" s="232">
        <f t="shared" si="1"/>
        <v>3775797.7690999997</v>
      </c>
    </row>
    <row r="8" spans="1:28">
      <c r="A8" t="s">
        <v>2378</v>
      </c>
      <c r="B8">
        <v>5370</v>
      </c>
      <c r="C8" t="s">
        <v>2398</v>
      </c>
      <c r="D8">
        <v>5697</v>
      </c>
      <c r="E8" t="s">
        <v>2201</v>
      </c>
      <c r="F8" t="s">
        <v>2371</v>
      </c>
      <c r="G8">
        <v>2021</v>
      </c>
      <c r="H8">
        <v>12</v>
      </c>
      <c r="I8" s="8">
        <v>44531</v>
      </c>
      <c r="J8">
        <v>0</v>
      </c>
      <c r="K8">
        <v>0</v>
      </c>
      <c r="L8">
        <v>0</v>
      </c>
      <c r="M8">
        <v>0</v>
      </c>
      <c r="N8">
        <v>26253652</v>
      </c>
      <c r="O8">
        <v>2718552</v>
      </c>
      <c r="P8">
        <v>512368</v>
      </c>
      <c r="Q8">
        <v>0</v>
      </c>
      <c r="R8">
        <v>0</v>
      </c>
      <c r="S8">
        <v>0</v>
      </c>
      <c r="T8">
        <v>128.44999999999999</v>
      </c>
      <c r="U8">
        <v>144591.04999999999</v>
      </c>
      <c r="V8">
        <v>0</v>
      </c>
      <c r="W8">
        <v>0</v>
      </c>
      <c r="X8">
        <v>3866070.63</v>
      </c>
      <c r="AA8" s="232">
        <f t="shared" si="0"/>
        <v>0</v>
      </c>
      <c r="AB8" s="232">
        <f t="shared" si="1"/>
        <v>3721479.6037999997</v>
      </c>
    </row>
    <row r="9" spans="1:28">
      <c r="A9" t="s">
        <v>2379</v>
      </c>
      <c r="B9">
        <v>5370</v>
      </c>
      <c r="C9" t="s">
        <v>2398</v>
      </c>
      <c r="D9">
        <v>5697</v>
      </c>
      <c r="E9" t="s">
        <v>2201</v>
      </c>
      <c r="F9" t="s">
        <v>2371</v>
      </c>
      <c r="G9">
        <v>2022</v>
      </c>
      <c r="H9">
        <v>1</v>
      </c>
      <c r="I9" s="8">
        <v>44562</v>
      </c>
      <c r="J9">
        <v>0</v>
      </c>
      <c r="K9">
        <v>0</v>
      </c>
      <c r="L9">
        <v>0</v>
      </c>
      <c r="M9">
        <v>0</v>
      </c>
      <c r="N9">
        <v>28957821</v>
      </c>
      <c r="O9">
        <v>2785773</v>
      </c>
      <c r="P9">
        <v>449497</v>
      </c>
      <c r="Q9">
        <v>0</v>
      </c>
      <c r="R9">
        <v>0</v>
      </c>
      <c r="S9">
        <v>0</v>
      </c>
      <c r="T9">
        <v>128.44999999999999</v>
      </c>
      <c r="U9">
        <v>202439.47</v>
      </c>
      <c r="V9">
        <v>0</v>
      </c>
      <c r="W9">
        <v>0</v>
      </c>
      <c r="X9">
        <v>4279904.1100000003</v>
      </c>
      <c r="AA9" s="232">
        <f t="shared" si="0"/>
        <v>0</v>
      </c>
      <c r="AB9" s="232">
        <f t="shared" si="1"/>
        <v>4077464.6492999997</v>
      </c>
    </row>
    <row r="10" spans="1:28">
      <c r="A10" t="s">
        <v>2380</v>
      </c>
      <c r="B10">
        <v>5370</v>
      </c>
      <c r="C10" t="s">
        <v>2398</v>
      </c>
      <c r="D10">
        <v>5697</v>
      </c>
      <c r="E10" t="s">
        <v>2201</v>
      </c>
      <c r="F10" t="s">
        <v>2371</v>
      </c>
      <c r="G10">
        <v>2022</v>
      </c>
      <c r="H10">
        <v>2</v>
      </c>
      <c r="I10" s="8">
        <v>44593</v>
      </c>
      <c r="J10">
        <v>0</v>
      </c>
      <c r="K10">
        <v>0</v>
      </c>
      <c r="L10">
        <v>0</v>
      </c>
      <c r="M10">
        <v>0</v>
      </c>
      <c r="N10">
        <v>27427835</v>
      </c>
      <c r="O10">
        <v>2605813</v>
      </c>
      <c r="P10">
        <v>402577</v>
      </c>
      <c r="Q10">
        <v>0</v>
      </c>
      <c r="R10">
        <v>0</v>
      </c>
      <c r="S10">
        <v>0</v>
      </c>
      <c r="T10">
        <v>128.44999999999999</v>
      </c>
      <c r="U10">
        <v>113582.16</v>
      </c>
      <c r="V10">
        <v>0</v>
      </c>
      <c r="W10">
        <v>0</v>
      </c>
      <c r="X10">
        <v>3971404.23</v>
      </c>
      <c r="AA10" s="232">
        <f t="shared" si="0"/>
        <v>0</v>
      </c>
      <c r="AB10" s="232">
        <f t="shared" si="1"/>
        <v>3857822.0855999999</v>
      </c>
    </row>
    <row r="11" spans="1:28">
      <c r="A11" t="s">
        <v>2381</v>
      </c>
      <c r="B11">
        <v>5370</v>
      </c>
      <c r="C11" t="s">
        <v>2398</v>
      </c>
      <c r="D11">
        <v>5697</v>
      </c>
      <c r="E11" t="s">
        <v>2201</v>
      </c>
      <c r="F11" t="s">
        <v>2371</v>
      </c>
      <c r="G11">
        <v>2022</v>
      </c>
      <c r="H11">
        <v>3</v>
      </c>
      <c r="I11" s="8">
        <v>44621</v>
      </c>
      <c r="J11">
        <v>0</v>
      </c>
      <c r="K11">
        <v>0</v>
      </c>
      <c r="L11">
        <v>0</v>
      </c>
      <c r="M11">
        <v>0</v>
      </c>
      <c r="N11">
        <v>29553691</v>
      </c>
      <c r="O11">
        <v>2778131</v>
      </c>
      <c r="P11">
        <v>435104</v>
      </c>
      <c r="Q11">
        <v>0</v>
      </c>
      <c r="R11">
        <v>0</v>
      </c>
      <c r="S11">
        <v>0</v>
      </c>
      <c r="T11">
        <v>128.44999999999999</v>
      </c>
      <c r="U11">
        <v>140838.64000000001</v>
      </c>
      <c r="V11">
        <v>0</v>
      </c>
      <c r="W11">
        <v>0</v>
      </c>
      <c r="X11">
        <v>4293861.16</v>
      </c>
      <c r="AA11" s="232">
        <f t="shared" si="0"/>
        <v>0</v>
      </c>
      <c r="AB11" s="232">
        <f t="shared" si="1"/>
        <v>4153022.5358999996</v>
      </c>
    </row>
    <row r="12" spans="1:28">
      <c r="A12" t="s">
        <v>2382</v>
      </c>
      <c r="B12">
        <v>5370</v>
      </c>
      <c r="C12" t="s">
        <v>2398</v>
      </c>
      <c r="D12">
        <v>5697</v>
      </c>
      <c r="E12" t="s">
        <v>2201</v>
      </c>
      <c r="F12" t="s">
        <v>2371</v>
      </c>
      <c r="G12">
        <v>2022</v>
      </c>
      <c r="H12">
        <v>4</v>
      </c>
      <c r="I12" s="8">
        <v>44652</v>
      </c>
      <c r="J12">
        <v>0</v>
      </c>
      <c r="K12">
        <v>0</v>
      </c>
      <c r="L12">
        <v>0</v>
      </c>
      <c r="M12">
        <v>0</v>
      </c>
      <c r="N12">
        <v>25953681</v>
      </c>
      <c r="O12">
        <v>2297073</v>
      </c>
      <c r="P12">
        <v>418646</v>
      </c>
      <c r="Q12">
        <v>0</v>
      </c>
      <c r="R12">
        <v>0</v>
      </c>
      <c r="S12">
        <v>0</v>
      </c>
      <c r="T12">
        <v>128.44999999999999</v>
      </c>
      <c r="U12">
        <v>79354.710000000006</v>
      </c>
      <c r="V12">
        <v>0</v>
      </c>
      <c r="W12">
        <v>0</v>
      </c>
      <c r="X12">
        <v>3708164.05</v>
      </c>
      <c r="AA12" s="232">
        <f t="shared" si="0"/>
        <v>0</v>
      </c>
      <c r="AB12" s="232">
        <f t="shared" si="1"/>
        <v>3628809.3512999997</v>
      </c>
    </row>
    <row r="13" spans="1:28">
      <c r="A13" t="s">
        <v>2383</v>
      </c>
      <c r="B13">
        <v>5370</v>
      </c>
      <c r="C13" t="s">
        <v>2398</v>
      </c>
      <c r="D13">
        <v>5697</v>
      </c>
      <c r="E13" t="s">
        <v>2201</v>
      </c>
      <c r="F13" t="s">
        <v>2371</v>
      </c>
      <c r="G13">
        <v>2022</v>
      </c>
      <c r="H13">
        <v>5</v>
      </c>
      <c r="I13" s="8">
        <v>44682</v>
      </c>
      <c r="J13">
        <v>0</v>
      </c>
      <c r="K13">
        <v>0</v>
      </c>
      <c r="L13">
        <v>0</v>
      </c>
      <c r="M13">
        <v>0</v>
      </c>
      <c r="N13">
        <v>26661780</v>
      </c>
      <c r="O13">
        <v>2702819</v>
      </c>
      <c r="P13">
        <v>474888</v>
      </c>
      <c r="Q13">
        <v>0</v>
      </c>
      <c r="R13">
        <v>0</v>
      </c>
      <c r="S13">
        <v>0</v>
      </c>
      <c r="T13">
        <v>128.44999999999999</v>
      </c>
      <c r="U13">
        <v>122678.69</v>
      </c>
      <c r="V13">
        <v>0</v>
      </c>
      <c r="W13">
        <v>0</v>
      </c>
      <c r="X13">
        <v>3894561.43</v>
      </c>
      <c r="AA13" s="232">
        <f t="shared" si="0"/>
        <v>0</v>
      </c>
      <c r="AB13" s="232">
        <f t="shared" si="1"/>
        <v>3771882.7415499995</v>
      </c>
    </row>
    <row r="14" spans="1:28">
      <c r="A14" t="s">
        <v>2384</v>
      </c>
      <c r="B14">
        <v>5370</v>
      </c>
      <c r="C14" t="s">
        <v>2398</v>
      </c>
      <c r="D14">
        <v>5697</v>
      </c>
      <c r="E14" t="s">
        <v>2201</v>
      </c>
      <c r="F14" t="s">
        <v>2371</v>
      </c>
      <c r="G14">
        <v>2022</v>
      </c>
      <c r="H14">
        <v>6</v>
      </c>
      <c r="I14" s="8">
        <v>44713</v>
      </c>
      <c r="J14">
        <v>0</v>
      </c>
      <c r="K14">
        <v>0</v>
      </c>
      <c r="L14">
        <v>0</v>
      </c>
      <c r="M14">
        <v>0</v>
      </c>
      <c r="N14">
        <v>25466756</v>
      </c>
      <c r="O14">
        <v>2643032</v>
      </c>
      <c r="P14">
        <v>474561</v>
      </c>
      <c r="Q14">
        <v>0</v>
      </c>
      <c r="R14">
        <v>0</v>
      </c>
      <c r="S14">
        <v>0</v>
      </c>
      <c r="T14">
        <v>128.44999999999999</v>
      </c>
      <c r="U14">
        <v>148488.01</v>
      </c>
      <c r="V14">
        <v>0</v>
      </c>
      <c r="W14">
        <v>0</v>
      </c>
      <c r="X14">
        <v>3759190.27</v>
      </c>
      <c r="AA14" s="232">
        <f t="shared" si="0"/>
        <v>0</v>
      </c>
      <c r="AB14" s="232">
        <f t="shared" si="1"/>
        <v>3610702.2685999996</v>
      </c>
    </row>
    <row r="15" spans="1:28">
      <c r="A15" t="s">
        <v>2397</v>
      </c>
      <c r="B15">
        <v>5370</v>
      </c>
      <c r="C15" t="s">
        <v>2398</v>
      </c>
      <c r="D15">
        <v>5697</v>
      </c>
      <c r="E15" t="s">
        <v>2201</v>
      </c>
      <c r="F15" t="s">
        <v>2371</v>
      </c>
      <c r="G15">
        <v>2022</v>
      </c>
      <c r="H15">
        <v>7</v>
      </c>
      <c r="I15" s="8">
        <v>44743</v>
      </c>
      <c r="J15">
        <v>0</v>
      </c>
      <c r="K15">
        <v>0</v>
      </c>
      <c r="L15">
        <v>0</v>
      </c>
      <c r="M15">
        <v>0</v>
      </c>
      <c r="N15">
        <v>25580695</v>
      </c>
      <c r="O15">
        <v>2621622</v>
      </c>
      <c r="P15">
        <v>491701</v>
      </c>
      <c r="Q15">
        <v>0</v>
      </c>
      <c r="R15">
        <v>0</v>
      </c>
      <c r="S15">
        <v>0</v>
      </c>
      <c r="T15">
        <v>128.44999999999999</v>
      </c>
      <c r="U15">
        <v>191063.95</v>
      </c>
      <c r="V15">
        <v>0</v>
      </c>
      <c r="W15">
        <v>0</v>
      </c>
      <c r="X15">
        <v>3813651.56</v>
      </c>
      <c r="AA15" s="232">
        <f t="shared" si="0"/>
        <v>0</v>
      </c>
      <c r="AB15" s="232">
        <f t="shared" si="1"/>
        <v>3622587.6186499996</v>
      </c>
    </row>
    <row r="16" spans="1:28">
      <c r="AA16" s="232">
        <f t="shared" si="0"/>
        <v>0</v>
      </c>
      <c r="AB16" s="232">
        <f t="shared" si="1"/>
        <v>0</v>
      </c>
    </row>
    <row r="17" spans="27:28">
      <c r="AA17" s="232">
        <f t="shared" si="0"/>
        <v>0</v>
      </c>
      <c r="AB17" s="232">
        <f t="shared" si="1"/>
        <v>0</v>
      </c>
    </row>
    <row r="18" spans="27:28">
      <c r="AA18" s="232">
        <f t="shared" si="0"/>
        <v>0</v>
      </c>
      <c r="AB18" s="232">
        <f t="shared" si="1"/>
        <v>0</v>
      </c>
    </row>
    <row r="19" spans="27:28">
      <c r="AA19" s="232">
        <f t="shared" si="0"/>
        <v>0</v>
      </c>
      <c r="AB19" s="232">
        <f t="shared" si="1"/>
        <v>0</v>
      </c>
    </row>
    <row r="20" spans="27:28">
      <c r="AA20" s="232">
        <f t="shared" si="0"/>
        <v>0</v>
      </c>
      <c r="AB20" s="232">
        <f t="shared" si="1"/>
        <v>0</v>
      </c>
    </row>
    <row r="21" spans="27:28">
      <c r="AA21" s="232">
        <f t="shared" si="0"/>
        <v>0</v>
      </c>
      <c r="AB21" s="232">
        <f t="shared" si="1"/>
        <v>0</v>
      </c>
    </row>
    <row r="22" spans="27:28">
      <c r="AA22" s="232">
        <f t="shared" si="0"/>
        <v>0</v>
      </c>
      <c r="AB22" s="232">
        <f t="shared" si="1"/>
        <v>0</v>
      </c>
    </row>
    <row r="23" spans="27:28">
      <c r="AA23" s="232">
        <f t="shared" si="0"/>
        <v>0</v>
      </c>
      <c r="AB23" s="232">
        <f t="shared" si="1"/>
        <v>0</v>
      </c>
    </row>
    <row r="24" spans="27:28">
      <c r="AA24" s="232">
        <f t="shared" si="0"/>
        <v>0</v>
      </c>
      <c r="AB24" s="232">
        <f t="shared" si="1"/>
        <v>0</v>
      </c>
    </row>
    <row r="25" spans="27:28">
      <c r="AA25" s="232">
        <f t="shared" si="0"/>
        <v>0</v>
      </c>
      <c r="AB25" s="232">
        <f t="shared" si="1"/>
        <v>0</v>
      </c>
    </row>
    <row r="26" spans="27:28">
      <c r="AA26" s="232">
        <f t="shared" si="0"/>
        <v>0</v>
      </c>
      <c r="AB26" s="232">
        <f t="shared" si="1"/>
        <v>0</v>
      </c>
    </row>
    <row r="27" spans="27:28">
      <c r="AA27" s="232">
        <f t="shared" si="0"/>
        <v>0</v>
      </c>
      <c r="AB27" s="232">
        <f t="shared" si="1"/>
        <v>0</v>
      </c>
    </row>
    <row r="28" spans="27:28">
      <c r="AA28" s="232">
        <f t="shared" si="0"/>
        <v>0</v>
      </c>
      <c r="AB28" s="232">
        <f t="shared" si="1"/>
        <v>0</v>
      </c>
    </row>
    <row r="29" spans="27:28">
      <c r="AA29" s="232">
        <f t="shared" si="0"/>
        <v>0</v>
      </c>
      <c r="AB29" s="232">
        <f t="shared" si="1"/>
        <v>0</v>
      </c>
    </row>
    <row r="30" spans="27:28">
      <c r="AA30" s="232">
        <f t="shared" si="0"/>
        <v>0</v>
      </c>
      <c r="AB30" s="232">
        <f t="shared" si="1"/>
        <v>0</v>
      </c>
    </row>
    <row r="31" spans="27:28">
      <c r="AA31" s="232">
        <f t="shared" si="0"/>
        <v>0</v>
      </c>
      <c r="AB31" s="232">
        <f t="shared" si="1"/>
        <v>0</v>
      </c>
    </row>
    <row r="32" spans="27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11"/>
  <sheetViews>
    <sheetView topLeftCell="B169" zoomScaleNormal="10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0" t="s">
        <v>169</v>
      </c>
      <c r="K1" s="720" t="s">
        <v>175</v>
      </c>
      <c r="L1" s="720" t="s">
        <v>174</v>
      </c>
      <c r="M1" s="720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5370</v>
      </c>
      <c r="B2" t="s">
        <v>2398</v>
      </c>
      <c r="C2">
        <v>5697</v>
      </c>
      <c r="D2" t="s">
        <v>2201</v>
      </c>
      <c r="E2" t="s">
        <v>2371</v>
      </c>
      <c r="F2">
        <v>202106</v>
      </c>
      <c r="G2" t="s">
        <v>190</v>
      </c>
      <c r="H2">
        <v>25547757</v>
      </c>
      <c r="J2" s="721">
        <f>CAPA!K12</f>
        <v>5370</v>
      </c>
      <c r="K2" s="721" t="s">
        <v>177</v>
      </c>
      <c r="L2" s="721" t="str">
        <f>"&gt;="&amp;K6</f>
        <v>&gt;=202109</v>
      </c>
      <c r="M2" s="721" t="str">
        <f>"&lt;="&amp;K7</f>
        <v>&lt;=202208</v>
      </c>
      <c r="O2">
        <v>5370</v>
      </c>
      <c r="P2" t="s">
        <v>2398</v>
      </c>
      <c r="Q2">
        <v>5697</v>
      </c>
      <c r="R2" t="s">
        <v>2201</v>
      </c>
      <c r="S2" t="s">
        <v>2371</v>
      </c>
      <c r="T2">
        <v>202109</v>
      </c>
      <c r="U2" t="s">
        <v>190</v>
      </c>
      <c r="V2">
        <v>25345390</v>
      </c>
      <c r="X2">
        <v>5697</v>
      </c>
      <c r="Y2" t="s">
        <v>2201</v>
      </c>
      <c r="Z2" t="s">
        <v>2371</v>
      </c>
      <c r="AB2">
        <v>5697</v>
      </c>
      <c r="AC2" t="s">
        <v>2201</v>
      </c>
      <c r="AD2" t="s">
        <v>2371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5370</v>
      </c>
      <c r="B3" t="s">
        <v>2398</v>
      </c>
      <c r="C3">
        <v>5697</v>
      </c>
      <c r="D3" t="s">
        <v>2201</v>
      </c>
      <c r="E3" t="s">
        <v>2371</v>
      </c>
      <c r="F3">
        <v>202106</v>
      </c>
      <c r="G3" t="s">
        <v>191</v>
      </c>
      <c r="H3">
        <v>2546454</v>
      </c>
      <c r="J3" s="721">
        <f>J2</f>
        <v>5370</v>
      </c>
      <c r="K3" s="721" t="s">
        <v>179</v>
      </c>
      <c r="L3" s="721" t="str">
        <f>L2</f>
        <v>&gt;=202109</v>
      </c>
      <c r="M3" s="721" t="str">
        <f>M2</f>
        <v>&lt;=202208</v>
      </c>
      <c r="O3">
        <v>5370</v>
      </c>
      <c r="P3" t="s">
        <v>2398</v>
      </c>
      <c r="Q3">
        <v>5697</v>
      </c>
      <c r="R3" t="s">
        <v>2201</v>
      </c>
      <c r="S3" t="s">
        <v>2371</v>
      </c>
      <c r="T3">
        <v>202109</v>
      </c>
      <c r="U3" t="s">
        <v>191</v>
      </c>
      <c r="V3">
        <v>2502531</v>
      </c>
      <c r="AB3">
        <v>5697</v>
      </c>
      <c r="AC3" t="s">
        <v>2201</v>
      </c>
      <c r="AD3" t="s">
        <v>2371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5370</v>
      </c>
      <c r="B4" t="s">
        <v>2398</v>
      </c>
      <c r="C4">
        <v>5697</v>
      </c>
      <c r="D4" t="s">
        <v>2201</v>
      </c>
      <c r="E4" t="s">
        <v>2371</v>
      </c>
      <c r="F4">
        <v>202106</v>
      </c>
      <c r="G4" t="s">
        <v>176</v>
      </c>
      <c r="H4">
        <v>0</v>
      </c>
      <c r="J4" s="723">
        <f>J3</f>
        <v>5370</v>
      </c>
      <c r="K4" s="721" t="s">
        <v>181</v>
      </c>
      <c r="L4" s="722" t="str">
        <f>L2</f>
        <v>&gt;=202109</v>
      </c>
      <c r="M4" s="722" t="str">
        <f>M2</f>
        <v>&lt;=202208</v>
      </c>
      <c r="O4">
        <v>5370</v>
      </c>
      <c r="P4" t="s">
        <v>2398</v>
      </c>
      <c r="Q4">
        <v>5697</v>
      </c>
      <c r="R4" t="s">
        <v>2201</v>
      </c>
      <c r="S4" t="s">
        <v>2371</v>
      </c>
      <c r="T4">
        <v>202109</v>
      </c>
      <c r="U4" t="s">
        <v>178</v>
      </c>
      <c r="V4">
        <v>0</v>
      </c>
      <c r="AB4">
        <v>5697</v>
      </c>
      <c r="AC4" t="s">
        <v>2201</v>
      </c>
      <c r="AD4" t="s">
        <v>2371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5370</v>
      </c>
      <c r="B5" t="s">
        <v>2398</v>
      </c>
      <c r="C5">
        <v>5697</v>
      </c>
      <c r="D5" t="s">
        <v>2201</v>
      </c>
      <c r="E5" t="s">
        <v>2371</v>
      </c>
      <c r="F5">
        <v>202106</v>
      </c>
      <c r="G5" t="s">
        <v>178</v>
      </c>
      <c r="H5">
        <v>0</v>
      </c>
      <c r="J5" s="723">
        <f>J4</f>
        <v>5370</v>
      </c>
      <c r="K5" s="902" t="s">
        <v>183</v>
      </c>
      <c r="L5" s="722" t="str">
        <f>L3</f>
        <v>&gt;=202109</v>
      </c>
      <c r="M5" s="722" t="str">
        <f>M3</f>
        <v>&lt;=202208</v>
      </c>
      <c r="O5">
        <v>5370</v>
      </c>
      <c r="P5" t="s">
        <v>2398</v>
      </c>
      <c r="Q5">
        <v>5697</v>
      </c>
      <c r="R5" t="s">
        <v>2201</v>
      </c>
      <c r="S5" t="s">
        <v>2371</v>
      </c>
      <c r="T5">
        <v>202109</v>
      </c>
      <c r="U5" t="s">
        <v>180</v>
      </c>
      <c r="V5">
        <v>0</v>
      </c>
      <c r="AB5">
        <v>5697</v>
      </c>
      <c r="AC5" t="s">
        <v>2201</v>
      </c>
      <c r="AD5" t="s">
        <v>2371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5370</v>
      </c>
      <c r="B6" t="s">
        <v>2398</v>
      </c>
      <c r="C6">
        <v>5697</v>
      </c>
      <c r="D6" t="s">
        <v>2201</v>
      </c>
      <c r="E6" t="s">
        <v>2371</v>
      </c>
      <c r="F6">
        <v>202106</v>
      </c>
      <c r="G6" t="s">
        <v>180</v>
      </c>
      <c r="H6">
        <v>0</v>
      </c>
      <c r="J6" t="s">
        <v>185</v>
      </c>
      <c r="K6">
        <f>(YEAR(SAS_RA0_DataInicio)*100+MONTH(SAS_RA0_DataInicio))</f>
        <v>202109</v>
      </c>
      <c r="O6">
        <v>5370</v>
      </c>
      <c r="P6" t="s">
        <v>2398</v>
      </c>
      <c r="Q6">
        <v>5697</v>
      </c>
      <c r="R6" t="s">
        <v>2201</v>
      </c>
      <c r="S6" t="s">
        <v>2371</v>
      </c>
      <c r="T6">
        <v>202109</v>
      </c>
      <c r="U6" t="s">
        <v>182</v>
      </c>
      <c r="V6">
        <v>0</v>
      </c>
      <c r="AB6">
        <v>5697</v>
      </c>
      <c r="AC6" t="s">
        <v>2201</v>
      </c>
      <c r="AD6" t="s">
        <v>2371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5370</v>
      </c>
      <c r="B7" t="s">
        <v>2398</v>
      </c>
      <c r="C7">
        <v>5697</v>
      </c>
      <c r="D7" t="s">
        <v>2201</v>
      </c>
      <c r="E7" t="s">
        <v>2371</v>
      </c>
      <c r="F7">
        <v>202106</v>
      </c>
      <c r="G7" t="s">
        <v>182</v>
      </c>
      <c r="H7">
        <v>0</v>
      </c>
      <c r="J7" t="s">
        <v>187</v>
      </c>
      <c r="K7">
        <f>YEAR(SAS_RA0_DataFim)*100+MONTH(SAS_RA0_DataFim)</f>
        <v>202208</v>
      </c>
      <c r="O7">
        <v>5370</v>
      </c>
      <c r="P7" t="s">
        <v>2398</v>
      </c>
      <c r="Q7">
        <v>5697</v>
      </c>
      <c r="R7" t="s">
        <v>2201</v>
      </c>
      <c r="S7" t="s">
        <v>2371</v>
      </c>
      <c r="T7">
        <v>202109</v>
      </c>
      <c r="U7" t="s">
        <v>184</v>
      </c>
      <c r="V7">
        <v>0</v>
      </c>
      <c r="AI7">
        <f t="shared" si="0"/>
        <v>0</v>
      </c>
      <c r="AJ7" t="str">
        <f t="shared" si="1"/>
        <v>Nada</v>
      </c>
    </row>
    <row r="8" spans="1:36">
      <c r="A8">
        <v>5370</v>
      </c>
      <c r="B8" t="s">
        <v>2398</v>
      </c>
      <c r="C8">
        <v>5697</v>
      </c>
      <c r="D8" t="s">
        <v>2201</v>
      </c>
      <c r="E8" t="s">
        <v>2371</v>
      </c>
      <c r="F8">
        <v>202106</v>
      </c>
      <c r="G8" t="s">
        <v>184</v>
      </c>
      <c r="H8">
        <v>0</v>
      </c>
      <c r="J8" t="s">
        <v>188</v>
      </c>
      <c r="K8" s="629">
        <f>MAX(AI:AI)</f>
        <v>202207</v>
      </c>
      <c r="O8">
        <v>5370</v>
      </c>
      <c r="P8" t="s">
        <v>2398</v>
      </c>
      <c r="Q8">
        <v>5697</v>
      </c>
      <c r="R8" t="s">
        <v>2201</v>
      </c>
      <c r="S8" t="s">
        <v>2371</v>
      </c>
      <c r="T8">
        <v>202109</v>
      </c>
      <c r="U8" t="s">
        <v>186</v>
      </c>
      <c r="V8">
        <v>528578</v>
      </c>
      <c r="AI8">
        <f t="shared" si="0"/>
        <v>0</v>
      </c>
      <c r="AJ8" t="str">
        <f t="shared" si="1"/>
        <v>Nada</v>
      </c>
    </row>
    <row r="9" spans="1:36">
      <c r="A9">
        <v>5370</v>
      </c>
      <c r="B9" t="s">
        <v>2398</v>
      </c>
      <c r="C9">
        <v>5697</v>
      </c>
      <c r="D9" t="s">
        <v>2201</v>
      </c>
      <c r="E9" t="s">
        <v>2371</v>
      </c>
      <c r="F9">
        <v>202106</v>
      </c>
      <c r="G9" t="s">
        <v>192</v>
      </c>
      <c r="H9">
        <v>0</v>
      </c>
      <c r="J9" t="s">
        <v>189</v>
      </c>
      <c r="K9" s="629">
        <f>MAX(AJ:AJ)</f>
        <v>1</v>
      </c>
      <c r="O9">
        <v>5370</v>
      </c>
      <c r="P9" t="s">
        <v>2398</v>
      </c>
      <c r="Q9">
        <v>5697</v>
      </c>
      <c r="R9" t="s">
        <v>2201</v>
      </c>
      <c r="S9" t="s">
        <v>2371</v>
      </c>
      <c r="T9">
        <v>202110</v>
      </c>
      <c r="U9" t="s">
        <v>190</v>
      </c>
      <c r="V9">
        <v>26084820</v>
      </c>
    </row>
    <row r="10" spans="1:36">
      <c r="A10">
        <v>5370</v>
      </c>
      <c r="B10" t="s">
        <v>2398</v>
      </c>
      <c r="C10">
        <v>5697</v>
      </c>
      <c r="D10" t="s">
        <v>2201</v>
      </c>
      <c r="E10" t="s">
        <v>2371</v>
      </c>
      <c r="F10">
        <v>202106</v>
      </c>
      <c r="G10" t="s">
        <v>2170</v>
      </c>
      <c r="H10">
        <v>105849.12</v>
      </c>
      <c r="O10">
        <v>5370</v>
      </c>
      <c r="P10" t="s">
        <v>2398</v>
      </c>
      <c r="Q10">
        <v>5697</v>
      </c>
      <c r="R10" t="s">
        <v>2201</v>
      </c>
      <c r="S10" t="s">
        <v>2371</v>
      </c>
      <c r="T10">
        <v>202110</v>
      </c>
      <c r="U10" t="s">
        <v>191</v>
      </c>
      <c r="V10">
        <v>2459641</v>
      </c>
    </row>
    <row r="11" spans="1:36">
      <c r="A11">
        <v>5370</v>
      </c>
      <c r="B11" t="s">
        <v>2398</v>
      </c>
      <c r="C11">
        <v>5697</v>
      </c>
      <c r="D11" t="s">
        <v>2201</v>
      </c>
      <c r="E11" t="s">
        <v>2371</v>
      </c>
      <c r="F11">
        <v>202106</v>
      </c>
      <c r="G11" t="s">
        <v>186</v>
      </c>
      <c r="H11">
        <v>494085</v>
      </c>
      <c r="J11" s="780">
        <f>VALUE(A2)</f>
        <v>5370</v>
      </c>
      <c r="O11">
        <v>5370</v>
      </c>
      <c r="P11" t="s">
        <v>2398</v>
      </c>
      <c r="Q11">
        <v>5697</v>
      </c>
      <c r="R11" t="s">
        <v>2201</v>
      </c>
      <c r="S11" t="s">
        <v>2371</v>
      </c>
      <c r="T11">
        <v>202110</v>
      </c>
      <c r="U11" t="s">
        <v>178</v>
      </c>
      <c r="V11">
        <v>0</v>
      </c>
    </row>
    <row r="12" spans="1:36">
      <c r="A12">
        <v>5370</v>
      </c>
      <c r="B12" t="s">
        <v>2398</v>
      </c>
      <c r="C12">
        <v>5697</v>
      </c>
      <c r="D12" t="s">
        <v>2201</v>
      </c>
      <c r="E12" t="s">
        <v>2371</v>
      </c>
      <c r="F12">
        <v>202106</v>
      </c>
      <c r="G12" t="s">
        <v>2169</v>
      </c>
      <c r="H12">
        <v>112.16</v>
      </c>
      <c r="K12" s="8"/>
      <c r="O12">
        <v>5370</v>
      </c>
      <c r="P12" t="s">
        <v>2398</v>
      </c>
      <c r="Q12">
        <v>5697</v>
      </c>
      <c r="R12" t="s">
        <v>2201</v>
      </c>
      <c r="S12" t="s">
        <v>2371</v>
      </c>
      <c r="T12">
        <v>202110</v>
      </c>
      <c r="U12" t="s">
        <v>180</v>
      </c>
      <c r="V12">
        <v>0</v>
      </c>
    </row>
    <row r="13" spans="1:36">
      <c r="A13">
        <v>5370</v>
      </c>
      <c r="B13" t="s">
        <v>2398</v>
      </c>
      <c r="C13">
        <v>5697</v>
      </c>
      <c r="D13" t="s">
        <v>2201</v>
      </c>
      <c r="E13" t="s">
        <v>2371</v>
      </c>
      <c r="F13">
        <v>202106</v>
      </c>
      <c r="G13" t="s">
        <v>2166</v>
      </c>
      <c r="H13">
        <v>0</v>
      </c>
      <c r="O13">
        <v>5370</v>
      </c>
      <c r="P13" t="s">
        <v>2398</v>
      </c>
      <c r="Q13">
        <v>5697</v>
      </c>
      <c r="R13" t="s">
        <v>2201</v>
      </c>
      <c r="S13" t="s">
        <v>2371</v>
      </c>
      <c r="T13">
        <v>202110</v>
      </c>
      <c r="U13" t="s">
        <v>182</v>
      </c>
      <c r="V13">
        <v>0</v>
      </c>
    </row>
    <row r="14" spans="1:36">
      <c r="A14">
        <v>5370</v>
      </c>
      <c r="B14" t="s">
        <v>2398</v>
      </c>
      <c r="C14">
        <v>5697</v>
      </c>
      <c r="D14" t="s">
        <v>2201</v>
      </c>
      <c r="E14" t="s">
        <v>2371</v>
      </c>
      <c r="F14">
        <v>202106</v>
      </c>
      <c r="G14" t="s">
        <v>2167</v>
      </c>
      <c r="H14">
        <v>0</v>
      </c>
      <c r="O14">
        <v>5370</v>
      </c>
      <c r="P14" t="s">
        <v>2398</v>
      </c>
      <c r="Q14">
        <v>5697</v>
      </c>
      <c r="R14" t="s">
        <v>2201</v>
      </c>
      <c r="S14" t="s">
        <v>2371</v>
      </c>
      <c r="T14">
        <v>202110</v>
      </c>
      <c r="U14" t="s">
        <v>184</v>
      </c>
      <c r="V14">
        <v>0</v>
      </c>
    </row>
    <row r="15" spans="1:36">
      <c r="A15">
        <v>5370</v>
      </c>
      <c r="B15" t="s">
        <v>2398</v>
      </c>
      <c r="C15">
        <v>5697</v>
      </c>
      <c r="D15" t="s">
        <v>2201</v>
      </c>
      <c r="E15" t="s">
        <v>2371</v>
      </c>
      <c r="F15">
        <v>202106</v>
      </c>
      <c r="G15" t="s">
        <v>2168</v>
      </c>
      <c r="H15">
        <v>0</v>
      </c>
      <c r="O15">
        <v>5370</v>
      </c>
      <c r="P15" t="s">
        <v>2398</v>
      </c>
      <c r="Q15">
        <v>5697</v>
      </c>
      <c r="R15" t="s">
        <v>2201</v>
      </c>
      <c r="S15" t="s">
        <v>2371</v>
      </c>
      <c r="T15">
        <v>202110</v>
      </c>
      <c r="U15" t="s">
        <v>186</v>
      </c>
      <c r="V15">
        <v>562810</v>
      </c>
    </row>
    <row r="16" spans="1:36">
      <c r="A16">
        <v>5370</v>
      </c>
      <c r="B16" t="s">
        <v>2398</v>
      </c>
      <c r="C16">
        <v>5697</v>
      </c>
      <c r="D16" t="s">
        <v>2201</v>
      </c>
      <c r="E16" t="s">
        <v>2371</v>
      </c>
      <c r="F16">
        <v>202106</v>
      </c>
      <c r="G16" t="s">
        <v>2171</v>
      </c>
      <c r="H16">
        <v>3256895.82</v>
      </c>
      <c r="O16">
        <v>5370</v>
      </c>
      <c r="P16" t="s">
        <v>2398</v>
      </c>
      <c r="Q16">
        <v>5697</v>
      </c>
      <c r="R16" t="s">
        <v>2201</v>
      </c>
      <c r="S16" t="s">
        <v>2371</v>
      </c>
      <c r="T16">
        <v>202111</v>
      </c>
      <c r="U16" t="s">
        <v>190</v>
      </c>
      <c r="V16">
        <v>26856001</v>
      </c>
    </row>
    <row r="17" spans="1:22">
      <c r="A17">
        <v>5370</v>
      </c>
      <c r="B17" t="s">
        <v>2398</v>
      </c>
      <c r="C17">
        <v>5697</v>
      </c>
      <c r="D17" t="s">
        <v>2201</v>
      </c>
      <c r="E17" t="s">
        <v>2371</v>
      </c>
      <c r="F17">
        <v>202107</v>
      </c>
      <c r="G17" t="s">
        <v>190</v>
      </c>
      <c r="H17">
        <v>26147545</v>
      </c>
      <c r="O17">
        <v>5370</v>
      </c>
      <c r="P17" t="s">
        <v>2398</v>
      </c>
      <c r="Q17">
        <v>5697</v>
      </c>
      <c r="R17" t="s">
        <v>2201</v>
      </c>
      <c r="S17" t="s">
        <v>2371</v>
      </c>
      <c r="T17">
        <v>202111</v>
      </c>
      <c r="U17" t="s">
        <v>191</v>
      </c>
      <c r="V17">
        <v>2539077</v>
      </c>
    </row>
    <row r="18" spans="1:22">
      <c r="A18">
        <v>5370</v>
      </c>
      <c r="B18" t="s">
        <v>2398</v>
      </c>
      <c r="C18">
        <v>5697</v>
      </c>
      <c r="D18" t="s">
        <v>2201</v>
      </c>
      <c r="E18" t="s">
        <v>2371</v>
      </c>
      <c r="F18">
        <v>202107</v>
      </c>
      <c r="G18" t="s">
        <v>191</v>
      </c>
      <c r="H18">
        <v>2652118</v>
      </c>
      <c r="O18">
        <v>5370</v>
      </c>
      <c r="P18" t="s">
        <v>2398</v>
      </c>
      <c r="Q18">
        <v>5697</v>
      </c>
      <c r="R18" t="s">
        <v>2201</v>
      </c>
      <c r="S18" t="s">
        <v>2371</v>
      </c>
      <c r="T18">
        <v>202111</v>
      </c>
      <c r="U18" t="s">
        <v>178</v>
      </c>
      <c r="V18">
        <v>0</v>
      </c>
    </row>
    <row r="19" spans="1:22">
      <c r="A19">
        <v>5370</v>
      </c>
      <c r="B19" t="s">
        <v>2398</v>
      </c>
      <c r="C19">
        <v>5697</v>
      </c>
      <c r="D19" t="s">
        <v>2201</v>
      </c>
      <c r="E19" t="s">
        <v>2371</v>
      </c>
      <c r="F19">
        <v>202107</v>
      </c>
      <c r="G19" t="s">
        <v>176</v>
      </c>
      <c r="H19">
        <v>0</v>
      </c>
      <c r="O19">
        <v>5370</v>
      </c>
      <c r="P19" t="s">
        <v>2398</v>
      </c>
      <c r="Q19">
        <v>5697</v>
      </c>
      <c r="R19" t="s">
        <v>2201</v>
      </c>
      <c r="S19" t="s">
        <v>2371</v>
      </c>
      <c r="T19">
        <v>202111</v>
      </c>
      <c r="U19" t="s">
        <v>180</v>
      </c>
      <c r="V19">
        <v>0</v>
      </c>
    </row>
    <row r="20" spans="1:22">
      <c r="A20">
        <v>5370</v>
      </c>
      <c r="B20" t="s">
        <v>2398</v>
      </c>
      <c r="C20">
        <v>5697</v>
      </c>
      <c r="D20" t="s">
        <v>2201</v>
      </c>
      <c r="E20" t="s">
        <v>2371</v>
      </c>
      <c r="F20">
        <v>202107</v>
      </c>
      <c r="G20" t="s">
        <v>178</v>
      </c>
      <c r="H20">
        <v>0</v>
      </c>
      <c r="O20">
        <v>5370</v>
      </c>
      <c r="P20" t="s">
        <v>2398</v>
      </c>
      <c r="Q20">
        <v>5697</v>
      </c>
      <c r="R20" t="s">
        <v>2201</v>
      </c>
      <c r="S20" t="s">
        <v>2371</v>
      </c>
      <c r="T20">
        <v>202111</v>
      </c>
      <c r="U20" t="s">
        <v>182</v>
      </c>
      <c r="V20">
        <v>0</v>
      </c>
    </row>
    <row r="21" spans="1:22">
      <c r="A21">
        <v>5370</v>
      </c>
      <c r="B21" t="s">
        <v>2398</v>
      </c>
      <c r="C21">
        <v>5697</v>
      </c>
      <c r="D21" t="s">
        <v>2201</v>
      </c>
      <c r="E21" t="s">
        <v>2371</v>
      </c>
      <c r="F21">
        <v>202107</v>
      </c>
      <c r="G21" t="s">
        <v>180</v>
      </c>
      <c r="H21">
        <v>0</v>
      </c>
      <c r="O21">
        <v>5370</v>
      </c>
      <c r="P21" t="s">
        <v>2398</v>
      </c>
      <c r="Q21">
        <v>5697</v>
      </c>
      <c r="R21" t="s">
        <v>2201</v>
      </c>
      <c r="S21" t="s">
        <v>2371</v>
      </c>
      <c r="T21">
        <v>202111</v>
      </c>
      <c r="U21" t="s">
        <v>184</v>
      </c>
      <c r="V21">
        <v>0</v>
      </c>
    </row>
    <row r="22" spans="1:22">
      <c r="A22">
        <v>5370</v>
      </c>
      <c r="B22" t="s">
        <v>2398</v>
      </c>
      <c r="C22">
        <v>5697</v>
      </c>
      <c r="D22" t="s">
        <v>2201</v>
      </c>
      <c r="E22" t="s">
        <v>2371</v>
      </c>
      <c r="F22">
        <v>202107</v>
      </c>
      <c r="G22" t="s">
        <v>182</v>
      </c>
      <c r="H22">
        <v>0</v>
      </c>
      <c r="O22">
        <v>5370</v>
      </c>
      <c r="P22" t="s">
        <v>2398</v>
      </c>
      <c r="Q22">
        <v>5697</v>
      </c>
      <c r="R22" t="s">
        <v>2201</v>
      </c>
      <c r="S22" t="s">
        <v>2371</v>
      </c>
      <c r="T22">
        <v>202111</v>
      </c>
      <c r="U22" t="s">
        <v>186</v>
      </c>
      <c r="V22">
        <v>561898</v>
      </c>
    </row>
    <row r="23" spans="1:22">
      <c r="A23">
        <v>5370</v>
      </c>
      <c r="B23" t="s">
        <v>2398</v>
      </c>
      <c r="C23">
        <v>5697</v>
      </c>
      <c r="D23" t="s">
        <v>2201</v>
      </c>
      <c r="E23" t="s">
        <v>2371</v>
      </c>
      <c r="F23">
        <v>202107</v>
      </c>
      <c r="G23" t="s">
        <v>184</v>
      </c>
      <c r="H23">
        <v>0</v>
      </c>
      <c r="O23">
        <v>5370</v>
      </c>
      <c r="P23" t="s">
        <v>2398</v>
      </c>
      <c r="Q23">
        <v>5697</v>
      </c>
      <c r="R23" t="s">
        <v>2201</v>
      </c>
      <c r="S23" t="s">
        <v>2371</v>
      </c>
      <c r="T23">
        <v>202112</v>
      </c>
      <c r="U23" t="s">
        <v>190</v>
      </c>
      <c r="V23">
        <v>26253652</v>
      </c>
    </row>
    <row r="24" spans="1:22">
      <c r="A24">
        <v>5370</v>
      </c>
      <c r="B24" t="s">
        <v>2398</v>
      </c>
      <c r="C24">
        <v>5697</v>
      </c>
      <c r="D24" t="s">
        <v>2201</v>
      </c>
      <c r="E24" t="s">
        <v>2371</v>
      </c>
      <c r="F24">
        <v>202107</v>
      </c>
      <c r="G24" t="s">
        <v>192</v>
      </c>
      <c r="H24">
        <v>0</v>
      </c>
      <c r="O24">
        <v>5370</v>
      </c>
      <c r="P24" t="s">
        <v>2398</v>
      </c>
      <c r="Q24">
        <v>5697</v>
      </c>
      <c r="R24" t="s">
        <v>2201</v>
      </c>
      <c r="S24" t="s">
        <v>2371</v>
      </c>
      <c r="T24">
        <v>202112</v>
      </c>
      <c r="U24" t="s">
        <v>191</v>
      </c>
      <c r="V24">
        <v>2718552</v>
      </c>
    </row>
    <row r="25" spans="1:22">
      <c r="A25">
        <v>5370</v>
      </c>
      <c r="B25" t="s">
        <v>2398</v>
      </c>
      <c r="C25">
        <v>5697</v>
      </c>
      <c r="D25" t="s">
        <v>2201</v>
      </c>
      <c r="E25" t="s">
        <v>2371</v>
      </c>
      <c r="F25">
        <v>202107</v>
      </c>
      <c r="G25" t="s">
        <v>2170</v>
      </c>
      <c r="H25">
        <v>5824.8</v>
      </c>
      <c r="O25">
        <v>5370</v>
      </c>
      <c r="P25" t="s">
        <v>2398</v>
      </c>
      <c r="Q25">
        <v>5697</v>
      </c>
      <c r="R25" t="s">
        <v>2201</v>
      </c>
      <c r="S25" t="s">
        <v>2371</v>
      </c>
      <c r="T25">
        <v>202112</v>
      </c>
      <c r="U25" t="s">
        <v>178</v>
      </c>
      <c r="V25">
        <v>0</v>
      </c>
    </row>
    <row r="26" spans="1:22">
      <c r="A26">
        <v>5370</v>
      </c>
      <c r="B26" t="s">
        <v>2398</v>
      </c>
      <c r="C26">
        <v>5697</v>
      </c>
      <c r="D26" t="s">
        <v>2201</v>
      </c>
      <c r="E26" t="s">
        <v>2371</v>
      </c>
      <c r="F26">
        <v>202107</v>
      </c>
      <c r="G26" t="s">
        <v>186</v>
      </c>
      <c r="H26">
        <v>508000</v>
      </c>
      <c r="O26">
        <v>5370</v>
      </c>
      <c r="P26" t="s">
        <v>2398</v>
      </c>
      <c r="Q26">
        <v>5697</v>
      </c>
      <c r="R26" t="s">
        <v>2201</v>
      </c>
      <c r="S26" t="s">
        <v>2371</v>
      </c>
      <c r="T26">
        <v>202112</v>
      </c>
      <c r="U26" t="s">
        <v>180</v>
      </c>
      <c r="V26">
        <v>0</v>
      </c>
    </row>
    <row r="27" spans="1:22">
      <c r="A27">
        <v>5370</v>
      </c>
      <c r="B27" t="s">
        <v>2398</v>
      </c>
      <c r="C27">
        <v>5697</v>
      </c>
      <c r="D27" t="s">
        <v>2201</v>
      </c>
      <c r="E27" t="s">
        <v>2371</v>
      </c>
      <c r="F27">
        <v>202107</v>
      </c>
      <c r="G27" t="s">
        <v>2169</v>
      </c>
      <c r="H27">
        <v>112.16</v>
      </c>
      <c r="O27">
        <v>5370</v>
      </c>
      <c r="P27" t="s">
        <v>2398</v>
      </c>
      <c r="Q27">
        <v>5697</v>
      </c>
      <c r="R27" t="s">
        <v>2201</v>
      </c>
      <c r="S27" t="s">
        <v>2371</v>
      </c>
      <c r="T27">
        <v>202112</v>
      </c>
      <c r="U27" t="s">
        <v>182</v>
      </c>
      <c r="V27">
        <v>0</v>
      </c>
    </row>
    <row r="28" spans="1:22">
      <c r="A28">
        <v>5370</v>
      </c>
      <c r="B28" t="s">
        <v>2398</v>
      </c>
      <c r="C28">
        <v>5697</v>
      </c>
      <c r="D28" t="s">
        <v>2201</v>
      </c>
      <c r="E28" t="s">
        <v>2371</v>
      </c>
      <c r="F28">
        <v>202107</v>
      </c>
      <c r="G28" t="s">
        <v>2166</v>
      </c>
      <c r="H28">
        <v>0</v>
      </c>
      <c r="O28">
        <v>5370</v>
      </c>
      <c r="P28" t="s">
        <v>2398</v>
      </c>
      <c r="Q28">
        <v>5697</v>
      </c>
      <c r="R28" t="s">
        <v>2201</v>
      </c>
      <c r="S28" t="s">
        <v>2371</v>
      </c>
      <c r="T28">
        <v>202112</v>
      </c>
      <c r="U28" t="s">
        <v>184</v>
      </c>
      <c r="V28">
        <v>0</v>
      </c>
    </row>
    <row r="29" spans="1:22">
      <c r="A29">
        <v>5370</v>
      </c>
      <c r="B29" t="s">
        <v>2398</v>
      </c>
      <c r="C29">
        <v>5697</v>
      </c>
      <c r="D29" t="s">
        <v>2201</v>
      </c>
      <c r="E29" t="s">
        <v>2371</v>
      </c>
      <c r="F29">
        <v>202107</v>
      </c>
      <c r="G29" t="s">
        <v>2167</v>
      </c>
      <c r="H29">
        <v>0</v>
      </c>
      <c r="O29">
        <v>5370</v>
      </c>
      <c r="P29" t="s">
        <v>2398</v>
      </c>
      <c r="Q29">
        <v>5697</v>
      </c>
      <c r="R29" t="s">
        <v>2201</v>
      </c>
      <c r="S29" t="s">
        <v>2371</v>
      </c>
      <c r="T29">
        <v>202112</v>
      </c>
      <c r="U29" t="s">
        <v>186</v>
      </c>
      <c r="V29">
        <v>512368</v>
      </c>
    </row>
    <row r="30" spans="1:22">
      <c r="A30">
        <v>5370</v>
      </c>
      <c r="B30" t="s">
        <v>2398</v>
      </c>
      <c r="C30">
        <v>5697</v>
      </c>
      <c r="D30" t="s">
        <v>2201</v>
      </c>
      <c r="E30" t="s">
        <v>2371</v>
      </c>
      <c r="F30">
        <v>202107</v>
      </c>
      <c r="G30" t="s">
        <v>2168</v>
      </c>
      <c r="H30">
        <v>0</v>
      </c>
      <c r="O30">
        <v>5370</v>
      </c>
      <c r="P30" t="s">
        <v>2398</v>
      </c>
      <c r="Q30">
        <v>5697</v>
      </c>
      <c r="R30" t="s">
        <v>2201</v>
      </c>
      <c r="S30" t="s">
        <v>2371</v>
      </c>
      <c r="T30">
        <v>202201</v>
      </c>
      <c r="U30" t="s">
        <v>190</v>
      </c>
      <c r="V30">
        <v>28957821</v>
      </c>
    </row>
    <row r="31" spans="1:22">
      <c r="A31">
        <v>5370</v>
      </c>
      <c r="B31" t="s">
        <v>2398</v>
      </c>
      <c r="C31">
        <v>5697</v>
      </c>
      <c r="D31" t="s">
        <v>2201</v>
      </c>
      <c r="E31" t="s">
        <v>2371</v>
      </c>
      <c r="F31">
        <v>202107</v>
      </c>
      <c r="G31" t="s">
        <v>2171</v>
      </c>
      <c r="H31">
        <v>3235994.99</v>
      </c>
      <c r="O31">
        <v>5370</v>
      </c>
      <c r="P31" t="s">
        <v>2398</v>
      </c>
      <c r="Q31">
        <v>5697</v>
      </c>
      <c r="R31" t="s">
        <v>2201</v>
      </c>
      <c r="S31" t="s">
        <v>2371</v>
      </c>
      <c r="T31">
        <v>202201</v>
      </c>
      <c r="U31" t="s">
        <v>191</v>
      </c>
      <c r="V31">
        <v>2785773</v>
      </c>
    </row>
    <row r="32" spans="1:22">
      <c r="A32">
        <v>5370</v>
      </c>
      <c r="B32" t="s">
        <v>2398</v>
      </c>
      <c r="C32">
        <v>5697</v>
      </c>
      <c r="D32" t="s">
        <v>2201</v>
      </c>
      <c r="E32" t="s">
        <v>2371</v>
      </c>
      <c r="F32">
        <v>202108</v>
      </c>
      <c r="G32" t="s">
        <v>190</v>
      </c>
      <c r="H32">
        <v>26727331</v>
      </c>
      <c r="O32">
        <v>5370</v>
      </c>
      <c r="P32" t="s">
        <v>2398</v>
      </c>
      <c r="Q32">
        <v>5697</v>
      </c>
      <c r="R32" t="s">
        <v>2201</v>
      </c>
      <c r="S32" t="s">
        <v>2371</v>
      </c>
      <c r="T32">
        <v>202201</v>
      </c>
      <c r="U32" t="s">
        <v>178</v>
      </c>
      <c r="V32">
        <v>0</v>
      </c>
    </row>
    <row r="33" spans="1:22">
      <c r="A33">
        <v>5370</v>
      </c>
      <c r="B33" t="s">
        <v>2398</v>
      </c>
      <c r="C33">
        <v>5697</v>
      </c>
      <c r="D33" t="s">
        <v>2201</v>
      </c>
      <c r="E33" t="s">
        <v>2371</v>
      </c>
      <c r="F33">
        <v>202108</v>
      </c>
      <c r="G33" t="s">
        <v>191</v>
      </c>
      <c r="H33">
        <v>2723296</v>
      </c>
      <c r="O33">
        <v>5370</v>
      </c>
      <c r="P33" t="s">
        <v>2398</v>
      </c>
      <c r="Q33">
        <v>5697</v>
      </c>
      <c r="R33" t="s">
        <v>2201</v>
      </c>
      <c r="S33" t="s">
        <v>2371</v>
      </c>
      <c r="T33">
        <v>202201</v>
      </c>
      <c r="U33" t="s">
        <v>180</v>
      </c>
      <c r="V33">
        <v>0</v>
      </c>
    </row>
    <row r="34" spans="1:22">
      <c r="A34">
        <v>5370</v>
      </c>
      <c r="B34" t="s">
        <v>2398</v>
      </c>
      <c r="C34">
        <v>5697</v>
      </c>
      <c r="D34" t="s">
        <v>2201</v>
      </c>
      <c r="E34" t="s">
        <v>2371</v>
      </c>
      <c r="F34">
        <v>202108</v>
      </c>
      <c r="G34" t="s">
        <v>176</v>
      </c>
      <c r="H34">
        <v>0</v>
      </c>
      <c r="O34">
        <v>5370</v>
      </c>
      <c r="P34" t="s">
        <v>2398</v>
      </c>
      <c r="Q34">
        <v>5697</v>
      </c>
      <c r="R34" t="s">
        <v>2201</v>
      </c>
      <c r="S34" t="s">
        <v>2371</v>
      </c>
      <c r="T34">
        <v>202201</v>
      </c>
      <c r="U34" t="s">
        <v>182</v>
      </c>
      <c r="V34">
        <v>0</v>
      </c>
    </row>
    <row r="35" spans="1:22">
      <c r="A35">
        <v>5370</v>
      </c>
      <c r="B35" t="s">
        <v>2398</v>
      </c>
      <c r="C35">
        <v>5697</v>
      </c>
      <c r="D35" t="s">
        <v>2201</v>
      </c>
      <c r="E35" t="s">
        <v>2371</v>
      </c>
      <c r="F35">
        <v>202108</v>
      </c>
      <c r="G35" t="s">
        <v>178</v>
      </c>
      <c r="H35">
        <v>0</v>
      </c>
      <c r="O35">
        <v>5370</v>
      </c>
      <c r="P35" t="s">
        <v>2398</v>
      </c>
      <c r="Q35">
        <v>5697</v>
      </c>
      <c r="R35" t="s">
        <v>2201</v>
      </c>
      <c r="S35" t="s">
        <v>2371</v>
      </c>
      <c r="T35">
        <v>202201</v>
      </c>
      <c r="U35" t="s">
        <v>184</v>
      </c>
      <c r="V35">
        <v>0</v>
      </c>
    </row>
    <row r="36" spans="1:22">
      <c r="A36">
        <v>5370</v>
      </c>
      <c r="B36" t="s">
        <v>2398</v>
      </c>
      <c r="C36">
        <v>5697</v>
      </c>
      <c r="D36" t="s">
        <v>2201</v>
      </c>
      <c r="E36" t="s">
        <v>2371</v>
      </c>
      <c r="F36">
        <v>202108</v>
      </c>
      <c r="G36" t="s">
        <v>180</v>
      </c>
      <c r="H36">
        <v>0</v>
      </c>
      <c r="O36">
        <v>5370</v>
      </c>
      <c r="P36" t="s">
        <v>2398</v>
      </c>
      <c r="Q36">
        <v>5697</v>
      </c>
      <c r="R36" t="s">
        <v>2201</v>
      </c>
      <c r="S36" t="s">
        <v>2371</v>
      </c>
      <c r="T36">
        <v>202201</v>
      </c>
      <c r="U36" t="s">
        <v>186</v>
      </c>
      <c r="V36">
        <v>449497</v>
      </c>
    </row>
    <row r="37" spans="1:22">
      <c r="A37">
        <v>5370</v>
      </c>
      <c r="B37" t="s">
        <v>2398</v>
      </c>
      <c r="C37">
        <v>5697</v>
      </c>
      <c r="D37" t="s">
        <v>2201</v>
      </c>
      <c r="E37" t="s">
        <v>2371</v>
      </c>
      <c r="F37">
        <v>202108</v>
      </c>
      <c r="G37" t="s">
        <v>182</v>
      </c>
      <c r="H37">
        <v>0</v>
      </c>
      <c r="O37">
        <v>5370</v>
      </c>
      <c r="P37" t="s">
        <v>2398</v>
      </c>
      <c r="Q37">
        <v>5697</v>
      </c>
      <c r="R37" t="s">
        <v>2201</v>
      </c>
      <c r="S37" t="s">
        <v>2371</v>
      </c>
      <c r="T37">
        <v>202202</v>
      </c>
      <c r="U37" t="s">
        <v>190</v>
      </c>
      <c r="V37">
        <v>27427835</v>
      </c>
    </row>
    <row r="38" spans="1:22">
      <c r="A38">
        <v>5370</v>
      </c>
      <c r="B38" t="s">
        <v>2398</v>
      </c>
      <c r="C38">
        <v>5697</v>
      </c>
      <c r="D38" t="s">
        <v>2201</v>
      </c>
      <c r="E38" t="s">
        <v>2371</v>
      </c>
      <c r="F38">
        <v>202108</v>
      </c>
      <c r="G38" t="s">
        <v>184</v>
      </c>
      <c r="H38">
        <v>0</v>
      </c>
      <c r="O38">
        <v>5370</v>
      </c>
      <c r="P38" t="s">
        <v>2398</v>
      </c>
      <c r="Q38">
        <v>5697</v>
      </c>
      <c r="R38" t="s">
        <v>2201</v>
      </c>
      <c r="S38" t="s">
        <v>2371</v>
      </c>
      <c r="T38">
        <v>202202</v>
      </c>
      <c r="U38" t="s">
        <v>191</v>
      </c>
      <c r="V38">
        <v>2605813</v>
      </c>
    </row>
    <row r="39" spans="1:22">
      <c r="A39">
        <v>5370</v>
      </c>
      <c r="B39" t="s">
        <v>2398</v>
      </c>
      <c r="C39">
        <v>5697</v>
      </c>
      <c r="D39" t="s">
        <v>2201</v>
      </c>
      <c r="E39" t="s">
        <v>2371</v>
      </c>
      <c r="F39">
        <v>202108</v>
      </c>
      <c r="G39" t="s">
        <v>192</v>
      </c>
      <c r="H39">
        <v>0</v>
      </c>
      <c r="O39">
        <v>5370</v>
      </c>
      <c r="P39" t="s">
        <v>2398</v>
      </c>
      <c r="Q39">
        <v>5697</v>
      </c>
      <c r="R39" t="s">
        <v>2201</v>
      </c>
      <c r="S39" t="s">
        <v>2371</v>
      </c>
      <c r="T39">
        <v>202202</v>
      </c>
      <c r="U39" t="s">
        <v>178</v>
      </c>
      <c r="V39">
        <v>0</v>
      </c>
    </row>
    <row r="40" spans="1:22">
      <c r="A40">
        <v>5370</v>
      </c>
      <c r="B40" t="s">
        <v>2398</v>
      </c>
      <c r="C40">
        <v>5697</v>
      </c>
      <c r="D40" t="s">
        <v>2201</v>
      </c>
      <c r="E40" t="s">
        <v>2371</v>
      </c>
      <c r="F40">
        <v>202108</v>
      </c>
      <c r="G40" t="s">
        <v>2170</v>
      </c>
      <c r="H40">
        <v>13265.79</v>
      </c>
      <c r="O40">
        <v>5370</v>
      </c>
      <c r="P40" t="s">
        <v>2398</v>
      </c>
      <c r="Q40">
        <v>5697</v>
      </c>
      <c r="R40" t="s">
        <v>2201</v>
      </c>
      <c r="S40" t="s">
        <v>2371</v>
      </c>
      <c r="T40">
        <v>202202</v>
      </c>
      <c r="U40" t="s">
        <v>180</v>
      </c>
      <c r="V40">
        <v>0</v>
      </c>
    </row>
    <row r="41" spans="1:22">
      <c r="A41">
        <v>5370</v>
      </c>
      <c r="B41" t="s">
        <v>2398</v>
      </c>
      <c r="C41">
        <v>5697</v>
      </c>
      <c r="D41" t="s">
        <v>2201</v>
      </c>
      <c r="E41" t="s">
        <v>2371</v>
      </c>
      <c r="F41">
        <v>202108</v>
      </c>
      <c r="G41" t="s">
        <v>186</v>
      </c>
      <c r="H41">
        <v>518694</v>
      </c>
      <c r="O41">
        <v>5370</v>
      </c>
      <c r="P41" t="s">
        <v>2398</v>
      </c>
      <c r="Q41">
        <v>5697</v>
      </c>
      <c r="R41" t="s">
        <v>2201</v>
      </c>
      <c r="S41" t="s">
        <v>2371</v>
      </c>
      <c r="T41">
        <v>202202</v>
      </c>
      <c r="U41" t="s">
        <v>182</v>
      </c>
      <c r="V41">
        <v>0</v>
      </c>
    </row>
    <row r="42" spans="1:22">
      <c r="A42">
        <v>5370</v>
      </c>
      <c r="B42" t="s">
        <v>2398</v>
      </c>
      <c r="C42">
        <v>5697</v>
      </c>
      <c r="D42" t="s">
        <v>2201</v>
      </c>
      <c r="E42" t="s">
        <v>2371</v>
      </c>
      <c r="F42">
        <v>202108</v>
      </c>
      <c r="G42" t="s">
        <v>2169</v>
      </c>
      <c r="H42">
        <v>112.16</v>
      </c>
      <c r="O42">
        <v>5370</v>
      </c>
      <c r="P42" t="s">
        <v>2398</v>
      </c>
      <c r="Q42">
        <v>5697</v>
      </c>
      <c r="R42" t="s">
        <v>2201</v>
      </c>
      <c r="S42" t="s">
        <v>2371</v>
      </c>
      <c r="T42">
        <v>202202</v>
      </c>
      <c r="U42" t="s">
        <v>184</v>
      </c>
      <c r="V42">
        <v>0</v>
      </c>
    </row>
    <row r="43" spans="1:22">
      <c r="A43">
        <v>5370</v>
      </c>
      <c r="B43" t="s">
        <v>2398</v>
      </c>
      <c r="C43">
        <v>5697</v>
      </c>
      <c r="D43" t="s">
        <v>2201</v>
      </c>
      <c r="E43" t="s">
        <v>2371</v>
      </c>
      <c r="F43">
        <v>202108</v>
      </c>
      <c r="G43" t="s">
        <v>2166</v>
      </c>
      <c r="H43">
        <v>0</v>
      </c>
      <c r="O43">
        <v>5370</v>
      </c>
      <c r="P43" t="s">
        <v>2398</v>
      </c>
      <c r="Q43">
        <v>5697</v>
      </c>
      <c r="R43" t="s">
        <v>2201</v>
      </c>
      <c r="S43" t="s">
        <v>2371</v>
      </c>
      <c r="T43">
        <v>202202</v>
      </c>
      <c r="U43" t="s">
        <v>186</v>
      </c>
      <c r="V43">
        <v>402577</v>
      </c>
    </row>
    <row r="44" spans="1:22">
      <c r="A44">
        <v>5370</v>
      </c>
      <c r="B44" t="s">
        <v>2398</v>
      </c>
      <c r="C44">
        <v>5697</v>
      </c>
      <c r="D44" t="s">
        <v>2201</v>
      </c>
      <c r="E44" t="s">
        <v>2371</v>
      </c>
      <c r="F44">
        <v>202108</v>
      </c>
      <c r="G44" t="s">
        <v>2167</v>
      </c>
      <c r="H44">
        <v>0</v>
      </c>
      <c r="O44">
        <v>5370</v>
      </c>
      <c r="P44" t="s">
        <v>2398</v>
      </c>
      <c r="Q44">
        <v>5697</v>
      </c>
      <c r="R44" t="s">
        <v>2201</v>
      </c>
      <c r="S44" t="s">
        <v>2371</v>
      </c>
      <c r="T44">
        <v>202203</v>
      </c>
      <c r="U44" t="s">
        <v>190</v>
      </c>
      <c r="V44">
        <v>29553691</v>
      </c>
    </row>
    <row r="45" spans="1:22">
      <c r="A45">
        <v>5370</v>
      </c>
      <c r="B45" t="s">
        <v>2398</v>
      </c>
      <c r="C45">
        <v>5697</v>
      </c>
      <c r="D45" t="s">
        <v>2201</v>
      </c>
      <c r="E45" t="s">
        <v>2371</v>
      </c>
      <c r="F45">
        <v>202108</v>
      </c>
      <c r="G45" t="s">
        <v>2168</v>
      </c>
      <c r="H45">
        <v>0</v>
      </c>
      <c r="O45">
        <v>5370</v>
      </c>
      <c r="P45" t="s">
        <v>2398</v>
      </c>
      <c r="Q45">
        <v>5697</v>
      </c>
      <c r="R45" t="s">
        <v>2201</v>
      </c>
      <c r="S45" t="s">
        <v>2371</v>
      </c>
      <c r="T45">
        <v>202203</v>
      </c>
      <c r="U45" t="s">
        <v>191</v>
      </c>
      <c r="V45">
        <v>2778131</v>
      </c>
    </row>
    <row r="46" spans="1:22">
      <c r="A46">
        <v>5370</v>
      </c>
      <c r="B46" t="s">
        <v>2398</v>
      </c>
      <c r="C46">
        <v>5697</v>
      </c>
      <c r="D46" t="s">
        <v>2201</v>
      </c>
      <c r="E46" t="s">
        <v>2371</v>
      </c>
      <c r="F46">
        <v>202108</v>
      </c>
      <c r="G46" t="s">
        <v>2171</v>
      </c>
      <c r="H46">
        <v>3316448.1</v>
      </c>
      <c r="O46">
        <v>5370</v>
      </c>
      <c r="P46" t="s">
        <v>2398</v>
      </c>
      <c r="Q46">
        <v>5697</v>
      </c>
      <c r="R46" t="s">
        <v>2201</v>
      </c>
      <c r="S46" t="s">
        <v>2371</v>
      </c>
      <c r="T46">
        <v>202203</v>
      </c>
      <c r="U46" t="s">
        <v>178</v>
      </c>
      <c r="V46">
        <v>0</v>
      </c>
    </row>
    <row r="47" spans="1:22">
      <c r="A47">
        <v>5370</v>
      </c>
      <c r="B47" t="s">
        <v>2398</v>
      </c>
      <c r="C47">
        <v>5697</v>
      </c>
      <c r="D47" t="s">
        <v>2201</v>
      </c>
      <c r="E47" t="s">
        <v>2371</v>
      </c>
      <c r="F47">
        <v>202109</v>
      </c>
      <c r="G47" t="s">
        <v>190</v>
      </c>
      <c r="H47">
        <v>25345390</v>
      </c>
      <c r="O47">
        <v>5370</v>
      </c>
      <c r="P47" t="s">
        <v>2398</v>
      </c>
      <c r="Q47">
        <v>5697</v>
      </c>
      <c r="R47" t="s">
        <v>2201</v>
      </c>
      <c r="S47" t="s">
        <v>2371</v>
      </c>
      <c r="T47">
        <v>202203</v>
      </c>
      <c r="U47" t="s">
        <v>180</v>
      </c>
      <c r="V47">
        <v>0</v>
      </c>
    </row>
    <row r="48" spans="1:22">
      <c r="A48">
        <v>5370</v>
      </c>
      <c r="B48" t="s">
        <v>2398</v>
      </c>
      <c r="C48">
        <v>5697</v>
      </c>
      <c r="D48" t="s">
        <v>2201</v>
      </c>
      <c r="E48" t="s">
        <v>2371</v>
      </c>
      <c r="F48">
        <v>202109</v>
      </c>
      <c r="G48" t="s">
        <v>191</v>
      </c>
      <c r="H48">
        <v>2502531</v>
      </c>
      <c r="O48">
        <v>5370</v>
      </c>
      <c r="P48" t="s">
        <v>2398</v>
      </c>
      <c r="Q48">
        <v>5697</v>
      </c>
      <c r="R48" t="s">
        <v>2201</v>
      </c>
      <c r="S48" t="s">
        <v>2371</v>
      </c>
      <c r="T48">
        <v>202203</v>
      </c>
      <c r="U48" t="s">
        <v>182</v>
      </c>
      <c r="V48">
        <v>0</v>
      </c>
    </row>
    <row r="49" spans="1:22">
      <c r="A49">
        <v>5370</v>
      </c>
      <c r="B49" t="s">
        <v>2398</v>
      </c>
      <c r="C49">
        <v>5697</v>
      </c>
      <c r="D49" t="s">
        <v>2201</v>
      </c>
      <c r="E49" t="s">
        <v>2371</v>
      </c>
      <c r="F49">
        <v>202109</v>
      </c>
      <c r="G49" t="s">
        <v>176</v>
      </c>
      <c r="H49">
        <v>0</v>
      </c>
      <c r="O49">
        <v>5370</v>
      </c>
      <c r="P49" t="s">
        <v>2398</v>
      </c>
      <c r="Q49">
        <v>5697</v>
      </c>
      <c r="R49" t="s">
        <v>2201</v>
      </c>
      <c r="S49" t="s">
        <v>2371</v>
      </c>
      <c r="T49">
        <v>202203</v>
      </c>
      <c r="U49" t="s">
        <v>184</v>
      </c>
      <c r="V49">
        <v>0</v>
      </c>
    </row>
    <row r="50" spans="1:22">
      <c r="A50">
        <v>5370</v>
      </c>
      <c r="B50" t="s">
        <v>2398</v>
      </c>
      <c r="C50">
        <v>5697</v>
      </c>
      <c r="D50" t="s">
        <v>2201</v>
      </c>
      <c r="E50" t="s">
        <v>2371</v>
      </c>
      <c r="F50">
        <v>202109</v>
      </c>
      <c r="G50" t="s">
        <v>178</v>
      </c>
      <c r="H50">
        <v>0</v>
      </c>
      <c r="O50">
        <v>5370</v>
      </c>
      <c r="P50" t="s">
        <v>2398</v>
      </c>
      <c r="Q50">
        <v>5697</v>
      </c>
      <c r="R50" t="s">
        <v>2201</v>
      </c>
      <c r="S50" t="s">
        <v>2371</v>
      </c>
      <c r="T50">
        <v>202203</v>
      </c>
      <c r="U50" t="s">
        <v>186</v>
      </c>
      <c r="V50">
        <v>435104</v>
      </c>
    </row>
    <row r="51" spans="1:22">
      <c r="A51">
        <v>5370</v>
      </c>
      <c r="B51" t="s">
        <v>2398</v>
      </c>
      <c r="C51">
        <v>5697</v>
      </c>
      <c r="D51" t="s">
        <v>2201</v>
      </c>
      <c r="E51" t="s">
        <v>2371</v>
      </c>
      <c r="F51">
        <v>202109</v>
      </c>
      <c r="G51" t="s">
        <v>180</v>
      </c>
      <c r="H51">
        <v>0</v>
      </c>
      <c r="O51">
        <v>5370</v>
      </c>
      <c r="P51" t="s">
        <v>2398</v>
      </c>
      <c r="Q51">
        <v>5697</v>
      </c>
      <c r="R51" t="s">
        <v>2201</v>
      </c>
      <c r="S51" t="s">
        <v>2371</v>
      </c>
      <c r="T51">
        <v>202204</v>
      </c>
      <c r="U51" t="s">
        <v>190</v>
      </c>
      <c r="V51">
        <v>25953681</v>
      </c>
    </row>
    <row r="52" spans="1:22">
      <c r="A52">
        <v>5370</v>
      </c>
      <c r="B52" t="s">
        <v>2398</v>
      </c>
      <c r="C52">
        <v>5697</v>
      </c>
      <c r="D52" t="s">
        <v>2201</v>
      </c>
      <c r="E52" t="s">
        <v>2371</v>
      </c>
      <c r="F52">
        <v>202109</v>
      </c>
      <c r="G52" t="s">
        <v>182</v>
      </c>
      <c r="H52">
        <v>0</v>
      </c>
      <c r="O52">
        <v>5370</v>
      </c>
      <c r="P52" t="s">
        <v>2398</v>
      </c>
      <c r="Q52">
        <v>5697</v>
      </c>
      <c r="R52" t="s">
        <v>2201</v>
      </c>
      <c r="S52" t="s">
        <v>2371</v>
      </c>
      <c r="T52">
        <v>202204</v>
      </c>
      <c r="U52" t="s">
        <v>191</v>
      </c>
      <c r="V52">
        <v>2297073</v>
      </c>
    </row>
    <row r="53" spans="1:22">
      <c r="A53">
        <v>5370</v>
      </c>
      <c r="B53" t="s">
        <v>2398</v>
      </c>
      <c r="C53">
        <v>5697</v>
      </c>
      <c r="D53" t="s">
        <v>2201</v>
      </c>
      <c r="E53" t="s">
        <v>2371</v>
      </c>
      <c r="F53">
        <v>202109</v>
      </c>
      <c r="G53" t="s">
        <v>184</v>
      </c>
      <c r="H53">
        <v>0</v>
      </c>
      <c r="O53">
        <v>5370</v>
      </c>
      <c r="P53" t="s">
        <v>2398</v>
      </c>
      <c r="Q53">
        <v>5697</v>
      </c>
      <c r="R53" t="s">
        <v>2201</v>
      </c>
      <c r="S53" t="s">
        <v>2371</v>
      </c>
      <c r="T53">
        <v>202204</v>
      </c>
      <c r="U53" t="s">
        <v>178</v>
      </c>
      <c r="V53">
        <v>0</v>
      </c>
    </row>
    <row r="54" spans="1:22">
      <c r="A54">
        <v>5370</v>
      </c>
      <c r="B54" t="s">
        <v>2398</v>
      </c>
      <c r="C54">
        <v>5697</v>
      </c>
      <c r="D54" t="s">
        <v>2201</v>
      </c>
      <c r="E54" t="s">
        <v>2371</v>
      </c>
      <c r="F54">
        <v>202109</v>
      </c>
      <c r="G54" t="s">
        <v>192</v>
      </c>
      <c r="H54">
        <v>0</v>
      </c>
      <c r="O54">
        <v>5370</v>
      </c>
      <c r="P54" t="s">
        <v>2398</v>
      </c>
      <c r="Q54">
        <v>5697</v>
      </c>
      <c r="R54" t="s">
        <v>2201</v>
      </c>
      <c r="S54" t="s">
        <v>2371</v>
      </c>
      <c r="T54">
        <v>202204</v>
      </c>
      <c r="U54" t="s">
        <v>180</v>
      </c>
      <c r="V54">
        <v>0</v>
      </c>
    </row>
    <row r="55" spans="1:22">
      <c r="A55">
        <v>5370</v>
      </c>
      <c r="B55" t="s">
        <v>2398</v>
      </c>
      <c r="C55">
        <v>5697</v>
      </c>
      <c r="D55" t="s">
        <v>2201</v>
      </c>
      <c r="E55" t="s">
        <v>2371</v>
      </c>
      <c r="F55">
        <v>202109</v>
      </c>
      <c r="G55" t="s">
        <v>2170</v>
      </c>
      <c r="H55">
        <v>84442.25</v>
      </c>
      <c r="O55">
        <v>5370</v>
      </c>
      <c r="P55" t="s">
        <v>2398</v>
      </c>
      <c r="Q55">
        <v>5697</v>
      </c>
      <c r="R55" t="s">
        <v>2201</v>
      </c>
      <c r="S55" t="s">
        <v>2371</v>
      </c>
      <c r="T55">
        <v>202204</v>
      </c>
      <c r="U55" t="s">
        <v>182</v>
      </c>
      <c r="V55">
        <v>0</v>
      </c>
    </row>
    <row r="56" spans="1:22">
      <c r="A56">
        <v>5370</v>
      </c>
      <c r="B56" t="s">
        <v>2398</v>
      </c>
      <c r="C56">
        <v>5697</v>
      </c>
      <c r="D56" t="s">
        <v>2201</v>
      </c>
      <c r="E56" t="s">
        <v>2371</v>
      </c>
      <c r="F56">
        <v>202109</v>
      </c>
      <c r="G56" t="s">
        <v>186</v>
      </c>
      <c r="H56">
        <v>528578</v>
      </c>
      <c r="O56">
        <v>5370</v>
      </c>
      <c r="P56" t="s">
        <v>2398</v>
      </c>
      <c r="Q56">
        <v>5697</v>
      </c>
      <c r="R56" t="s">
        <v>2201</v>
      </c>
      <c r="S56" t="s">
        <v>2371</v>
      </c>
      <c r="T56">
        <v>202204</v>
      </c>
      <c r="U56" t="s">
        <v>184</v>
      </c>
      <c r="V56">
        <v>0</v>
      </c>
    </row>
    <row r="57" spans="1:22">
      <c r="A57">
        <v>5370</v>
      </c>
      <c r="B57" t="s">
        <v>2398</v>
      </c>
      <c r="C57">
        <v>5697</v>
      </c>
      <c r="D57" t="s">
        <v>2201</v>
      </c>
      <c r="E57" t="s">
        <v>2371</v>
      </c>
      <c r="F57">
        <v>202109</v>
      </c>
      <c r="G57" t="s">
        <v>2169</v>
      </c>
      <c r="H57">
        <v>112.7</v>
      </c>
      <c r="O57">
        <v>5370</v>
      </c>
      <c r="P57" t="s">
        <v>2398</v>
      </c>
      <c r="Q57">
        <v>5697</v>
      </c>
      <c r="R57" t="s">
        <v>2201</v>
      </c>
      <c r="S57" t="s">
        <v>2371</v>
      </c>
      <c r="T57">
        <v>202204</v>
      </c>
      <c r="U57" t="s">
        <v>186</v>
      </c>
      <c r="V57">
        <v>418646</v>
      </c>
    </row>
    <row r="58" spans="1:22">
      <c r="A58">
        <v>5370</v>
      </c>
      <c r="B58" t="s">
        <v>2398</v>
      </c>
      <c r="C58">
        <v>5697</v>
      </c>
      <c r="D58" t="s">
        <v>2201</v>
      </c>
      <c r="E58" t="s">
        <v>2371</v>
      </c>
      <c r="F58">
        <v>202109</v>
      </c>
      <c r="G58" t="s">
        <v>2166</v>
      </c>
      <c r="H58">
        <v>0</v>
      </c>
      <c r="O58">
        <v>5370</v>
      </c>
      <c r="P58" t="s">
        <v>2398</v>
      </c>
      <c r="Q58">
        <v>5697</v>
      </c>
      <c r="R58" t="s">
        <v>2201</v>
      </c>
      <c r="S58" t="s">
        <v>2371</v>
      </c>
      <c r="T58">
        <v>202205</v>
      </c>
      <c r="U58" t="s">
        <v>190</v>
      </c>
      <c r="V58">
        <v>26661780</v>
      </c>
    </row>
    <row r="59" spans="1:22">
      <c r="A59">
        <v>5370</v>
      </c>
      <c r="B59" t="s">
        <v>2398</v>
      </c>
      <c r="C59">
        <v>5697</v>
      </c>
      <c r="D59" t="s">
        <v>2201</v>
      </c>
      <c r="E59" t="s">
        <v>2371</v>
      </c>
      <c r="F59">
        <v>202109</v>
      </c>
      <c r="G59" t="s">
        <v>2167</v>
      </c>
      <c r="H59">
        <v>0</v>
      </c>
      <c r="O59">
        <v>5370</v>
      </c>
      <c r="P59" t="s">
        <v>2398</v>
      </c>
      <c r="Q59">
        <v>5697</v>
      </c>
      <c r="R59" t="s">
        <v>2201</v>
      </c>
      <c r="S59" t="s">
        <v>2371</v>
      </c>
      <c r="T59">
        <v>202205</v>
      </c>
      <c r="U59" t="s">
        <v>191</v>
      </c>
      <c r="V59">
        <v>2702819</v>
      </c>
    </row>
    <row r="60" spans="1:22">
      <c r="A60">
        <v>5370</v>
      </c>
      <c r="B60" t="s">
        <v>2398</v>
      </c>
      <c r="C60">
        <v>5697</v>
      </c>
      <c r="D60" t="s">
        <v>2201</v>
      </c>
      <c r="E60" t="s">
        <v>2371</v>
      </c>
      <c r="F60">
        <v>202109</v>
      </c>
      <c r="G60" t="s">
        <v>2168</v>
      </c>
      <c r="H60">
        <v>0</v>
      </c>
      <c r="O60">
        <v>5370</v>
      </c>
      <c r="P60" t="s">
        <v>2398</v>
      </c>
      <c r="Q60">
        <v>5697</v>
      </c>
      <c r="R60" t="s">
        <v>2201</v>
      </c>
      <c r="S60" t="s">
        <v>2371</v>
      </c>
      <c r="T60">
        <v>202205</v>
      </c>
      <c r="U60" t="s">
        <v>178</v>
      </c>
      <c r="V60">
        <v>0</v>
      </c>
    </row>
    <row r="61" spans="1:22">
      <c r="A61">
        <v>5370</v>
      </c>
      <c r="B61" t="s">
        <v>2398</v>
      </c>
      <c r="C61">
        <v>5697</v>
      </c>
      <c r="D61" t="s">
        <v>2201</v>
      </c>
      <c r="E61" t="s">
        <v>2371</v>
      </c>
      <c r="F61">
        <v>202109</v>
      </c>
      <c r="G61" t="s">
        <v>2171</v>
      </c>
      <c r="H61">
        <v>3222986.48</v>
      </c>
      <c r="O61">
        <v>5370</v>
      </c>
      <c r="P61" t="s">
        <v>2398</v>
      </c>
      <c r="Q61">
        <v>5697</v>
      </c>
      <c r="R61" t="s">
        <v>2201</v>
      </c>
      <c r="S61" t="s">
        <v>2371</v>
      </c>
      <c r="T61">
        <v>202205</v>
      </c>
      <c r="U61" t="s">
        <v>180</v>
      </c>
      <c r="V61">
        <v>0</v>
      </c>
    </row>
    <row r="62" spans="1:22">
      <c r="A62">
        <v>5370</v>
      </c>
      <c r="B62" t="s">
        <v>2398</v>
      </c>
      <c r="C62">
        <v>5697</v>
      </c>
      <c r="D62" t="s">
        <v>2201</v>
      </c>
      <c r="E62" t="s">
        <v>2371</v>
      </c>
      <c r="F62">
        <v>202110</v>
      </c>
      <c r="G62" t="s">
        <v>190</v>
      </c>
      <c r="H62">
        <v>26084820</v>
      </c>
      <c r="O62">
        <v>5370</v>
      </c>
      <c r="P62" t="s">
        <v>2398</v>
      </c>
      <c r="Q62">
        <v>5697</v>
      </c>
      <c r="R62" t="s">
        <v>2201</v>
      </c>
      <c r="S62" t="s">
        <v>2371</v>
      </c>
      <c r="T62">
        <v>202205</v>
      </c>
      <c r="U62" t="s">
        <v>182</v>
      </c>
      <c r="V62">
        <v>0</v>
      </c>
    </row>
    <row r="63" spans="1:22">
      <c r="A63">
        <v>5370</v>
      </c>
      <c r="B63" t="s">
        <v>2398</v>
      </c>
      <c r="C63">
        <v>5697</v>
      </c>
      <c r="D63" t="s">
        <v>2201</v>
      </c>
      <c r="E63" t="s">
        <v>2371</v>
      </c>
      <c r="F63">
        <v>202110</v>
      </c>
      <c r="G63" t="s">
        <v>191</v>
      </c>
      <c r="H63">
        <v>2459641</v>
      </c>
      <c r="O63">
        <v>5370</v>
      </c>
      <c r="P63" t="s">
        <v>2398</v>
      </c>
      <c r="Q63">
        <v>5697</v>
      </c>
      <c r="R63" t="s">
        <v>2201</v>
      </c>
      <c r="S63" t="s">
        <v>2371</v>
      </c>
      <c r="T63">
        <v>202205</v>
      </c>
      <c r="U63" t="s">
        <v>184</v>
      </c>
      <c r="V63">
        <v>0</v>
      </c>
    </row>
    <row r="64" spans="1:22">
      <c r="A64">
        <v>5370</v>
      </c>
      <c r="B64" t="s">
        <v>2398</v>
      </c>
      <c r="C64">
        <v>5697</v>
      </c>
      <c r="D64" t="s">
        <v>2201</v>
      </c>
      <c r="E64" t="s">
        <v>2371</v>
      </c>
      <c r="F64">
        <v>202110</v>
      </c>
      <c r="G64" t="s">
        <v>176</v>
      </c>
      <c r="H64">
        <v>0</v>
      </c>
      <c r="O64">
        <v>5370</v>
      </c>
      <c r="P64" t="s">
        <v>2398</v>
      </c>
      <c r="Q64">
        <v>5697</v>
      </c>
      <c r="R64" t="s">
        <v>2201</v>
      </c>
      <c r="S64" t="s">
        <v>2371</v>
      </c>
      <c r="T64">
        <v>202205</v>
      </c>
      <c r="U64" t="s">
        <v>186</v>
      </c>
      <c r="V64">
        <v>474888</v>
      </c>
    </row>
    <row r="65" spans="1:22">
      <c r="A65">
        <v>5370</v>
      </c>
      <c r="B65" t="s">
        <v>2398</v>
      </c>
      <c r="C65">
        <v>5697</v>
      </c>
      <c r="D65" t="s">
        <v>2201</v>
      </c>
      <c r="E65" t="s">
        <v>2371</v>
      </c>
      <c r="F65">
        <v>202110</v>
      </c>
      <c r="G65" t="s">
        <v>178</v>
      </c>
      <c r="H65">
        <v>0</v>
      </c>
      <c r="O65">
        <v>5370</v>
      </c>
      <c r="P65" t="s">
        <v>2398</v>
      </c>
      <c r="Q65">
        <v>5697</v>
      </c>
      <c r="R65" t="s">
        <v>2201</v>
      </c>
      <c r="S65" t="s">
        <v>2371</v>
      </c>
      <c r="T65">
        <v>202206</v>
      </c>
      <c r="U65" t="s">
        <v>190</v>
      </c>
      <c r="V65">
        <v>25466756</v>
      </c>
    </row>
    <row r="66" spans="1:22">
      <c r="A66">
        <v>5370</v>
      </c>
      <c r="B66" t="s">
        <v>2398</v>
      </c>
      <c r="C66">
        <v>5697</v>
      </c>
      <c r="D66" t="s">
        <v>2201</v>
      </c>
      <c r="E66" t="s">
        <v>2371</v>
      </c>
      <c r="F66">
        <v>202110</v>
      </c>
      <c r="G66" t="s">
        <v>180</v>
      </c>
      <c r="H66">
        <v>0</v>
      </c>
      <c r="O66">
        <v>5370</v>
      </c>
      <c r="P66" t="s">
        <v>2398</v>
      </c>
      <c r="Q66">
        <v>5697</v>
      </c>
      <c r="R66" t="s">
        <v>2201</v>
      </c>
      <c r="S66" t="s">
        <v>2371</v>
      </c>
      <c r="T66">
        <v>202206</v>
      </c>
      <c r="U66" t="s">
        <v>191</v>
      </c>
      <c r="V66">
        <v>2643032</v>
      </c>
    </row>
    <row r="67" spans="1:22">
      <c r="A67">
        <v>5370</v>
      </c>
      <c r="B67" t="s">
        <v>2398</v>
      </c>
      <c r="C67">
        <v>5697</v>
      </c>
      <c r="D67" t="s">
        <v>2201</v>
      </c>
      <c r="E67" t="s">
        <v>2371</v>
      </c>
      <c r="F67">
        <v>202110</v>
      </c>
      <c r="G67" t="s">
        <v>182</v>
      </c>
      <c r="H67">
        <v>0</v>
      </c>
      <c r="O67">
        <v>5370</v>
      </c>
      <c r="P67" t="s">
        <v>2398</v>
      </c>
      <c r="Q67">
        <v>5697</v>
      </c>
      <c r="R67" t="s">
        <v>2201</v>
      </c>
      <c r="S67" t="s">
        <v>2371</v>
      </c>
      <c r="T67">
        <v>202206</v>
      </c>
      <c r="U67" t="s">
        <v>178</v>
      </c>
      <c r="V67">
        <v>0</v>
      </c>
    </row>
    <row r="68" spans="1:22">
      <c r="A68">
        <v>5370</v>
      </c>
      <c r="B68" t="s">
        <v>2398</v>
      </c>
      <c r="C68">
        <v>5697</v>
      </c>
      <c r="D68" t="s">
        <v>2201</v>
      </c>
      <c r="E68" t="s">
        <v>2371</v>
      </c>
      <c r="F68">
        <v>202110</v>
      </c>
      <c r="G68" t="s">
        <v>184</v>
      </c>
      <c r="H68">
        <v>0</v>
      </c>
      <c r="O68">
        <v>5370</v>
      </c>
      <c r="P68" t="s">
        <v>2398</v>
      </c>
      <c r="Q68">
        <v>5697</v>
      </c>
      <c r="R68" t="s">
        <v>2201</v>
      </c>
      <c r="S68" t="s">
        <v>2371</v>
      </c>
      <c r="T68">
        <v>202206</v>
      </c>
      <c r="U68" t="s">
        <v>180</v>
      </c>
      <c r="V68">
        <v>0</v>
      </c>
    </row>
    <row r="69" spans="1:22">
      <c r="A69">
        <v>5370</v>
      </c>
      <c r="B69" t="s">
        <v>2398</v>
      </c>
      <c r="C69">
        <v>5697</v>
      </c>
      <c r="D69" t="s">
        <v>2201</v>
      </c>
      <c r="E69" t="s">
        <v>2371</v>
      </c>
      <c r="F69">
        <v>202110</v>
      </c>
      <c r="G69" t="s">
        <v>192</v>
      </c>
      <c r="H69">
        <v>0</v>
      </c>
      <c r="O69">
        <v>5370</v>
      </c>
      <c r="P69" t="s">
        <v>2398</v>
      </c>
      <c r="Q69">
        <v>5697</v>
      </c>
      <c r="R69" t="s">
        <v>2201</v>
      </c>
      <c r="S69" t="s">
        <v>2371</v>
      </c>
      <c r="T69">
        <v>202206</v>
      </c>
      <c r="U69" t="s">
        <v>182</v>
      </c>
      <c r="V69">
        <v>0</v>
      </c>
    </row>
    <row r="70" spans="1:22">
      <c r="A70">
        <v>5370</v>
      </c>
      <c r="B70" t="s">
        <v>2398</v>
      </c>
      <c r="C70">
        <v>5697</v>
      </c>
      <c r="D70" t="s">
        <v>2201</v>
      </c>
      <c r="E70" t="s">
        <v>2371</v>
      </c>
      <c r="F70">
        <v>202110</v>
      </c>
      <c r="G70" t="s">
        <v>2170</v>
      </c>
      <c r="H70">
        <v>134952.85</v>
      </c>
      <c r="O70">
        <v>5370</v>
      </c>
      <c r="P70" t="s">
        <v>2398</v>
      </c>
      <c r="Q70">
        <v>5697</v>
      </c>
      <c r="R70" t="s">
        <v>2201</v>
      </c>
      <c r="S70" t="s">
        <v>2371</v>
      </c>
      <c r="T70">
        <v>202206</v>
      </c>
      <c r="U70" t="s">
        <v>184</v>
      </c>
      <c r="V70">
        <v>0</v>
      </c>
    </row>
    <row r="71" spans="1:22">
      <c r="A71">
        <v>5370</v>
      </c>
      <c r="B71" t="s">
        <v>2398</v>
      </c>
      <c r="C71">
        <v>5697</v>
      </c>
      <c r="D71" t="s">
        <v>2201</v>
      </c>
      <c r="E71" t="s">
        <v>2371</v>
      </c>
      <c r="F71">
        <v>202110</v>
      </c>
      <c r="G71" t="s">
        <v>186</v>
      </c>
      <c r="H71">
        <v>562810</v>
      </c>
      <c r="O71">
        <v>5370</v>
      </c>
      <c r="P71" t="s">
        <v>2398</v>
      </c>
      <c r="Q71">
        <v>5697</v>
      </c>
      <c r="R71" t="s">
        <v>2201</v>
      </c>
      <c r="S71" t="s">
        <v>2371</v>
      </c>
      <c r="T71">
        <v>202206</v>
      </c>
      <c r="U71" t="s">
        <v>186</v>
      </c>
      <c r="V71">
        <v>474561</v>
      </c>
    </row>
    <row r="72" spans="1:22">
      <c r="A72">
        <v>5370</v>
      </c>
      <c r="B72" t="s">
        <v>2398</v>
      </c>
      <c r="C72">
        <v>5697</v>
      </c>
      <c r="D72" t="s">
        <v>2201</v>
      </c>
      <c r="E72" t="s">
        <v>2371</v>
      </c>
      <c r="F72">
        <v>202110</v>
      </c>
      <c r="G72" t="s">
        <v>2169</v>
      </c>
      <c r="H72">
        <v>128.44999999999999</v>
      </c>
      <c r="O72">
        <v>5370</v>
      </c>
      <c r="P72" t="s">
        <v>2398</v>
      </c>
      <c r="Q72">
        <v>5697</v>
      </c>
      <c r="R72" t="s">
        <v>2201</v>
      </c>
      <c r="S72" t="s">
        <v>2371</v>
      </c>
      <c r="T72">
        <v>202207</v>
      </c>
      <c r="U72" t="s">
        <v>190</v>
      </c>
      <c r="V72">
        <v>25580695</v>
      </c>
    </row>
    <row r="73" spans="1:22">
      <c r="A73">
        <v>5370</v>
      </c>
      <c r="B73" t="s">
        <v>2398</v>
      </c>
      <c r="C73">
        <v>5697</v>
      </c>
      <c r="D73" t="s">
        <v>2201</v>
      </c>
      <c r="E73" t="s">
        <v>2371</v>
      </c>
      <c r="F73">
        <v>202110</v>
      </c>
      <c r="G73" t="s">
        <v>2166</v>
      </c>
      <c r="H73">
        <v>0</v>
      </c>
      <c r="O73">
        <v>5370</v>
      </c>
      <c r="P73" t="s">
        <v>2398</v>
      </c>
      <c r="Q73">
        <v>5697</v>
      </c>
      <c r="R73" t="s">
        <v>2201</v>
      </c>
      <c r="S73" t="s">
        <v>2371</v>
      </c>
      <c r="T73">
        <v>202207</v>
      </c>
      <c r="U73" t="s">
        <v>191</v>
      </c>
      <c r="V73">
        <v>2621622</v>
      </c>
    </row>
    <row r="74" spans="1:22">
      <c r="A74">
        <v>5370</v>
      </c>
      <c r="B74" t="s">
        <v>2398</v>
      </c>
      <c r="C74">
        <v>5697</v>
      </c>
      <c r="D74" t="s">
        <v>2201</v>
      </c>
      <c r="E74" t="s">
        <v>2371</v>
      </c>
      <c r="F74">
        <v>202110</v>
      </c>
      <c r="G74" t="s">
        <v>2167</v>
      </c>
      <c r="H74">
        <v>0</v>
      </c>
      <c r="O74">
        <v>5370</v>
      </c>
      <c r="P74" t="s">
        <v>2398</v>
      </c>
      <c r="Q74">
        <v>5697</v>
      </c>
      <c r="R74" t="s">
        <v>2201</v>
      </c>
      <c r="S74" t="s">
        <v>2371</v>
      </c>
      <c r="T74">
        <v>202207</v>
      </c>
      <c r="U74" t="s">
        <v>178</v>
      </c>
      <c r="V74">
        <v>0</v>
      </c>
    </row>
    <row r="75" spans="1:22">
      <c r="A75">
        <v>5370</v>
      </c>
      <c r="B75" t="s">
        <v>2398</v>
      </c>
      <c r="C75">
        <v>5697</v>
      </c>
      <c r="D75" t="s">
        <v>2201</v>
      </c>
      <c r="E75" t="s">
        <v>2371</v>
      </c>
      <c r="F75">
        <v>202110</v>
      </c>
      <c r="G75" t="s">
        <v>2168</v>
      </c>
      <c r="H75">
        <v>0</v>
      </c>
      <c r="O75">
        <v>5370</v>
      </c>
      <c r="P75" t="s">
        <v>2398</v>
      </c>
      <c r="Q75">
        <v>5697</v>
      </c>
      <c r="R75" t="s">
        <v>2201</v>
      </c>
      <c r="S75" t="s">
        <v>2371</v>
      </c>
      <c r="T75">
        <v>202207</v>
      </c>
      <c r="U75" t="s">
        <v>180</v>
      </c>
      <c r="V75">
        <v>0</v>
      </c>
    </row>
    <row r="76" spans="1:22">
      <c r="A76">
        <v>5370</v>
      </c>
      <c r="B76" t="s">
        <v>2398</v>
      </c>
      <c r="C76">
        <v>5697</v>
      </c>
      <c r="D76" t="s">
        <v>2201</v>
      </c>
      <c r="E76" t="s">
        <v>2371</v>
      </c>
      <c r="F76">
        <v>202110</v>
      </c>
      <c r="G76" t="s">
        <v>2171</v>
      </c>
      <c r="H76">
        <v>3872891.39</v>
      </c>
      <c r="O76">
        <v>5370</v>
      </c>
      <c r="P76" t="s">
        <v>2398</v>
      </c>
      <c r="Q76">
        <v>5697</v>
      </c>
      <c r="R76" t="s">
        <v>2201</v>
      </c>
      <c r="S76" t="s">
        <v>2371</v>
      </c>
      <c r="T76">
        <v>202207</v>
      </c>
      <c r="U76" t="s">
        <v>182</v>
      </c>
      <c r="V76">
        <v>0</v>
      </c>
    </row>
    <row r="77" spans="1:22">
      <c r="A77">
        <v>5370</v>
      </c>
      <c r="B77" t="s">
        <v>2398</v>
      </c>
      <c r="C77">
        <v>5697</v>
      </c>
      <c r="D77" t="s">
        <v>2201</v>
      </c>
      <c r="E77" t="s">
        <v>2371</v>
      </c>
      <c r="F77">
        <v>202111</v>
      </c>
      <c r="G77" t="s">
        <v>190</v>
      </c>
      <c r="H77">
        <v>26856001</v>
      </c>
      <c r="O77">
        <v>5370</v>
      </c>
      <c r="P77" t="s">
        <v>2398</v>
      </c>
      <c r="Q77">
        <v>5697</v>
      </c>
      <c r="R77" t="s">
        <v>2201</v>
      </c>
      <c r="S77" t="s">
        <v>2371</v>
      </c>
      <c r="T77">
        <v>202207</v>
      </c>
      <c r="U77" t="s">
        <v>184</v>
      </c>
      <c r="V77">
        <v>0</v>
      </c>
    </row>
    <row r="78" spans="1:22">
      <c r="A78">
        <v>5370</v>
      </c>
      <c r="B78" t="s">
        <v>2398</v>
      </c>
      <c r="C78">
        <v>5697</v>
      </c>
      <c r="D78" t="s">
        <v>2201</v>
      </c>
      <c r="E78" t="s">
        <v>2371</v>
      </c>
      <c r="F78">
        <v>202111</v>
      </c>
      <c r="G78" t="s">
        <v>191</v>
      </c>
      <c r="H78">
        <v>2539077</v>
      </c>
      <c r="O78">
        <v>5370</v>
      </c>
      <c r="P78" t="s">
        <v>2398</v>
      </c>
      <c r="Q78">
        <v>5697</v>
      </c>
      <c r="R78" t="s">
        <v>2201</v>
      </c>
      <c r="S78" t="s">
        <v>2371</v>
      </c>
      <c r="T78">
        <v>202207</v>
      </c>
      <c r="U78" t="s">
        <v>186</v>
      </c>
      <c r="V78">
        <v>491701</v>
      </c>
    </row>
    <row r="79" spans="1:22">
      <c r="A79">
        <v>5370</v>
      </c>
      <c r="B79" t="s">
        <v>2398</v>
      </c>
      <c r="C79">
        <v>5697</v>
      </c>
      <c r="D79" t="s">
        <v>2201</v>
      </c>
      <c r="E79" t="s">
        <v>2371</v>
      </c>
      <c r="F79">
        <v>202111</v>
      </c>
      <c r="G79" t="s">
        <v>176</v>
      </c>
      <c r="H79">
        <v>0</v>
      </c>
    </row>
    <row r="80" spans="1:22">
      <c r="A80">
        <v>5370</v>
      </c>
      <c r="B80" t="s">
        <v>2398</v>
      </c>
      <c r="C80">
        <v>5697</v>
      </c>
      <c r="D80" t="s">
        <v>2201</v>
      </c>
      <c r="E80" t="s">
        <v>2371</v>
      </c>
      <c r="F80">
        <v>202111</v>
      </c>
      <c r="G80" t="s">
        <v>178</v>
      </c>
      <c r="H80">
        <v>0</v>
      </c>
      <c r="O80">
        <v>5370</v>
      </c>
      <c r="P80" t="s">
        <v>2398</v>
      </c>
      <c r="Q80">
        <v>5697</v>
      </c>
      <c r="R80" t="s">
        <v>2201</v>
      </c>
      <c r="S80" t="s">
        <v>2371</v>
      </c>
      <c r="T80">
        <v>202207</v>
      </c>
      <c r="U80" t="s">
        <v>190</v>
      </c>
      <c r="V80">
        <v>25580695</v>
      </c>
    </row>
    <row r="81" spans="1:22">
      <c r="A81">
        <v>5370</v>
      </c>
      <c r="B81" t="s">
        <v>2398</v>
      </c>
      <c r="C81">
        <v>5697</v>
      </c>
      <c r="D81" t="s">
        <v>2201</v>
      </c>
      <c r="E81" t="s">
        <v>2371</v>
      </c>
      <c r="F81">
        <v>202111</v>
      </c>
      <c r="G81" t="s">
        <v>180</v>
      </c>
      <c r="H81">
        <v>0</v>
      </c>
      <c r="O81">
        <v>5370</v>
      </c>
      <c r="P81" t="s">
        <v>2398</v>
      </c>
      <c r="Q81">
        <v>5697</v>
      </c>
      <c r="R81" t="s">
        <v>2201</v>
      </c>
      <c r="S81" t="s">
        <v>2371</v>
      </c>
      <c r="T81">
        <v>202207</v>
      </c>
      <c r="U81" t="s">
        <v>191</v>
      </c>
      <c r="V81">
        <v>2621622</v>
      </c>
    </row>
    <row r="82" spans="1:22">
      <c r="A82">
        <v>5370</v>
      </c>
      <c r="B82" t="s">
        <v>2398</v>
      </c>
      <c r="C82">
        <v>5697</v>
      </c>
      <c r="D82" t="s">
        <v>2201</v>
      </c>
      <c r="E82" t="s">
        <v>2371</v>
      </c>
      <c r="F82">
        <v>202111</v>
      </c>
      <c r="G82" t="s">
        <v>182</v>
      </c>
      <c r="H82">
        <v>0</v>
      </c>
      <c r="O82">
        <v>5370</v>
      </c>
      <c r="P82" t="s">
        <v>2398</v>
      </c>
      <c r="Q82">
        <v>5697</v>
      </c>
      <c r="R82" t="s">
        <v>2201</v>
      </c>
      <c r="S82" t="s">
        <v>2371</v>
      </c>
      <c r="T82">
        <v>202207</v>
      </c>
      <c r="U82" t="s">
        <v>178</v>
      </c>
      <c r="V82">
        <v>0</v>
      </c>
    </row>
    <row r="83" spans="1:22">
      <c r="A83">
        <v>5370</v>
      </c>
      <c r="B83" t="s">
        <v>2398</v>
      </c>
      <c r="C83">
        <v>5697</v>
      </c>
      <c r="D83" t="s">
        <v>2201</v>
      </c>
      <c r="E83" t="s">
        <v>2371</v>
      </c>
      <c r="F83">
        <v>202111</v>
      </c>
      <c r="G83" t="s">
        <v>184</v>
      </c>
      <c r="H83">
        <v>0</v>
      </c>
      <c r="O83">
        <v>5370</v>
      </c>
      <c r="P83" t="s">
        <v>2398</v>
      </c>
      <c r="Q83">
        <v>5697</v>
      </c>
      <c r="R83" t="s">
        <v>2201</v>
      </c>
      <c r="S83" t="s">
        <v>2371</v>
      </c>
      <c r="T83">
        <v>202207</v>
      </c>
      <c r="U83" t="s">
        <v>180</v>
      </c>
      <c r="V83">
        <v>0</v>
      </c>
    </row>
    <row r="84" spans="1:22">
      <c r="A84">
        <v>5370</v>
      </c>
      <c r="B84" t="s">
        <v>2398</v>
      </c>
      <c r="C84">
        <v>5697</v>
      </c>
      <c r="D84" t="s">
        <v>2201</v>
      </c>
      <c r="E84" t="s">
        <v>2371</v>
      </c>
      <c r="F84">
        <v>202111</v>
      </c>
      <c r="G84" t="s">
        <v>192</v>
      </c>
      <c r="H84">
        <v>0</v>
      </c>
      <c r="O84">
        <v>5370</v>
      </c>
      <c r="P84" t="s">
        <v>2398</v>
      </c>
      <c r="Q84">
        <v>5697</v>
      </c>
      <c r="R84" t="s">
        <v>2201</v>
      </c>
      <c r="S84" t="s">
        <v>2371</v>
      </c>
      <c r="T84">
        <v>202207</v>
      </c>
      <c r="U84" t="s">
        <v>182</v>
      </c>
      <c r="V84">
        <v>0</v>
      </c>
    </row>
    <row r="85" spans="1:22">
      <c r="A85">
        <v>5370</v>
      </c>
      <c r="B85" t="s">
        <v>2398</v>
      </c>
      <c r="C85">
        <v>5697</v>
      </c>
      <c r="D85" t="s">
        <v>2201</v>
      </c>
      <c r="E85" t="s">
        <v>2371</v>
      </c>
      <c r="F85">
        <v>202111</v>
      </c>
      <c r="G85" t="s">
        <v>2170</v>
      </c>
      <c r="H85">
        <v>146701.48000000001</v>
      </c>
      <c r="O85">
        <v>5370</v>
      </c>
      <c r="P85" t="s">
        <v>2398</v>
      </c>
      <c r="Q85">
        <v>5697</v>
      </c>
      <c r="R85" t="s">
        <v>2201</v>
      </c>
      <c r="S85" t="s">
        <v>2371</v>
      </c>
      <c r="T85">
        <v>202207</v>
      </c>
      <c r="U85" t="s">
        <v>184</v>
      </c>
      <c r="V85">
        <v>0</v>
      </c>
    </row>
    <row r="86" spans="1:22">
      <c r="A86">
        <v>5370</v>
      </c>
      <c r="B86" t="s">
        <v>2398</v>
      </c>
      <c r="C86">
        <v>5697</v>
      </c>
      <c r="D86" t="s">
        <v>2201</v>
      </c>
      <c r="E86" t="s">
        <v>2371</v>
      </c>
      <c r="F86">
        <v>202111</v>
      </c>
      <c r="G86" t="s">
        <v>186</v>
      </c>
      <c r="H86">
        <v>561898</v>
      </c>
      <c r="O86">
        <v>5370</v>
      </c>
      <c r="P86" t="s">
        <v>2398</v>
      </c>
      <c r="Q86">
        <v>5697</v>
      </c>
      <c r="R86" t="s">
        <v>2201</v>
      </c>
      <c r="S86" t="s">
        <v>2371</v>
      </c>
      <c r="T86">
        <v>202207</v>
      </c>
      <c r="U86" t="s">
        <v>186</v>
      </c>
      <c r="V86">
        <v>491701</v>
      </c>
    </row>
    <row r="87" spans="1:22">
      <c r="A87">
        <v>5370</v>
      </c>
      <c r="B87" t="s">
        <v>2398</v>
      </c>
      <c r="C87">
        <v>5697</v>
      </c>
      <c r="D87" t="s">
        <v>2201</v>
      </c>
      <c r="E87" t="s">
        <v>2371</v>
      </c>
      <c r="F87">
        <v>202111</v>
      </c>
      <c r="G87" t="s">
        <v>2169</v>
      </c>
      <c r="H87">
        <v>128.44999999999999</v>
      </c>
    </row>
    <row r="88" spans="1:22">
      <c r="A88">
        <v>5370</v>
      </c>
      <c r="B88" t="s">
        <v>2398</v>
      </c>
      <c r="C88">
        <v>5697</v>
      </c>
      <c r="D88" t="s">
        <v>2201</v>
      </c>
      <c r="E88" t="s">
        <v>2371</v>
      </c>
      <c r="F88">
        <v>202111</v>
      </c>
      <c r="G88" t="s">
        <v>2166</v>
      </c>
      <c r="H88">
        <v>0</v>
      </c>
    </row>
    <row r="89" spans="1:22">
      <c r="A89">
        <v>5370</v>
      </c>
      <c r="B89" t="s">
        <v>2398</v>
      </c>
      <c r="C89">
        <v>5697</v>
      </c>
      <c r="D89" t="s">
        <v>2201</v>
      </c>
      <c r="E89" t="s">
        <v>2371</v>
      </c>
      <c r="F89">
        <v>202111</v>
      </c>
      <c r="G89" t="s">
        <v>2167</v>
      </c>
      <c r="H89">
        <v>0</v>
      </c>
    </row>
    <row r="90" spans="1:22">
      <c r="A90">
        <v>5370</v>
      </c>
      <c r="B90" t="s">
        <v>2398</v>
      </c>
      <c r="C90">
        <v>5697</v>
      </c>
      <c r="D90" t="s">
        <v>2201</v>
      </c>
      <c r="E90" t="s">
        <v>2371</v>
      </c>
      <c r="F90">
        <v>202111</v>
      </c>
      <c r="G90" t="s">
        <v>2168</v>
      </c>
      <c r="H90">
        <v>0</v>
      </c>
    </row>
    <row r="91" spans="1:22">
      <c r="A91">
        <v>5370</v>
      </c>
      <c r="B91" t="s">
        <v>2398</v>
      </c>
      <c r="C91">
        <v>5697</v>
      </c>
      <c r="D91" t="s">
        <v>2201</v>
      </c>
      <c r="E91" t="s">
        <v>2371</v>
      </c>
      <c r="F91">
        <v>202111</v>
      </c>
      <c r="G91" t="s">
        <v>2171</v>
      </c>
      <c r="H91">
        <v>3922499.24</v>
      </c>
    </row>
    <row r="92" spans="1:22">
      <c r="A92">
        <v>5370</v>
      </c>
      <c r="B92" t="s">
        <v>2398</v>
      </c>
      <c r="C92">
        <v>5697</v>
      </c>
      <c r="D92" t="s">
        <v>2201</v>
      </c>
      <c r="E92" t="s">
        <v>2371</v>
      </c>
      <c r="F92">
        <v>202112</v>
      </c>
      <c r="G92" t="s">
        <v>190</v>
      </c>
      <c r="H92">
        <v>26253652</v>
      </c>
    </row>
    <row r="93" spans="1:22">
      <c r="A93">
        <v>5370</v>
      </c>
      <c r="B93" t="s">
        <v>2398</v>
      </c>
      <c r="C93">
        <v>5697</v>
      </c>
      <c r="D93" t="s">
        <v>2201</v>
      </c>
      <c r="E93" t="s">
        <v>2371</v>
      </c>
      <c r="F93">
        <v>202112</v>
      </c>
      <c r="G93" t="s">
        <v>191</v>
      </c>
      <c r="H93">
        <v>2718552</v>
      </c>
    </row>
    <row r="94" spans="1:22">
      <c r="A94">
        <v>5370</v>
      </c>
      <c r="B94" t="s">
        <v>2398</v>
      </c>
      <c r="C94">
        <v>5697</v>
      </c>
      <c r="D94" t="s">
        <v>2201</v>
      </c>
      <c r="E94" t="s">
        <v>2371</v>
      </c>
      <c r="F94">
        <v>202112</v>
      </c>
      <c r="G94" t="s">
        <v>176</v>
      </c>
      <c r="H94">
        <v>0</v>
      </c>
    </row>
    <row r="95" spans="1:22">
      <c r="A95">
        <v>5370</v>
      </c>
      <c r="B95" t="s">
        <v>2398</v>
      </c>
      <c r="C95">
        <v>5697</v>
      </c>
      <c r="D95" t="s">
        <v>2201</v>
      </c>
      <c r="E95" t="s">
        <v>2371</v>
      </c>
      <c r="F95">
        <v>202112</v>
      </c>
      <c r="G95" t="s">
        <v>178</v>
      </c>
      <c r="H95">
        <v>0</v>
      </c>
    </row>
    <row r="96" spans="1:22">
      <c r="A96">
        <v>5370</v>
      </c>
      <c r="B96" t="s">
        <v>2398</v>
      </c>
      <c r="C96">
        <v>5697</v>
      </c>
      <c r="D96" t="s">
        <v>2201</v>
      </c>
      <c r="E96" t="s">
        <v>2371</v>
      </c>
      <c r="F96">
        <v>202112</v>
      </c>
      <c r="G96" t="s">
        <v>180</v>
      </c>
      <c r="H96">
        <v>0</v>
      </c>
    </row>
    <row r="97" spans="1:8">
      <c r="A97">
        <v>5370</v>
      </c>
      <c r="B97" t="s">
        <v>2398</v>
      </c>
      <c r="C97">
        <v>5697</v>
      </c>
      <c r="D97" t="s">
        <v>2201</v>
      </c>
      <c r="E97" t="s">
        <v>2371</v>
      </c>
      <c r="F97">
        <v>202112</v>
      </c>
      <c r="G97" t="s">
        <v>182</v>
      </c>
      <c r="H97">
        <v>0</v>
      </c>
    </row>
    <row r="98" spans="1:8">
      <c r="A98">
        <v>5370</v>
      </c>
      <c r="B98" t="s">
        <v>2398</v>
      </c>
      <c r="C98">
        <v>5697</v>
      </c>
      <c r="D98" t="s">
        <v>2201</v>
      </c>
      <c r="E98" t="s">
        <v>2371</v>
      </c>
      <c r="F98">
        <v>202112</v>
      </c>
      <c r="G98" t="s">
        <v>184</v>
      </c>
      <c r="H98">
        <v>0</v>
      </c>
    </row>
    <row r="99" spans="1:8">
      <c r="A99">
        <v>5370</v>
      </c>
      <c r="B99" t="s">
        <v>2398</v>
      </c>
      <c r="C99">
        <v>5697</v>
      </c>
      <c r="D99" t="s">
        <v>2201</v>
      </c>
      <c r="E99" t="s">
        <v>2371</v>
      </c>
      <c r="F99">
        <v>202112</v>
      </c>
      <c r="G99" t="s">
        <v>192</v>
      </c>
      <c r="H99">
        <v>0</v>
      </c>
    </row>
    <row r="100" spans="1:8">
      <c r="A100">
        <v>5370</v>
      </c>
      <c r="B100" t="s">
        <v>2398</v>
      </c>
      <c r="C100">
        <v>5697</v>
      </c>
      <c r="D100" t="s">
        <v>2201</v>
      </c>
      <c r="E100" t="s">
        <v>2371</v>
      </c>
      <c r="F100">
        <v>202112</v>
      </c>
      <c r="G100" t="s">
        <v>2170</v>
      </c>
      <c r="H100">
        <v>144591.04999999999</v>
      </c>
    </row>
    <row r="101" spans="1:8">
      <c r="A101">
        <v>5370</v>
      </c>
      <c r="B101" t="s">
        <v>2398</v>
      </c>
      <c r="C101">
        <v>5697</v>
      </c>
      <c r="D101" t="s">
        <v>2201</v>
      </c>
      <c r="E101" t="s">
        <v>2371</v>
      </c>
      <c r="F101">
        <v>202112</v>
      </c>
      <c r="G101" t="s">
        <v>186</v>
      </c>
      <c r="H101">
        <v>512368</v>
      </c>
    </row>
    <row r="102" spans="1:8">
      <c r="A102">
        <v>5370</v>
      </c>
      <c r="B102" t="s">
        <v>2398</v>
      </c>
      <c r="C102">
        <v>5697</v>
      </c>
      <c r="D102" t="s">
        <v>2201</v>
      </c>
      <c r="E102" t="s">
        <v>2371</v>
      </c>
      <c r="F102">
        <v>202112</v>
      </c>
      <c r="G102" t="s">
        <v>2169</v>
      </c>
      <c r="H102">
        <v>128.44999999999999</v>
      </c>
    </row>
    <row r="103" spans="1:8">
      <c r="A103">
        <v>5370</v>
      </c>
      <c r="B103" t="s">
        <v>2398</v>
      </c>
      <c r="C103">
        <v>5697</v>
      </c>
      <c r="D103" t="s">
        <v>2201</v>
      </c>
      <c r="E103" t="s">
        <v>2371</v>
      </c>
      <c r="F103">
        <v>202112</v>
      </c>
      <c r="G103" t="s">
        <v>2166</v>
      </c>
      <c r="H103">
        <v>0</v>
      </c>
    </row>
    <row r="104" spans="1:8">
      <c r="A104">
        <v>5370</v>
      </c>
      <c r="B104" t="s">
        <v>2398</v>
      </c>
      <c r="C104">
        <v>5697</v>
      </c>
      <c r="D104" t="s">
        <v>2201</v>
      </c>
      <c r="E104" t="s">
        <v>2371</v>
      </c>
      <c r="F104">
        <v>202112</v>
      </c>
      <c r="G104" t="s">
        <v>2167</v>
      </c>
      <c r="H104">
        <v>0</v>
      </c>
    </row>
    <row r="105" spans="1:8">
      <c r="A105">
        <v>5370</v>
      </c>
      <c r="B105" t="s">
        <v>2398</v>
      </c>
      <c r="C105">
        <v>5697</v>
      </c>
      <c r="D105" t="s">
        <v>2201</v>
      </c>
      <c r="E105" t="s">
        <v>2371</v>
      </c>
      <c r="F105">
        <v>202112</v>
      </c>
      <c r="G105" t="s">
        <v>2168</v>
      </c>
      <c r="H105">
        <v>0</v>
      </c>
    </row>
    <row r="106" spans="1:8">
      <c r="A106">
        <v>5370</v>
      </c>
      <c r="B106" t="s">
        <v>2398</v>
      </c>
      <c r="C106">
        <v>5697</v>
      </c>
      <c r="D106" t="s">
        <v>2201</v>
      </c>
      <c r="E106" t="s">
        <v>2371</v>
      </c>
      <c r="F106">
        <v>202112</v>
      </c>
      <c r="G106" t="s">
        <v>2171</v>
      </c>
      <c r="H106">
        <v>3866070.63</v>
      </c>
    </row>
    <row r="107" spans="1:8">
      <c r="A107">
        <v>5370</v>
      </c>
      <c r="B107" t="s">
        <v>2398</v>
      </c>
      <c r="C107">
        <v>5697</v>
      </c>
      <c r="D107" t="s">
        <v>2201</v>
      </c>
      <c r="E107" t="s">
        <v>2371</v>
      </c>
      <c r="F107">
        <v>202201</v>
      </c>
      <c r="G107" t="s">
        <v>190</v>
      </c>
      <c r="H107">
        <v>28957821</v>
      </c>
    </row>
    <row r="108" spans="1:8">
      <c r="A108">
        <v>5370</v>
      </c>
      <c r="B108" t="s">
        <v>2398</v>
      </c>
      <c r="C108">
        <v>5697</v>
      </c>
      <c r="D108" t="s">
        <v>2201</v>
      </c>
      <c r="E108" t="s">
        <v>2371</v>
      </c>
      <c r="F108">
        <v>202201</v>
      </c>
      <c r="G108" t="s">
        <v>191</v>
      </c>
      <c r="H108">
        <v>2785773</v>
      </c>
    </row>
    <row r="109" spans="1:8">
      <c r="A109">
        <v>5370</v>
      </c>
      <c r="B109" t="s">
        <v>2398</v>
      </c>
      <c r="C109">
        <v>5697</v>
      </c>
      <c r="D109" t="s">
        <v>2201</v>
      </c>
      <c r="E109" t="s">
        <v>2371</v>
      </c>
      <c r="F109">
        <v>202201</v>
      </c>
      <c r="G109" t="s">
        <v>176</v>
      </c>
      <c r="H109">
        <v>0</v>
      </c>
    </row>
    <row r="110" spans="1:8">
      <c r="A110">
        <v>5370</v>
      </c>
      <c r="B110" t="s">
        <v>2398</v>
      </c>
      <c r="C110">
        <v>5697</v>
      </c>
      <c r="D110" t="s">
        <v>2201</v>
      </c>
      <c r="E110" t="s">
        <v>2371</v>
      </c>
      <c r="F110">
        <v>202201</v>
      </c>
      <c r="G110" t="s">
        <v>178</v>
      </c>
      <c r="H110">
        <v>0</v>
      </c>
    </row>
    <row r="111" spans="1:8">
      <c r="A111">
        <v>5370</v>
      </c>
      <c r="B111" t="s">
        <v>2398</v>
      </c>
      <c r="C111">
        <v>5697</v>
      </c>
      <c r="D111" t="s">
        <v>2201</v>
      </c>
      <c r="E111" t="s">
        <v>2371</v>
      </c>
      <c r="F111">
        <v>202201</v>
      </c>
      <c r="G111" t="s">
        <v>180</v>
      </c>
      <c r="H111">
        <v>0</v>
      </c>
    </row>
    <row r="112" spans="1:8">
      <c r="A112">
        <v>5370</v>
      </c>
      <c r="B112" t="s">
        <v>2398</v>
      </c>
      <c r="C112">
        <v>5697</v>
      </c>
      <c r="D112" t="s">
        <v>2201</v>
      </c>
      <c r="E112" t="s">
        <v>2371</v>
      </c>
      <c r="F112">
        <v>202201</v>
      </c>
      <c r="G112" t="s">
        <v>182</v>
      </c>
      <c r="H112">
        <v>0</v>
      </c>
    </row>
    <row r="113" spans="1:8">
      <c r="A113">
        <v>5370</v>
      </c>
      <c r="B113" t="s">
        <v>2398</v>
      </c>
      <c r="C113">
        <v>5697</v>
      </c>
      <c r="D113" t="s">
        <v>2201</v>
      </c>
      <c r="E113" t="s">
        <v>2371</v>
      </c>
      <c r="F113">
        <v>202201</v>
      </c>
      <c r="G113" t="s">
        <v>184</v>
      </c>
      <c r="H113">
        <v>0</v>
      </c>
    </row>
    <row r="114" spans="1:8">
      <c r="A114">
        <v>5370</v>
      </c>
      <c r="B114" t="s">
        <v>2398</v>
      </c>
      <c r="C114">
        <v>5697</v>
      </c>
      <c r="D114" t="s">
        <v>2201</v>
      </c>
      <c r="E114" t="s">
        <v>2371</v>
      </c>
      <c r="F114">
        <v>202201</v>
      </c>
      <c r="G114" t="s">
        <v>192</v>
      </c>
      <c r="H114">
        <v>0</v>
      </c>
    </row>
    <row r="115" spans="1:8">
      <c r="A115">
        <v>5370</v>
      </c>
      <c r="B115" t="s">
        <v>2398</v>
      </c>
      <c r="C115">
        <v>5697</v>
      </c>
      <c r="D115" t="s">
        <v>2201</v>
      </c>
      <c r="E115" t="s">
        <v>2371</v>
      </c>
      <c r="F115">
        <v>202201</v>
      </c>
      <c r="G115" t="s">
        <v>2170</v>
      </c>
      <c r="H115">
        <v>202439.47</v>
      </c>
    </row>
    <row r="116" spans="1:8">
      <c r="A116">
        <v>5370</v>
      </c>
      <c r="B116" t="s">
        <v>2398</v>
      </c>
      <c r="C116">
        <v>5697</v>
      </c>
      <c r="D116" t="s">
        <v>2201</v>
      </c>
      <c r="E116" t="s">
        <v>2371</v>
      </c>
      <c r="F116">
        <v>202201</v>
      </c>
      <c r="G116" t="s">
        <v>186</v>
      </c>
      <c r="H116">
        <v>449497</v>
      </c>
    </row>
    <row r="117" spans="1:8">
      <c r="A117">
        <v>5370</v>
      </c>
      <c r="B117" t="s">
        <v>2398</v>
      </c>
      <c r="C117">
        <v>5697</v>
      </c>
      <c r="D117" t="s">
        <v>2201</v>
      </c>
      <c r="E117" t="s">
        <v>2371</v>
      </c>
      <c r="F117">
        <v>202201</v>
      </c>
      <c r="G117" t="s">
        <v>2169</v>
      </c>
      <c r="H117">
        <v>128.44999999999999</v>
      </c>
    </row>
    <row r="118" spans="1:8">
      <c r="A118">
        <v>5370</v>
      </c>
      <c r="B118" t="s">
        <v>2398</v>
      </c>
      <c r="C118">
        <v>5697</v>
      </c>
      <c r="D118" t="s">
        <v>2201</v>
      </c>
      <c r="E118" t="s">
        <v>2371</v>
      </c>
      <c r="F118">
        <v>202201</v>
      </c>
      <c r="G118" t="s">
        <v>2166</v>
      </c>
      <c r="H118">
        <v>0</v>
      </c>
    </row>
    <row r="119" spans="1:8">
      <c r="A119">
        <v>5370</v>
      </c>
      <c r="B119" t="s">
        <v>2398</v>
      </c>
      <c r="C119">
        <v>5697</v>
      </c>
      <c r="D119" t="s">
        <v>2201</v>
      </c>
      <c r="E119" t="s">
        <v>2371</v>
      </c>
      <c r="F119">
        <v>202201</v>
      </c>
      <c r="G119" t="s">
        <v>2167</v>
      </c>
      <c r="H119">
        <v>0</v>
      </c>
    </row>
    <row r="120" spans="1:8">
      <c r="A120">
        <v>5370</v>
      </c>
      <c r="B120" t="s">
        <v>2398</v>
      </c>
      <c r="C120">
        <v>5697</v>
      </c>
      <c r="D120" t="s">
        <v>2201</v>
      </c>
      <c r="E120" t="s">
        <v>2371</v>
      </c>
      <c r="F120">
        <v>202201</v>
      </c>
      <c r="G120" t="s">
        <v>2168</v>
      </c>
      <c r="H120">
        <v>0</v>
      </c>
    </row>
    <row r="121" spans="1:8">
      <c r="A121">
        <v>5370</v>
      </c>
      <c r="B121" t="s">
        <v>2398</v>
      </c>
      <c r="C121">
        <v>5697</v>
      </c>
      <c r="D121" t="s">
        <v>2201</v>
      </c>
      <c r="E121" t="s">
        <v>2371</v>
      </c>
      <c r="F121">
        <v>202201</v>
      </c>
      <c r="G121" t="s">
        <v>2171</v>
      </c>
      <c r="H121">
        <v>4279904.1100000003</v>
      </c>
    </row>
    <row r="122" spans="1:8">
      <c r="A122">
        <v>5370</v>
      </c>
      <c r="B122" t="s">
        <v>2398</v>
      </c>
      <c r="C122">
        <v>5697</v>
      </c>
      <c r="D122" t="s">
        <v>2201</v>
      </c>
      <c r="E122" t="s">
        <v>2371</v>
      </c>
      <c r="F122">
        <v>202202</v>
      </c>
      <c r="G122" t="s">
        <v>190</v>
      </c>
      <c r="H122">
        <v>27427835</v>
      </c>
    </row>
    <row r="123" spans="1:8">
      <c r="A123">
        <v>5370</v>
      </c>
      <c r="B123" t="s">
        <v>2398</v>
      </c>
      <c r="C123">
        <v>5697</v>
      </c>
      <c r="D123" t="s">
        <v>2201</v>
      </c>
      <c r="E123" t="s">
        <v>2371</v>
      </c>
      <c r="F123">
        <v>202202</v>
      </c>
      <c r="G123" t="s">
        <v>191</v>
      </c>
      <c r="H123">
        <v>2605813</v>
      </c>
    </row>
    <row r="124" spans="1:8">
      <c r="A124">
        <v>5370</v>
      </c>
      <c r="B124" t="s">
        <v>2398</v>
      </c>
      <c r="C124">
        <v>5697</v>
      </c>
      <c r="D124" t="s">
        <v>2201</v>
      </c>
      <c r="E124" t="s">
        <v>2371</v>
      </c>
      <c r="F124">
        <v>202202</v>
      </c>
      <c r="G124" t="s">
        <v>176</v>
      </c>
      <c r="H124">
        <v>0</v>
      </c>
    </row>
    <row r="125" spans="1:8">
      <c r="A125">
        <v>5370</v>
      </c>
      <c r="B125" t="s">
        <v>2398</v>
      </c>
      <c r="C125">
        <v>5697</v>
      </c>
      <c r="D125" t="s">
        <v>2201</v>
      </c>
      <c r="E125" t="s">
        <v>2371</v>
      </c>
      <c r="F125">
        <v>202202</v>
      </c>
      <c r="G125" t="s">
        <v>178</v>
      </c>
      <c r="H125">
        <v>0</v>
      </c>
    </row>
    <row r="126" spans="1:8">
      <c r="A126">
        <v>5370</v>
      </c>
      <c r="B126" t="s">
        <v>2398</v>
      </c>
      <c r="C126">
        <v>5697</v>
      </c>
      <c r="D126" t="s">
        <v>2201</v>
      </c>
      <c r="E126" t="s">
        <v>2371</v>
      </c>
      <c r="F126">
        <v>202202</v>
      </c>
      <c r="G126" t="s">
        <v>180</v>
      </c>
      <c r="H126">
        <v>0</v>
      </c>
    </row>
    <row r="127" spans="1:8">
      <c r="A127">
        <v>5370</v>
      </c>
      <c r="B127" t="s">
        <v>2398</v>
      </c>
      <c r="C127">
        <v>5697</v>
      </c>
      <c r="D127" t="s">
        <v>2201</v>
      </c>
      <c r="E127" t="s">
        <v>2371</v>
      </c>
      <c r="F127">
        <v>202202</v>
      </c>
      <c r="G127" t="s">
        <v>182</v>
      </c>
      <c r="H127">
        <v>0</v>
      </c>
    </row>
    <row r="128" spans="1:8">
      <c r="A128">
        <v>5370</v>
      </c>
      <c r="B128" t="s">
        <v>2398</v>
      </c>
      <c r="C128">
        <v>5697</v>
      </c>
      <c r="D128" t="s">
        <v>2201</v>
      </c>
      <c r="E128" t="s">
        <v>2371</v>
      </c>
      <c r="F128">
        <v>202202</v>
      </c>
      <c r="G128" t="s">
        <v>184</v>
      </c>
      <c r="H128">
        <v>0</v>
      </c>
    </row>
    <row r="129" spans="1:8">
      <c r="A129">
        <v>5370</v>
      </c>
      <c r="B129" t="s">
        <v>2398</v>
      </c>
      <c r="C129">
        <v>5697</v>
      </c>
      <c r="D129" t="s">
        <v>2201</v>
      </c>
      <c r="E129" t="s">
        <v>2371</v>
      </c>
      <c r="F129">
        <v>202202</v>
      </c>
      <c r="G129" t="s">
        <v>192</v>
      </c>
      <c r="H129">
        <v>0</v>
      </c>
    </row>
    <row r="130" spans="1:8">
      <c r="A130">
        <v>5370</v>
      </c>
      <c r="B130" t="s">
        <v>2398</v>
      </c>
      <c r="C130">
        <v>5697</v>
      </c>
      <c r="D130" t="s">
        <v>2201</v>
      </c>
      <c r="E130" t="s">
        <v>2371</v>
      </c>
      <c r="F130">
        <v>202202</v>
      </c>
      <c r="G130" t="s">
        <v>2170</v>
      </c>
      <c r="H130">
        <v>113582.16</v>
      </c>
    </row>
    <row r="131" spans="1:8">
      <c r="A131">
        <v>5370</v>
      </c>
      <c r="B131" t="s">
        <v>2398</v>
      </c>
      <c r="C131">
        <v>5697</v>
      </c>
      <c r="D131" t="s">
        <v>2201</v>
      </c>
      <c r="E131" t="s">
        <v>2371</v>
      </c>
      <c r="F131">
        <v>202202</v>
      </c>
      <c r="G131" t="s">
        <v>186</v>
      </c>
      <c r="H131">
        <v>402577</v>
      </c>
    </row>
    <row r="132" spans="1:8">
      <c r="A132">
        <v>5370</v>
      </c>
      <c r="B132" t="s">
        <v>2398</v>
      </c>
      <c r="C132">
        <v>5697</v>
      </c>
      <c r="D132" t="s">
        <v>2201</v>
      </c>
      <c r="E132" t="s">
        <v>2371</v>
      </c>
      <c r="F132">
        <v>202202</v>
      </c>
      <c r="G132" t="s">
        <v>2169</v>
      </c>
      <c r="H132">
        <v>128.44999999999999</v>
      </c>
    </row>
    <row r="133" spans="1:8">
      <c r="A133">
        <v>5370</v>
      </c>
      <c r="B133" t="s">
        <v>2398</v>
      </c>
      <c r="C133">
        <v>5697</v>
      </c>
      <c r="D133" t="s">
        <v>2201</v>
      </c>
      <c r="E133" t="s">
        <v>2371</v>
      </c>
      <c r="F133">
        <v>202202</v>
      </c>
      <c r="G133" t="s">
        <v>2166</v>
      </c>
      <c r="H133">
        <v>0</v>
      </c>
    </row>
    <row r="134" spans="1:8">
      <c r="A134">
        <v>5370</v>
      </c>
      <c r="B134" t="s">
        <v>2398</v>
      </c>
      <c r="C134">
        <v>5697</v>
      </c>
      <c r="D134" t="s">
        <v>2201</v>
      </c>
      <c r="E134" t="s">
        <v>2371</v>
      </c>
      <c r="F134">
        <v>202202</v>
      </c>
      <c r="G134" t="s">
        <v>2167</v>
      </c>
      <c r="H134">
        <v>0</v>
      </c>
    </row>
    <row r="135" spans="1:8">
      <c r="A135">
        <v>5370</v>
      </c>
      <c r="B135" t="s">
        <v>2398</v>
      </c>
      <c r="C135">
        <v>5697</v>
      </c>
      <c r="D135" t="s">
        <v>2201</v>
      </c>
      <c r="E135" t="s">
        <v>2371</v>
      </c>
      <c r="F135">
        <v>202202</v>
      </c>
      <c r="G135" t="s">
        <v>2168</v>
      </c>
      <c r="H135">
        <v>0</v>
      </c>
    </row>
    <row r="136" spans="1:8">
      <c r="A136">
        <v>5370</v>
      </c>
      <c r="B136" t="s">
        <v>2398</v>
      </c>
      <c r="C136">
        <v>5697</v>
      </c>
      <c r="D136" t="s">
        <v>2201</v>
      </c>
      <c r="E136" t="s">
        <v>2371</v>
      </c>
      <c r="F136">
        <v>202202</v>
      </c>
      <c r="G136" t="s">
        <v>2171</v>
      </c>
      <c r="H136">
        <v>3971404.23</v>
      </c>
    </row>
    <row r="137" spans="1:8">
      <c r="A137">
        <v>5370</v>
      </c>
      <c r="B137" t="s">
        <v>2398</v>
      </c>
      <c r="C137">
        <v>5697</v>
      </c>
      <c r="D137" t="s">
        <v>2201</v>
      </c>
      <c r="E137" t="s">
        <v>2371</v>
      </c>
      <c r="F137">
        <v>202203</v>
      </c>
      <c r="G137" t="s">
        <v>190</v>
      </c>
      <c r="H137">
        <v>29553691</v>
      </c>
    </row>
    <row r="138" spans="1:8">
      <c r="A138">
        <v>5370</v>
      </c>
      <c r="B138" t="s">
        <v>2398</v>
      </c>
      <c r="C138">
        <v>5697</v>
      </c>
      <c r="D138" t="s">
        <v>2201</v>
      </c>
      <c r="E138" t="s">
        <v>2371</v>
      </c>
      <c r="F138">
        <v>202203</v>
      </c>
      <c r="G138" t="s">
        <v>191</v>
      </c>
      <c r="H138">
        <v>2778131</v>
      </c>
    </row>
    <row r="139" spans="1:8">
      <c r="A139">
        <v>5370</v>
      </c>
      <c r="B139" t="s">
        <v>2398</v>
      </c>
      <c r="C139">
        <v>5697</v>
      </c>
      <c r="D139" t="s">
        <v>2201</v>
      </c>
      <c r="E139" t="s">
        <v>2371</v>
      </c>
      <c r="F139">
        <v>202203</v>
      </c>
      <c r="G139" t="s">
        <v>176</v>
      </c>
      <c r="H139">
        <v>0</v>
      </c>
    </row>
    <row r="140" spans="1:8">
      <c r="A140">
        <v>5370</v>
      </c>
      <c r="B140" t="s">
        <v>2398</v>
      </c>
      <c r="C140">
        <v>5697</v>
      </c>
      <c r="D140" t="s">
        <v>2201</v>
      </c>
      <c r="E140" t="s">
        <v>2371</v>
      </c>
      <c r="F140">
        <v>202203</v>
      </c>
      <c r="G140" t="s">
        <v>178</v>
      </c>
      <c r="H140">
        <v>0</v>
      </c>
    </row>
    <row r="141" spans="1:8">
      <c r="A141">
        <v>5370</v>
      </c>
      <c r="B141" t="s">
        <v>2398</v>
      </c>
      <c r="C141">
        <v>5697</v>
      </c>
      <c r="D141" t="s">
        <v>2201</v>
      </c>
      <c r="E141" t="s">
        <v>2371</v>
      </c>
      <c r="F141">
        <v>202203</v>
      </c>
      <c r="G141" t="s">
        <v>180</v>
      </c>
      <c r="H141">
        <v>0</v>
      </c>
    </row>
    <row r="142" spans="1:8">
      <c r="A142">
        <v>5370</v>
      </c>
      <c r="B142" t="s">
        <v>2398</v>
      </c>
      <c r="C142">
        <v>5697</v>
      </c>
      <c r="D142" t="s">
        <v>2201</v>
      </c>
      <c r="E142" t="s">
        <v>2371</v>
      </c>
      <c r="F142">
        <v>202203</v>
      </c>
      <c r="G142" t="s">
        <v>182</v>
      </c>
      <c r="H142">
        <v>0</v>
      </c>
    </row>
    <row r="143" spans="1:8">
      <c r="A143">
        <v>5370</v>
      </c>
      <c r="B143" t="s">
        <v>2398</v>
      </c>
      <c r="C143">
        <v>5697</v>
      </c>
      <c r="D143" t="s">
        <v>2201</v>
      </c>
      <c r="E143" t="s">
        <v>2371</v>
      </c>
      <c r="F143">
        <v>202203</v>
      </c>
      <c r="G143" t="s">
        <v>184</v>
      </c>
      <c r="H143">
        <v>0</v>
      </c>
    </row>
    <row r="144" spans="1:8">
      <c r="A144">
        <v>5370</v>
      </c>
      <c r="B144" t="s">
        <v>2398</v>
      </c>
      <c r="C144">
        <v>5697</v>
      </c>
      <c r="D144" t="s">
        <v>2201</v>
      </c>
      <c r="E144" t="s">
        <v>2371</v>
      </c>
      <c r="F144">
        <v>202203</v>
      </c>
      <c r="G144" t="s">
        <v>192</v>
      </c>
      <c r="H144">
        <v>0</v>
      </c>
    </row>
    <row r="145" spans="1:8">
      <c r="A145">
        <v>5370</v>
      </c>
      <c r="B145" t="s">
        <v>2398</v>
      </c>
      <c r="C145">
        <v>5697</v>
      </c>
      <c r="D145" t="s">
        <v>2201</v>
      </c>
      <c r="E145" t="s">
        <v>2371</v>
      </c>
      <c r="F145">
        <v>202203</v>
      </c>
      <c r="G145" t="s">
        <v>2170</v>
      </c>
      <c r="H145">
        <v>140838.64000000001</v>
      </c>
    </row>
    <row r="146" spans="1:8">
      <c r="A146">
        <v>5370</v>
      </c>
      <c r="B146" t="s">
        <v>2398</v>
      </c>
      <c r="C146">
        <v>5697</v>
      </c>
      <c r="D146" t="s">
        <v>2201</v>
      </c>
      <c r="E146" t="s">
        <v>2371</v>
      </c>
      <c r="F146">
        <v>202203</v>
      </c>
      <c r="G146" t="s">
        <v>186</v>
      </c>
      <c r="H146">
        <v>435104</v>
      </c>
    </row>
    <row r="147" spans="1:8">
      <c r="A147">
        <v>5370</v>
      </c>
      <c r="B147" t="s">
        <v>2398</v>
      </c>
      <c r="C147">
        <v>5697</v>
      </c>
      <c r="D147" t="s">
        <v>2201</v>
      </c>
      <c r="E147" t="s">
        <v>2371</v>
      </c>
      <c r="F147">
        <v>202203</v>
      </c>
      <c r="G147" t="s">
        <v>2169</v>
      </c>
      <c r="H147">
        <v>128.44999999999999</v>
      </c>
    </row>
    <row r="148" spans="1:8">
      <c r="A148">
        <v>5370</v>
      </c>
      <c r="B148" t="s">
        <v>2398</v>
      </c>
      <c r="C148">
        <v>5697</v>
      </c>
      <c r="D148" t="s">
        <v>2201</v>
      </c>
      <c r="E148" t="s">
        <v>2371</v>
      </c>
      <c r="F148">
        <v>202203</v>
      </c>
      <c r="G148" t="s">
        <v>2166</v>
      </c>
      <c r="H148">
        <v>0</v>
      </c>
    </row>
    <row r="149" spans="1:8">
      <c r="A149">
        <v>5370</v>
      </c>
      <c r="B149" t="s">
        <v>2398</v>
      </c>
      <c r="C149">
        <v>5697</v>
      </c>
      <c r="D149" t="s">
        <v>2201</v>
      </c>
      <c r="E149" t="s">
        <v>2371</v>
      </c>
      <c r="F149">
        <v>202203</v>
      </c>
      <c r="G149" t="s">
        <v>2167</v>
      </c>
      <c r="H149">
        <v>0</v>
      </c>
    </row>
    <row r="150" spans="1:8">
      <c r="A150">
        <v>5370</v>
      </c>
      <c r="B150" t="s">
        <v>2398</v>
      </c>
      <c r="C150">
        <v>5697</v>
      </c>
      <c r="D150" t="s">
        <v>2201</v>
      </c>
      <c r="E150" t="s">
        <v>2371</v>
      </c>
      <c r="F150">
        <v>202203</v>
      </c>
      <c r="G150" t="s">
        <v>2168</v>
      </c>
      <c r="H150">
        <v>0</v>
      </c>
    </row>
    <row r="151" spans="1:8">
      <c r="A151">
        <v>5370</v>
      </c>
      <c r="B151" t="s">
        <v>2398</v>
      </c>
      <c r="C151">
        <v>5697</v>
      </c>
      <c r="D151" t="s">
        <v>2201</v>
      </c>
      <c r="E151" t="s">
        <v>2371</v>
      </c>
      <c r="F151">
        <v>202203</v>
      </c>
      <c r="G151" t="s">
        <v>2171</v>
      </c>
      <c r="H151">
        <v>4293861.16</v>
      </c>
    </row>
    <row r="152" spans="1:8">
      <c r="A152">
        <v>5370</v>
      </c>
      <c r="B152" t="s">
        <v>2398</v>
      </c>
      <c r="C152">
        <v>5697</v>
      </c>
      <c r="D152" t="s">
        <v>2201</v>
      </c>
      <c r="E152" t="s">
        <v>2371</v>
      </c>
      <c r="F152">
        <v>202204</v>
      </c>
      <c r="G152" t="s">
        <v>190</v>
      </c>
      <c r="H152">
        <v>25953681</v>
      </c>
    </row>
    <row r="153" spans="1:8">
      <c r="A153">
        <v>5370</v>
      </c>
      <c r="B153" t="s">
        <v>2398</v>
      </c>
      <c r="C153">
        <v>5697</v>
      </c>
      <c r="D153" t="s">
        <v>2201</v>
      </c>
      <c r="E153" t="s">
        <v>2371</v>
      </c>
      <c r="F153">
        <v>202204</v>
      </c>
      <c r="G153" t="s">
        <v>191</v>
      </c>
      <c r="H153">
        <v>2297073</v>
      </c>
    </row>
    <row r="154" spans="1:8">
      <c r="A154">
        <v>5370</v>
      </c>
      <c r="B154" t="s">
        <v>2398</v>
      </c>
      <c r="C154">
        <v>5697</v>
      </c>
      <c r="D154" t="s">
        <v>2201</v>
      </c>
      <c r="E154" t="s">
        <v>2371</v>
      </c>
      <c r="F154">
        <v>202204</v>
      </c>
      <c r="G154" t="s">
        <v>176</v>
      </c>
      <c r="H154">
        <v>0</v>
      </c>
    </row>
    <row r="155" spans="1:8">
      <c r="A155">
        <v>5370</v>
      </c>
      <c r="B155" t="s">
        <v>2398</v>
      </c>
      <c r="C155">
        <v>5697</v>
      </c>
      <c r="D155" t="s">
        <v>2201</v>
      </c>
      <c r="E155" t="s">
        <v>2371</v>
      </c>
      <c r="F155">
        <v>202204</v>
      </c>
      <c r="G155" t="s">
        <v>178</v>
      </c>
      <c r="H155">
        <v>0</v>
      </c>
    </row>
    <row r="156" spans="1:8">
      <c r="A156">
        <v>5370</v>
      </c>
      <c r="B156" t="s">
        <v>2398</v>
      </c>
      <c r="C156">
        <v>5697</v>
      </c>
      <c r="D156" t="s">
        <v>2201</v>
      </c>
      <c r="E156" t="s">
        <v>2371</v>
      </c>
      <c r="F156">
        <v>202204</v>
      </c>
      <c r="G156" t="s">
        <v>180</v>
      </c>
      <c r="H156">
        <v>0</v>
      </c>
    </row>
    <row r="157" spans="1:8">
      <c r="A157">
        <v>5370</v>
      </c>
      <c r="B157" t="s">
        <v>2398</v>
      </c>
      <c r="C157">
        <v>5697</v>
      </c>
      <c r="D157" t="s">
        <v>2201</v>
      </c>
      <c r="E157" t="s">
        <v>2371</v>
      </c>
      <c r="F157">
        <v>202204</v>
      </c>
      <c r="G157" t="s">
        <v>182</v>
      </c>
      <c r="H157">
        <v>0</v>
      </c>
    </row>
    <row r="158" spans="1:8">
      <c r="A158">
        <v>5370</v>
      </c>
      <c r="B158" t="s">
        <v>2398</v>
      </c>
      <c r="C158">
        <v>5697</v>
      </c>
      <c r="D158" t="s">
        <v>2201</v>
      </c>
      <c r="E158" t="s">
        <v>2371</v>
      </c>
      <c r="F158">
        <v>202204</v>
      </c>
      <c r="G158" t="s">
        <v>184</v>
      </c>
      <c r="H158">
        <v>0</v>
      </c>
    </row>
    <row r="159" spans="1:8">
      <c r="A159">
        <v>5370</v>
      </c>
      <c r="B159" t="s">
        <v>2398</v>
      </c>
      <c r="C159">
        <v>5697</v>
      </c>
      <c r="D159" t="s">
        <v>2201</v>
      </c>
      <c r="E159" t="s">
        <v>2371</v>
      </c>
      <c r="F159">
        <v>202204</v>
      </c>
      <c r="G159" t="s">
        <v>192</v>
      </c>
      <c r="H159">
        <v>0</v>
      </c>
    </row>
    <row r="160" spans="1:8">
      <c r="A160">
        <v>5370</v>
      </c>
      <c r="B160" t="s">
        <v>2398</v>
      </c>
      <c r="C160">
        <v>5697</v>
      </c>
      <c r="D160" t="s">
        <v>2201</v>
      </c>
      <c r="E160" t="s">
        <v>2371</v>
      </c>
      <c r="F160">
        <v>202204</v>
      </c>
      <c r="G160" t="s">
        <v>2170</v>
      </c>
      <c r="H160">
        <v>79354.710000000006</v>
      </c>
    </row>
    <row r="161" spans="1:8">
      <c r="A161">
        <v>5370</v>
      </c>
      <c r="B161" t="s">
        <v>2398</v>
      </c>
      <c r="C161">
        <v>5697</v>
      </c>
      <c r="D161" t="s">
        <v>2201</v>
      </c>
      <c r="E161" t="s">
        <v>2371</v>
      </c>
      <c r="F161">
        <v>202204</v>
      </c>
      <c r="G161" t="s">
        <v>186</v>
      </c>
      <c r="H161">
        <v>418646</v>
      </c>
    </row>
    <row r="162" spans="1:8">
      <c r="A162">
        <v>5370</v>
      </c>
      <c r="B162" t="s">
        <v>2398</v>
      </c>
      <c r="C162">
        <v>5697</v>
      </c>
      <c r="D162" t="s">
        <v>2201</v>
      </c>
      <c r="E162" t="s">
        <v>2371</v>
      </c>
      <c r="F162">
        <v>202204</v>
      </c>
      <c r="G162" t="s">
        <v>2169</v>
      </c>
      <c r="H162">
        <v>128.44999999999999</v>
      </c>
    </row>
    <row r="163" spans="1:8">
      <c r="A163">
        <v>5370</v>
      </c>
      <c r="B163" t="s">
        <v>2398</v>
      </c>
      <c r="C163">
        <v>5697</v>
      </c>
      <c r="D163" t="s">
        <v>2201</v>
      </c>
      <c r="E163" t="s">
        <v>2371</v>
      </c>
      <c r="F163">
        <v>202204</v>
      </c>
      <c r="G163" t="s">
        <v>2166</v>
      </c>
      <c r="H163">
        <v>0</v>
      </c>
    </row>
    <row r="164" spans="1:8">
      <c r="A164">
        <v>5370</v>
      </c>
      <c r="B164" t="s">
        <v>2398</v>
      </c>
      <c r="C164">
        <v>5697</v>
      </c>
      <c r="D164" t="s">
        <v>2201</v>
      </c>
      <c r="E164" t="s">
        <v>2371</v>
      </c>
      <c r="F164">
        <v>202204</v>
      </c>
      <c r="G164" t="s">
        <v>2167</v>
      </c>
      <c r="H164">
        <v>0</v>
      </c>
    </row>
    <row r="165" spans="1:8">
      <c r="A165">
        <v>5370</v>
      </c>
      <c r="B165" t="s">
        <v>2398</v>
      </c>
      <c r="C165">
        <v>5697</v>
      </c>
      <c r="D165" t="s">
        <v>2201</v>
      </c>
      <c r="E165" t="s">
        <v>2371</v>
      </c>
      <c r="F165">
        <v>202204</v>
      </c>
      <c r="G165" t="s">
        <v>2168</v>
      </c>
      <c r="H165">
        <v>0</v>
      </c>
    </row>
    <row r="166" spans="1:8">
      <c r="A166">
        <v>5370</v>
      </c>
      <c r="B166" t="s">
        <v>2398</v>
      </c>
      <c r="C166">
        <v>5697</v>
      </c>
      <c r="D166" t="s">
        <v>2201</v>
      </c>
      <c r="E166" t="s">
        <v>2371</v>
      </c>
      <c r="F166">
        <v>202204</v>
      </c>
      <c r="G166" t="s">
        <v>2171</v>
      </c>
      <c r="H166">
        <v>3708164.05</v>
      </c>
    </row>
    <row r="167" spans="1:8">
      <c r="A167">
        <v>5370</v>
      </c>
      <c r="B167" t="s">
        <v>2398</v>
      </c>
      <c r="C167">
        <v>5697</v>
      </c>
      <c r="D167" t="s">
        <v>2201</v>
      </c>
      <c r="E167" t="s">
        <v>2371</v>
      </c>
      <c r="F167">
        <v>202205</v>
      </c>
      <c r="G167" t="s">
        <v>190</v>
      </c>
      <c r="H167">
        <v>26661780</v>
      </c>
    </row>
    <row r="168" spans="1:8">
      <c r="A168">
        <v>5370</v>
      </c>
      <c r="B168" t="s">
        <v>2398</v>
      </c>
      <c r="C168">
        <v>5697</v>
      </c>
      <c r="D168" t="s">
        <v>2201</v>
      </c>
      <c r="E168" t="s">
        <v>2371</v>
      </c>
      <c r="F168">
        <v>202205</v>
      </c>
      <c r="G168" t="s">
        <v>191</v>
      </c>
      <c r="H168">
        <v>2702819</v>
      </c>
    </row>
    <row r="169" spans="1:8">
      <c r="A169">
        <v>5370</v>
      </c>
      <c r="B169" t="s">
        <v>2398</v>
      </c>
      <c r="C169">
        <v>5697</v>
      </c>
      <c r="D169" t="s">
        <v>2201</v>
      </c>
      <c r="E169" t="s">
        <v>2371</v>
      </c>
      <c r="F169">
        <v>202205</v>
      </c>
      <c r="G169" t="s">
        <v>176</v>
      </c>
      <c r="H169">
        <v>0</v>
      </c>
    </row>
    <row r="170" spans="1:8">
      <c r="A170">
        <v>5370</v>
      </c>
      <c r="B170" t="s">
        <v>2398</v>
      </c>
      <c r="C170">
        <v>5697</v>
      </c>
      <c r="D170" t="s">
        <v>2201</v>
      </c>
      <c r="E170" t="s">
        <v>2371</v>
      </c>
      <c r="F170">
        <v>202205</v>
      </c>
      <c r="G170" t="s">
        <v>178</v>
      </c>
      <c r="H170">
        <v>0</v>
      </c>
    </row>
    <row r="171" spans="1:8">
      <c r="A171">
        <v>5370</v>
      </c>
      <c r="B171" t="s">
        <v>2398</v>
      </c>
      <c r="C171">
        <v>5697</v>
      </c>
      <c r="D171" t="s">
        <v>2201</v>
      </c>
      <c r="E171" t="s">
        <v>2371</v>
      </c>
      <c r="F171">
        <v>202205</v>
      </c>
      <c r="G171" t="s">
        <v>180</v>
      </c>
      <c r="H171">
        <v>0</v>
      </c>
    </row>
    <row r="172" spans="1:8">
      <c r="A172">
        <v>5370</v>
      </c>
      <c r="B172" t="s">
        <v>2398</v>
      </c>
      <c r="C172">
        <v>5697</v>
      </c>
      <c r="D172" t="s">
        <v>2201</v>
      </c>
      <c r="E172" t="s">
        <v>2371</v>
      </c>
      <c r="F172">
        <v>202205</v>
      </c>
      <c r="G172" t="s">
        <v>182</v>
      </c>
      <c r="H172">
        <v>0</v>
      </c>
    </row>
    <row r="173" spans="1:8">
      <c r="A173">
        <v>5370</v>
      </c>
      <c r="B173" t="s">
        <v>2398</v>
      </c>
      <c r="C173">
        <v>5697</v>
      </c>
      <c r="D173" t="s">
        <v>2201</v>
      </c>
      <c r="E173" t="s">
        <v>2371</v>
      </c>
      <c r="F173">
        <v>202205</v>
      </c>
      <c r="G173" t="s">
        <v>184</v>
      </c>
      <c r="H173">
        <v>0</v>
      </c>
    </row>
    <row r="174" spans="1:8">
      <c r="A174">
        <v>5370</v>
      </c>
      <c r="B174" t="s">
        <v>2398</v>
      </c>
      <c r="C174">
        <v>5697</v>
      </c>
      <c r="D174" t="s">
        <v>2201</v>
      </c>
      <c r="E174" t="s">
        <v>2371</v>
      </c>
      <c r="F174">
        <v>202205</v>
      </c>
      <c r="G174" t="s">
        <v>192</v>
      </c>
      <c r="H174">
        <v>0</v>
      </c>
    </row>
    <row r="175" spans="1:8">
      <c r="A175">
        <v>5370</v>
      </c>
      <c r="B175" t="s">
        <v>2398</v>
      </c>
      <c r="C175">
        <v>5697</v>
      </c>
      <c r="D175" t="s">
        <v>2201</v>
      </c>
      <c r="E175" t="s">
        <v>2371</v>
      </c>
      <c r="F175">
        <v>202205</v>
      </c>
      <c r="G175" t="s">
        <v>2170</v>
      </c>
      <c r="H175">
        <v>122678.69</v>
      </c>
    </row>
    <row r="176" spans="1:8">
      <c r="A176">
        <v>5370</v>
      </c>
      <c r="B176" t="s">
        <v>2398</v>
      </c>
      <c r="C176">
        <v>5697</v>
      </c>
      <c r="D176" t="s">
        <v>2201</v>
      </c>
      <c r="E176" t="s">
        <v>2371</v>
      </c>
      <c r="F176">
        <v>202205</v>
      </c>
      <c r="G176" t="s">
        <v>186</v>
      </c>
      <c r="H176">
        <v>474888</v>
      </c>
    </row>
    <row r="177" spans="1:8">
      <c r="A177">
        <v>5370</v>
      </c>
      <c r="B177" t="s">
        <v>2398</v>
      </c>
      <c r="C177">
        <v>5697</v>
      </c>
      <c r="D177" t="s">
        <v>2201</v>
      </c>
      <c r="E177" t="s">
        <v>2371</v>
      </c>
      <c r="F177">
        <v>202205</v>
      </c>
      <c r="G177" t="s">
        <v>2169</v>
      </c>
      <c r="H177">
        <v>128.44999999999999</v>
      </c>
    </row>
    <row r="178" spans="1:8">
      <c r="A178">
        <v>5370</v>
      </c>
      <c r="B178" t="s">
        <v>2398</v>
      </c>
      <c r="C178">
        <v>5697</v>
      </c>
      <c r="D178" t="s">
        <v>2201</v>
      </c>
      <c r="E178" t="s">
        <v>2371</v>
      </c>
      <c r="F178">
        <v>202205</v>
      </c>
      <c r="G178" t="s">
        <v>2166</v>
      </c>
      <c r="H178">
        <v>0</v>
      </c>
    </row>
    <row r="179" spans="1:8">
      <c r="A179">
        <v>5370</v>
      </c>
      <c r="B179" t="s">
        <v>2398</v>
      </c>
      <c r="C179">
        <v>5697</v>
      </c>
      <c r="D179" t="s">
        <v>2201</v>
      </c>
      <c r="E179" t="s">
        <v>2371</v>
      </c>
      <c r="F179">
        <v>202205</v>
      </c>
      <c r="G179" t="s">
        <v>2167</v>
      </c>
      <c r="H179">
        <v>0</v>
      </c>
    </row>
    <row r="180" spans="1:8">
      <c r="A180">
        <v>5370</v>
      </c>
      <c r="B180" t="s">
        <v>2398</v>
      </c>
      <c r="C180">
        <v>5697</v>
      </c>
      <c r="D180" t="s">
        <v>2201</v>
      </c>
      <c r="E180" t="s">
        <v>2371</v>
      </c>
      <c r="F180">
        <v>202205</v>
      </c>
      <c r="G180" t="s">
        <v>2168</v>
      </c>
      <c r="H180">
        <v>0</v>
      </c>
    </row>
    <row r="181" spans="1:8">
      <c r="A181">
        <v>5370</v>
      </c>
      <c r="B181" t="s">
        <v>2398</v>
      </c>
      <c r="C181">
        <v>5697</v>
      </c>
      <c r="D181" t="s">
        <v>2201</v>
      </c>
      <c r="E181" t="s">
        <v>2371</v>
      </c>
      <c r="F181">
        <v>202205</v>
      </c>
      <c r="G181" t="s">
        <v>2171</v>
      </c>
      <c r="H181">
        <v>3894561.43</v>
      </c>
    </row>
    <row r="182" spans="1:8">
      <c r="A182">
        <v>5370</v>
      </c>
      <c r="B182" t="s">
        <v>2398</v>
      </c>
      <c r="C182">
        <v>5697</v>
      </c>
      <c r="D182" t="s">
        <v>2201</v>
      </c>
      <c r="E182" t="s">
        <v>2371</v>
      </c>
      <c r="F182">
        <v>202206</v>
      </c>
      <c r="G182" t="s">
        <v>190</v>
      </c>
      <c r="H182">
        <v>25466756</v>
      </c>
    </row>
    <row r="183" spans="1:8">
      <c r="A183">
        <v>5370</v>
      </c>
      <c r="B183" t="s">
        <v>2398</v>
      </c>
      <c r="C183">
        <v>5697</v>
      </c>
      <c r="D183" t="s">
        <v>2201</v>
      </c>
      <c r="E183" t="s">
        <v>2371</v>
      </c>
      <c r="F183">
        <v>202206</v>
      </c>
      <c r="G183" t="s">
        <v>191</v>
      </c>
      <c r="H183">
        <v>2643032</v>
      </c>
    </row>
    <row r="184" spans="1:8">
      <c r="A184">
        <v>5370</v>
      </c>
      <c r="B184" t="s">
        <v>2398</v>
      </c>
      <c r="C184">
        <v>5697</v>
      </c>
      <c r="D184" t="s">
        <v>2201</v>
      </c>
      <c r="E184" t="s">
        <v>2371</v>
      </c>
      <c r="F184">
        <v>202206</v>
      </c>
      <c r="G184" t="s">
        <v>176</v>
      </c>
      <c r="H184">
        <v>0</v>
      </c>
    </row>
    <row r="185" spans="1:8">
      <c r="A185">
        <v>5370</v>
      </c>
      <c r="B185" t="s">
        <v>2398</v>
      </c>
      <c r="C185">
        <v>5697</v>
      </c>
      <c r="D185" t="s">
        <v>2201</v>
      </c>
      <c r="E185" t="s">
        <v>2371</v>
      </c>
      <c r="F185">
        <v>202206</v>
      </c>
      <c r="G185" t="s">
        <v>178</v>
      </c>
      <c r="H185">
        <v>0</v>
      </c>
    </row>
    <row r="186" spans="1:8">
      <c r="A186">
        <v>5370</v>
      </c>
      <c r="B186" t="s">
        <v>2398</v>
      </c>
      <c r="C186">
        <v>5697</v>
      </c>
      <c r="D186" t="s">
        <v>2201</v>
      </c>
      <c r="E186" t="s">
        <v>2371</v>
      </c>
      <c r="F186">
        <v>202206</v>
      </c>
      <c r="G186" t="s">
        <v>180</v>
      </c>
      <c r="H186">
        <v>0</v>
      </c>
    </row>
    <row r="187" spans="1:8">
      <c r="A187">
        <v>5370</v>
      </c>
      <c r="B187" t="s">
        <v>2398</v>
      </c>
      <c r="C187">
        <v>5697</v>
      </c>
      <c r="D187" t="s">
        <v>2201</v>
      </c>
      <c r="E187" t="s">
        <v>2371</v>
      </c>
      <c r="F187">
        <v>202206</v>
      </c>
      <c r="G187" t="s">
        <v>182</v>
      </c>
      <c r="H187">
        <v>0</v>
      </c>
    </row>
    <row r="188" spans="1:8">
      <c r="A188">
        <v>5370</v>
      </c>
      <c r="B188" t="s">
        <v>2398</v>
      </c>
      <c r="C188">
        <v>5697</v>
      </c>
      <c r="D188" t="s">
        <v>2201</v>
      </c>
      <c r="E188" t="s">
        <v>2371</v>
      </c>
      <c r="F188">
        <v>202206</v>
      </c>
      <c r="G188" t="s">
        <v>184</v>
      </c>
      <c r="H188">
        <v>0</v>
      </c>
    </row>
    <row r="189" spans="1:8">
      <c r="A189">
        <v>5370</v>
      </c>
      <c r="B189" t="s">
        <v>2398</v>
      </c>
      <c r="C189">
        <v>5697</v>
      </c>
      <c r="D189" t="s">
        <v>2201</v>
      </c>
      <c r="E189" t="s">
        <v>2371</v>
      </c>
      <c r="F189">
        <v>202206</v>
      </c>
      <c r="G189" t="s">
        <v>192</v>
      </c>
      <c r="H189">
        <v>0</v>
      </c>
    </row>
    <row r="190" spans="1:8">
      <c r="A190">
        <v>5370</v>
      </c>
      <c r="B190" t="s">
        <v>2398</v>
      </c>
      <c r="C190">
        <v>5697</v>
      </c>
      <c r="D190" t="s">
        <v>2201</v>
      </c>
      <c r="E190" t="s">
        <v>2371</v>
      </c>
      <c r="F190">
        <v>202206</v>
      </c>
      <c r="G190" t="s">
        <v>2170</v>
      </c>
      <c r="H190">
        <v>148488.01</v>
      </c>
    </row>
    <row r="191" spans="1:8">
      <c r="A191">
        <v>5370</v>
      </c>
      <c r="B191" t="s">
        <v>2398</v>
      </c>
      <c r="C191">
        <v>5697</v>
      </c>
      <c r="D191" t="s">
        <v>2201</v>
      </c>
      <c r="E191" t="s">
        <v>2371</v>
      </c>
      <c r="F191">
        <v>202206</v>
      </c>
      <c r="G191" t="s">
        <v>186</v>
      </c>
      <c r="H191">
        <v>474561</v>
      </c>
    </row>
    <row r="192" spans="1:8">
      <c r="A192">
        <v>5370</v>
      </c>
      <c r="B192" t="s">
        <v>2398</v>
      </c>
      <c r="C192">
        <v>5697</v>
      </c>
      <c r="D192" t="s">
        <v>2201</v>
      </c>
      <c r="E192" t="s">
        <v>2371</v>
      </c>
      <c r="F192">
        <v>202206</v>
      </c>
      <c r="G192" t="s">
        <v>2169</v>
      </c>
      <c r="H192">
        <v>128.44999999999999</v>
      </c>
    </row>
    <row r="193" spans="1:8">
      <c r="A193">
        <v>5370</v>
      </c>
      <c r="B193" t="s">
        <v>2398</v>
      </c>
      <c r="C193">
        <v>5697</v>
      </c>
      <c r="D193" t="s">
        <v>2201</v>
      </c>
      <c r="E193" t="s">
        <v>2371</v>
      </c>
      <c r="F193">
        <v>202206</v>
      </c>
      <c r="G193" t="s">
        <v>2166</v>
      </c>
      <c r="H193">
        <v>0</v>
      </c>
    </row>
    <row r="194" spans="1:8">
      <c r="A194">
        <v>5370</v>
      </c>
      <c r="B194" t="s">
        <v>2398</v>
      </c>
      <c r="C194">
        <v>5697</v>
      </c>
      <c r="D194" t="s">
        <v>2201</v>
      </c>
      <c r="E194" t="s">
        <v>2371</v>
      </c>
      <c r="F194">
        <v>202206</v>
      </c>
      <c r="G194" t="s">
        <v>2167</v>
      </c>
      <c r="H194">
        <v>0</v>
      </c>
    </row>
    <row r="195" spans="1:8">
      <c r="A195">
        <v>5370</v>
      </c>
      <c r="B195" t="s">
        <v>2398</v>
      </c>
      <c r="C195">
        <v>5697</v>
      </c>
      <c r="D195" t="s">
        <v>2201</v>
      </c>
      <c r="E195" t="s">
        <v>2371</v>
      </c>
      <c r="F195">
        <v>202206</v>
      </c>
      <c r="G195" t="s">
        <v>2168</v>
      </c>
      <c r="H195">
        <v>0</v>
      </c>
    </row>
    <row r="196" spans="1:8">
      <c r="A196">
        <v>5370</v>
      </c>
      <c r="B196" t="s">
        <v>2398</v>
      </c>
      <c r="C196">
        <v>5697</v>
      </c>
      <c r="D196" t="s">
        <v>2201</v>
      </c>
      <c r="E196" t="s">
        <v>2371</v>
      </c>
      <c r="F196">
        <v>202206</v>
      </c>
      <c r="G196" t="s">
        <v>2171</v>
      </c>
      <c r="H196">
        <v>3759190.27</v>
      </c>
    </row>
    <row r="197" spans="1:8">
      <c r="A197">
        <v>5370</v>
      </c>
      <c r="B197" t="s">
        <v>2398</v>
      </c>
      <c r="C197">
        <v>5697</v>
      </c>
      <c r="D197" t="s">
        <v>2201</v>
      </c>
      <c r="E197" t="s">
        <v>2371</v>
      </c>
      <c r="F197">
        <v>202207</v>
      </c>
      <c r="G197" t="s">
        <v>190</v>
      </c>
      <c r="H197">
        <v>25580695</v>
      </c>
    </row>
    <row r="198" spans="1:8">
      <c r="A198">
        <v>5370</v>
      </c>
      <c r="B198" t="s">
        <v>2398</v>
      </c>
      <c r="C198">
        <v>5697</v>
      </c>
      <c r="D198" t="s">
        <v>2201</v>
      </c>
      <c r="E198" t="s">
        <v>2371</v>
      </c>
      <c r="F198">
        <v>202207</v>
      </c>
      <c r="G198" t="s">
        <v>191</v>
      </c>
      <c r="H198">
        <v>2621622</v>
      </c>
    </row>
    <row r="199" spans="1:8">
      <c r="A199">
        <v>5370</v>
      </c>
      <c r="B199" t="s">
        <v>2398</v>
      </c>
      <c r="C199">
        <v>5697</v>
      </c>
      <c r="D199" t="s">
        <v>2201</v>
      </c>
      <c r="E199" t="s">
        <v>2371</v>
      </c>
      <c r="F199">
        <v>202207</v>
      </c>
      <c r="G199" t="s">
        <v>176</v>
      </c>
      <c r="H199">
        <v>0</v>
      </c>
    </row>
    <row r="200" spans="1:8">
      <c r="A200">
        <v>5370</v>
      </c>
      <c r="B200" t="s">
        <v>2398</v>
      </c>
      <c r="C200">
        <v>5697</v>
      </c>
      <c r="D200" t="s">
        <v>2201</v>
      </c>
      <c r="E200" t="s">
        <v>2371</v>
      </c>
      <c r="F200">
        <v>202207</v>
      </c>
      <c r="G200" t="s">
        <v>178</v>
      </c>
      <c r="H200">
        <v>0</v>
      </c>
    </row>
    <row r="201" spans="1:8">
      <c r="A201">
        <v>5370</v>
      </c>
      <c r="B201" t="s">
        <v>2398</v>
      </c>
      <c r="C201">
        <v>5697</v>
      </c>
      <c r="D201" t="s">
        <v>2201</v>
      </c>
      <c r="E201" t="s">
        <v>2371</v>
      </c>
      <c r="F201">
        <v>202207</v>
      </c>
      <c r="G201" t="s">
        <v>180</v>
      </c>
      <c r="H201">
        <v>0</v>
      </c>
    </row>
    <row r="202" spans="1:8">
      <c r="A202">
        <v>5370</v>
      </c>
      <c r="B202" t="s">
        <v>2398</v>
      </c>
      <c r="C202">
        <v>5697</v>
      </c>
      <c r="D202" t="s">
        <v>2201</v>
      </c>
      <c r="E202" t="s">
        <v>2371</v>
      </c>
      <c r="F202">
        <v>202207</v>
      </c>
      <c r="G202" t="s">
        <v>182</v>
      </c>
      <c r="H202">
        <v>0</v>
      </c>
    </row>
    <row r="203" spans="1:8">
      <c r="A203">
        <v>5370</v>
      </c>
      <c r="B203" t="s">
        <v>2398</v>
      </c>
      <c r="C203">
        <v>5697</v>
      </c>
      <c r="D203" t="s">
        <v>2201</v>
      </c>
      <c r="E203" t="s">
        <v>2371</v>
      </c>
      <c r="F203">
        <v>202207</v>
      </c>
      <c r="G203" t="s">
        <v>184</v>
      </c>
      <c r="H203">
        <v>0</v>
      </c>
    </row>
    <row r="204" spans="1:8">
      <c r="A204">
        <v>5370</v>
      </c>
      <c r="B204" t="s">
        <v>2398</v>
      </c>
      <c r="C204">
        <v>5697</v>
      </c>
      <c r="D204" t="s">
        <v>2201</v>
      </c>
      <c r="E204" t="s">
        <v>2371</v>
      </c>
      <c r="F204">
        <v>202207</v>
      </c>
      <c r="G204" t="s">
        <v>192</v>
      </c>
      <c r="H204">
        <v>0</v>
      </c>
    </row>
    <row r="205" spans="1:8">
      <c r="A205">
        <v>5370</v>
      </c>
      <c r="B205" t="s">
        <v>2398</v>
      </c>
      <c r="C205">
        <v>5697</v>
      </c>
      <c r="D205" t="s">
        <v>2201</v>
      </c>
      <c r="E205" t="s">
        <v>2371</v>
      </c>
      <c r="F205">
        <v>202207</v>
      </c>
      <c r="G205" t="s">
        <v>2170</v>
      </c>
      <c r="H205">
        <v>191063.95</v>
      </c>
    </row>
    <row r="206" spans="1:8">
      <c r="A206">
        <v>5370</v>
      </c>
      <c r="B206" t="s">
        <v>2398</v>
      </c>
      <c r="C206">
        <v>5697</v>
      </c>
      <c r="D206" t="s">
        <v>2201</v>
      </c>
      <c r="E206" t="s">
        <v>2371</v>
      </c>
      <c r="F206">
        <v>202207</v>
      </c>
      <c r="G206" t="s">
        <v>186</v>
      </c>
      <c r="H206">
        <v>491701</v>
      </c>
    </row>
    <row r="207" spans="1:8">
      <c r="A207">
        <v>5370</v>
      </c>
      <c r="B207" t="s">
        <v>2398</v>
      </c>
      <c r="C207">
        <v>5697</v>
      </c>
      <c r="D207" t="s">
        <v>2201</v>
      </c>
      <c r="E207" t="s">
        <v>2371</v>
      </c>
      <c r="F207">
        <v>202207</v>
      </c>
      <c r="G207" t="s">
        <v>2169</v>
      </c>
      <c r="H207">
        <v>128.44999999999999</v>
      </c>
    </row>
    <row r="208" spans="1:8">
      <c r="A208">
        <v>5370</v>
      </c>
      <c r="B208" t="s">
        <v>2398</v>
      </c>
      <c r="C208">
        <v>5697</v>
      </c>
      <c r="D208" t="s">
        <v>2201</v>
      </c>
      <c r="E208" t="s">
        <v>2371</v>
      </c>
      <c r="F208">
        <v>202207</v>
      </c>
      <c r="G208" t="s">
        <v>2166</v>
      </c>
      <c r="H208">
        <v>0</v>
      </c>
    </row>
    <row r="209" spans="1:8">
      <c r="A209">
        <v>5370</v>
      </c>
      <c r="B209" t="s">
        <v>2398</v>
      </c>
      <c r="C209">
        <v>5697</v>
      </c>
      <c r="D209" t="s">
        <v>2201</v>
      </c>
      <c r="E209" t="s">
        <v>2371</v>
      </c>
      <c r="F209">
        <v>202207</v>
      </c>
      <c r="G209" t="s">
        <v>2167</v>
      </c>
      <c r="H209">
        <v>0</v>
      </c>
    </row>
    <row r="210" spans="1:8">
      <c r="A210">
        <v>5370</v>
      </c>
      <c r="B210" t="s">
        <v>2398</v>
      </c>
      <c r="C210">
        <v>5697</v>
      </c>
      <c r="D210" t="s">
        <v>2201</v>
      </c>
      <c r="E210" t="s">
        <v>2371</v>
      </c>
      <c r="F210">
        <v>202207</v>
      </c>
      <c r="G210" t="s">
        <v>2168</v>
      </c>
      <c r="H210">
        <v>0</v>
      </c>
    </row>
    <row r="211" spans="1:8">
      <c r="A211">
        <v>5370</v>
      </c>
      <c r="B211" t="s">
        <v>2398</v>
      </c>
      <c r="C211">
        <v>5697</v>
      </c>
      <c r="D211" t="s">
        <v>2201</v>
      </c>
      <c r="E211" t="s">
        <v>2371</v>
      </c>
      <c r="F211">
        <v>202207</v>
      </c>
      <c r="G211" t="s">
        <v>2171</v>
      </c>
      <c r="H211">
        <v>3813651.56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Normal="100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2024</v>
      </c>
    </row>
    <row r="3" spans="1:50">
      <c r="A3" s="63" t="s">
        <v>195</v>
      </c>
      <c r="AI3" t="s">
        <v>2025</v>
      </c>
    </row>
    <row r="4" spans="1:50">
      <c r="A4" s="63" t="s">
        <v>196</v>
      </c>
    </row>
    <row r="7" spans="1:50">
      <c r="A7" s="624" t="s">
        <v>197</v>
      </c>
      <c r="M7" t="s">
        <v>2023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0" t="s">
        <v>198</v>
      </c>
      <c r="B9" s="500" t="s">
        <v>199</v>
      </c>
      <c r="C9" s="500" t="s">
        <v>200</v>
      </c>
      <c r="D9" s="500" t="s">
        <v>201</v>
      </c>
      <c r="E9" s="500" t="s">
        <v>202</v>
      </c>
      <c r="F9" s="500" t="s">
        <v>203</v>
      </c>
      <c r="G9" s="500" t="s">
        <v>210</v>
      </c>
      <c r="H9" s="501" t="s">
        <v>211</v>
      </c>
      <c r="I9" s="1731" t="s">
        <v>2286</v>
      </c>
      <c r="J9" s="500" t="s">
        <v>204</v>
      </c>
      <c r="K9" s="500" t="s">
        <v>205</v>
      </c>
      <c r="L9" s="500" t="s">
        <v>206</v>
      </c>
      <c r="M9" s="500" t="s">
        <v>207</v>
      </c>
      <c r="N9" s="500" t="s">
        <v>208</v>
      </c>
      <c r="O9" s="500" t="s">
        <v>212</v>
      </c>
      <c r="P9" s="501" t="s">
        <v>215</v>
      </c>
      <c r="Q9" s="501" t="s">
        <v>216</v>
      </c>
      <c r="R9" s="501" t="s">
        <v>217</v>
      </c>
      <c r="S9" s="501" t="s">
        <v>218</v>
      </c>
      <c r="T9" s="501" t="s">
        <v>2285</v>
      </c>
      <c r="X9" s="775" t="s">
        <v>198</v>
      </c>
      <c r="Y9" s="776" t="s">
        <v>219</v>
      </c>
      <c r="AB9" t="s">
        <v>198</v>
      </c>
      <c r="AC9" t="s">
        <v>2287</v>
      </c>
      <c r="AD9" s="232"/>
      <c r="AS9"/>
      <c r="AX9"/>
    </row>
    <row r="10" spans="1:50" s="9" customFormat="1" ht="31.5">
      <c r="A10" s="612" t="s">
        <v>220</v>
      </c>
      <c r="B10" s="612" t="s">
        <v>221</v>
      </c>
      <c r="C10" s="612">
        <v>5381</v>
      </c>
      <c r="D10" s="612" t="s">
        <v>222</v>
      </c>
      <c r="E10" s="612" t="s">
        <v>223</v>
      </c>
      <c r="F10" s="612" t="s">
        <v>224</v>
      </c>
      <c r="G10" s="612" t="s">
        <v>226</v>
      </c>
      <c r="H10" s="708" t="s">
        <v>227</v>
      </c>
      <c r="I10" s="1732">
        <v>44895</v>
      </c>
      <c r="J10" s="612">
        <v>8.1942000000000001E-2</v>
      </c>
      <c r="K10" s="612" t="s">
        <v>225</v>
      </c>
      <c r="L10" s="612">
        <v>104</v>
      </c>
      <c r="M10" s="612" t="s">
        <v>136</v>
      </c>
      <c r="N10" s="612">
        <v>145</v>
      </c>
      <c r="O10" s="612">
        <v>2024</v>
      </c>
      <c r="P10" s="1456">
        <v>0</v>
      </c>
      <c r="Q10" s="612"/>
      <c r="R10" s="708">
        <v>42613</v>
      </c>
      <c r="S10" s="708" t="s">
        <v>229</v>
      </c>
      <c r="T10" s="708"/>
      <c r="U10" s="233"/>
      <c r="V10" s="17"/>
      <c r="X10" s="779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2" t="s">
        <v>153</v>
      </c>
      <c r="B11" s="612" t="s">
        <v>231</v>
      </c>
      <c r="C11" s="612">
        <v>5366</v>
      </c>
      <c r="D11" s="612" t="s">
        <v>232</v>
      </c>
      <c r="E11" s="612" t="s">
        <v>233</v>
      </c>
      <c r="F11" s="612" t="s">
        <v>224</v>
      </c>
      <c r="G11" s="612" t="s">
        <v>234</v>
      </c>
      <c r="H11" s="708" t="s">
        <v>235</v>
      </c>
      <c r="I11" s="1732">
        <v>44834</v>
      </c>
      <c r="J11" s="612">
        <v>8.1942000000000001E-2</v>
      </c>
      <c r="K11" s="612" t="s">
        <v>136</v>
      </c>
      <c r="L11" s="612">
        <v>145</v>
      </c>
      <c r="M11" s="612"/>
      <c r="N11" s="612"/>
      <c r="O11" s="612">
        <v>2024</v>
      </c>
      <c r="P11" s="1456">
        <v>0</v>
      </c>
      <c r="Q11" s="612"/>
      <c r="R11" s="708">
        <v>42613</v>
      </c>
      <c r="S11" s="708" t="s">
        <v>229</v>
      </c>
      <c r="T11" s="708"/>
      <c r="U11" s="233"/>
      <c r="V11" s="17"/>
      <c r="X11" s="779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2" t="s">
        <v>236</v>
      </c>
      <c r="B12" s="612" t="s">
        <v>237</v>
      </c>
      <c r="C12" s="612">
        <v>5386</v>
      </c>
      <c r="D12" s="612" t="s">
        <v>238</v>
      </c>
      <c r="E12" s="612" t="s">
        <v>239</v>
      </c>
      <c r="F12" s="612" t="s">
        <v>224</v>
      </c>
      <c r="G12" s="612" t="s">
        <v>240</v>
      </c>
      <c r="H12" s="708" t="s">
        <v>235</v>
      </c>
      <c r="I12" s="1732">
        <v>44895</v>
      </c>
      <c r="J12" s="612">
        <v>8.1942000000000001E-2</v>
      </c>
      <c r="K12" s="612" t="s">
        <v>146</v>
      </c>
      <c r="L12" s="612">
        <v>135</v>
      </c>
      <c r="M12" s="612"/>
      <c r="N12" s="612"/>
      <c r="O12" s="612">
        <v>2024</v>
      </c>
      <c r="P12" s="1456">
        <v>0</v>
      </c>
      <c r="Q12" s="612"/>
      <c r="R12" s="708">
        <v>42673</v>
      </c>
      <c r="S12" s="708" t="s">
        <v>229</v>
      </c>
      <c r="T12" s="708"/>
      <c r="U12" s="233"/>
      <c r="V12" s="17"/>
      <c r="X12" s="779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2" t="s">
        <v>241</v>
      </c>
      <c r="B13" s="612" t="s">
        <v>242</v>
      </c>
      <c r="C13" s="612">
        <v>5378</v>
      </c>
      <c r="D13" s="612" t="s">
        <v>243</v>
      </c>
      <c r="E13" s="612" t="s">
        <v>244</v>
      </c>
      <c r="F13" s="612" t="s">
        <v>224</v>
      </c>
      <c r="G13" s="612" t="s">
        <v>245</v>
      </c>
      <c r="H13" s="708" t="s">
        <v>235</v>
      </c>
      <c r="I13" s="1732">
        <v>44680</v>
      </c>
      <c r="J13" s="612">
        <v>8.1942000000000001E-2</v>
      </c>
      <c r="K13" s="612" t="s">
        <v>166</v>
      </c>
      <c r="L13" s="612">
        <v>166</v>
      </c>
      <c r="M13" s="612" t="s">
        <v>136</v>
      </c>
      <c r="N13" s="612">
        <v>145</v>
      </c>
      <c r="O13" s="612">
        <v>2024</v>
      </c>
      <c r="P13" s="1456">
        <v>0</v>
      </c>
      <c r="Q13" s="612"/>
      <c r="R13" s="708">
        <v>42410</v>
      </c>
      <c r="S13" s="708" t="s">
        <v>229</v>
      </c>
      <c r="T13" s="708"/>
      <c r="U13" s="233"/>
      <c r="V13" s="17"/>
      <c r="X13" s="779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2" t="s">
        <v>246</v>
      </c>
      <c r="B14" s="612" t="s">
        <v>247</v>
      </c>
      <c r="C14" s="612">
        <v>5382</v>
      </c>
      <c r="D14" s="612" t="s">
        <v>248</v>
      </c>
      <c r="E14" s="612" t="s">
        <v>249</v>
      </c>
      <c r="F14" s="612" t="s">
        <v>224</v>
      </c>
      <c r="G14" s="612" t="s">
        <v>251</v>
      </c>
      <c r="H14" s="708" t="s">
        <v>235</v>
      </c>
      <c r="I14" s="1732">
        <v>44772</v>
      </c>
      <c r="J14" s="612">
        <v>8.1942000000000001E-2</v>
      </c>
      <c r="K14" s="612" t="s">
        <v>250</v>
      </c>
      <c r="L14" s="612">
        <v>148</v>
      </c>
      <c r="M14" s="612"/>
      <c r="N14" s="612"/>
      <c r="O14" s="612">
        <v>2024</v>
      </c>
      <c r="P14" s="1456">
        <v>0</v>
      </c>
      <c r="Q14" s="612"/>
      <c r="R14" s="708">
        <v>42562</v>
      </c>
      <c r="S14" s="708" t="s">
        <v>229</v>
      </c>
      <c r="T14" s="708"/>
      <c r="U14" s="233"/>
      <c r="V14" s="17"/>
      <c r="X14" s="779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2" t="s">
        <v>253</v>
      </c>
      <c r="B15" s="612" t="s">
        <v>254</v>
      </c>
      <c r="C15" s="612">
        <v>6610</v>
      </c>
      <c r="D15" s="612" t="s">
        <v>255</v>
      </c>
      <c r="E15" s="612" t="s">
        <v>256</v>
      </c>
      <c r="F15" s="612" t="s">
        <v>224</v>
      </c>
      <c r="G15" s="612" t="s">
        <v>257</v>
      </c>
      <c r="H15" s="708" t="s">
        <v>227</v>
      </c>
      <c r="I15" s="1732">
        <v>44895</v>
      </c>
      <c r="J15" s="612">
        <v>8.1942000000000001E-2</v>
      </c>
      <c r="K15" s="612" t="s">
        <v>225</v>
      </c>
      <c r="L15" s="612">
        <v>104</v>
      </c>
      <c r="M15" s="612"/>
      <c r="N15" s="612"/>
      <c r="O15" s="612">
        <v>2024</v>
      </c>
      <c r="P15" s="1456">
        <v>0</v>
      </c>
      <c r="Q15" s="612"/>
      <c r="R15" s="708">
        <v>42673</v>
      </c>
      <c r="S15" s="708" t="s">
        <v>229</v>
      </c>
      <c r="T15" s="708"/>
      <c r="U15" s="233"/>
      <c r="V15" s="17"/>
      <c r="X15" s="779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2" t="s">
        <v>259</v>
      </c>
      <c r="B16" s="612" t="s">
        <v>260</v>
      </c>
      <c r="C16" s="612">
        <v>6609</v>
      </c>
      <c r="D16" s="612" t="s">
        <v>261</v>
      </c>
      <c r="E16" s="612" t="s">
        <v>262</v>
      </c>
      <c r="F16" s="612" t="s">
        <v>224</v>
      </c>
      <c r="G16" s="612" t="s">
        <v>263</v>
      </c>
      <c r="H16" s="708" t="s">
        <v>264</v>
      </c>
      <c r="I16" s="1732">
        <v>44772</v>
      </c>
      <c r="J16" s="612">
        <v>8.1942000000000001E-2</v>
      </c>
      <c r="K16" s="612" t="s">
        <v>111</v>
      </c>
      <c r="L16" s="612">
        <v>165</v>
      </c>
      <c r="M16" s="612"/>
      <c r="N16" s="612"/>
      <c r="O16" s="612">
        <v>2024</v>
      </c>
      <c r="P16" s="1456">
        <v>0</v>
      </c>
      <c r="Q16" s="612"/>
      <c r="R16" s="708">
        <v>42507</v>
      </c>
      <c r="S16" s="708" t="s">
        <v>229</v>
      </c>
      <c r="T16" s="708"/>
      <c r="U16" s="233"/>
      <c r="V16" s="17"/>
      <c r="X16" s="779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2" t="s">
        <v>266</v>
      </c>
      <c r="B17" s="612" t="s">
        <v>267</v>
      </c>
      <c r="C17" s="612">
        <v>5384</v>
      </c>
      <c r="D17" s="612" t="s">
        <v>268</v>
      </c>
      <c r="E17" s="612" t="s">
        <v>269</v>
      </c>
      <c r="F17" s="612" t="s">
        <v>224</v>
      </c>
      <c r="G17" s="612" t="s">
        <v>270</v>
      </c>
      <c r="H17" s="708" t="s">
        <v>235</v>
      </c>
      <c r="I17" s="1732">
        <v>44710</v>
      </c>
      <c r="J17" s="612">
        <v>8.1942000000000001E-2</v>
      </c>
      <c r="K17" s="612" t="s">
        <v>125</v>
      </c>
      <c r="L17" s="612">
        <v>136</v>
      </c>
      <c r="M17" s="612"/>
      <c r="N17" s="612"/>
      <c r="O17" s="612">
        <v>2024</v>
      </c>
      <c r="P17" s="1456">
        <v>0</v>
      </c>
      <c r="Q17" s="612"/>
      <c r="R17" s="708">
        <v>42475</v>
      </c>
      <c r="S17" s="708" t="s">
        <v>229</v>
      </c>
      <c r="T17" s="708"/>
      <c r="U17" s="233"/>
      <c r="V17" s="17"/>
      <c r="X17" s="779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2" t="s">
        <v>271</v>
      </c>
      <c r="B18" s="612" t="s">
        <v>272</v>
      </c>
      <c r="C18" s="612">
        <v>5385</v>
      </c>
      <c r="D18" s="612" t="s">
        <v>273</v>
      </c>
      <c r="E18" s="612" t="s">
        <v>274</v>
      </c>
      <c r="F18" s="612" t="s">
        <v>224</v>
      </c>
      <c r="G18" s="612" t="s">
        <v>275</v>
      </c>
      <c r="H18" s="708" t="s">
        <v>264</v>
      </c>
      <c r="I18" s="1732">
        <v>44710</v>
      </c>
      <c r="J18" s="612">
        <v>8.1942000000000001E-2</v>
      </c>
      <c r="K18" s="612" t="s">
        <v>125</v>
      </c>
      <c r="L18" s="612">
        <v>136</v>
      </c>
      <c r="M18" s="612" t="s">
        <v>111</v>
      </c>
      <c r="N18" s="612">
        <v>165</v>
      </c>
      <c r="O18" s="612">
        <v>2024</v>
      </c>
      <c r="P18" s="1456">
        <v>0</v>
      </c>
      <c r="Q18" s="612"/>
      <c r="R18" s="708">
        <v>42475</v>
      </c>
      <c r="S18" s="708" t="s">
        <v>229</v>
      </c>
      <c r="T18" s="708"/>
      <c r="U18" s="233"/>
      <c r="V18" s="17"/>
      <c r="X18" s="779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2" t="s">
        <v>277</v>
      </c>
      <c r="B19" s="612" t="s">
        <v>278</v>
      </c>
      <c r="C19" s="612">
        <v>5379</v>
      </c>
      <c r="D19" s="612" t="s">
        <v>279</v>
      </c>
      <c r="E19" s="612" t="s">
        <v>280</v>
      </c>
      <c r="F19" s="612" t="s">
        <v>224</v>
      </c>
      <c r="G19" s="612" t="s">
        <v>281</v>
      </c>
      <c r="H19" s="708" t="s">
        <v>235</v>
      </c>
      <c r="I19" s="1732">
        <v>44895</v>
      </c>
      <c r="J19" s="612">
        <v>8.1942000000000001E-2</v>
      </c>
      <c r="K19" s="612" t="s">
        <v>146</v>
      </c>
      <c r="L19" s="612">
        <v>135</v>
      </c>
      <c r="M19" s="612" t="s">
        <v>136</v>
      </c>
      <c r="N19" s="612">
        <v>145</v>
      </c>
      <c r="O19" s="612">
        <v>2024</v>
      </c>
      <c r="P19" s="1456">
        <v>0</v>
      </c>
      <c r="Q19" s="612"/>
      <c r="R19" s="708">
        <v>42673</v>
      </c>
      <c r="S19" s="708" t="s">
        <v>229</v>
      </c>
      <c r="T19" s="708"/>
      <c r="U19" s="233"/>
      <c r="V19" s="17"/>
      <c r="X19" s="779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2" t="s">
        <v>252</v>
      </c>
      <c r="B20" s="612" t="s">
        <v>282</v>
      </c>
      <c r="C20" s="612">
        <v>5372</v>
      </c>
      <c r="D20" s="612" t="s">
        <v>283</v>
      </c>
      <c r="E20" s="612" t="s">
        <v>284</v>
      </c>
      <c r="F20" s="612" t="s">
        <v>285</v>
      </c>
      <c r="G20" s="612" t="s">
        <v>286</v>
      </c>
      <c r="H20" s="708" t="s">
        <v>287</v>
      </c>
      <c r="I20" s="1732">
        <v>44834</v>
      </c>
      <c r="J20" s="612">
        <v>8.1942000000000001E-2</v>
      </c>
      <c r="K20" s="612" t="s">
        <v>155</v>
      </c>
      <c r="L20" s="612">
        <v>111</v>
      </c>
      <c r="M20" s="612"/>
      <c r="N20" s="612"/>
      <c r="O20" s="612">
        <v>2024</v>
      </c>
      <c r="P20" s="1456">
        <v>0</v>
      </c>
      <c r="Q20" s="612"/>
      <c r="R20" s="708">
        <v>42641</v>
      </c>
      <c r="S20" s="708" t="s">
        <v>229</v>
      </c>
      <c r="T20" s="708"/>
      <c r="U20" s="233"/>
      <c r="V20" s="17"/>
      <c r="X20" s="779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2" t="s">
        <v>9</v>
      </c>
      <c r="B21" s="612" t="s">
        <v>288</v>
      </c>
      <c r="C21" s="612">
        <v>5367</v>
      </c>
      <c r="D21" s="612" t="s">
        <v>289</v>
      </c>
      <c r="E21" s="612" t="s">
        <v>290</v>
      </c>
      <c r="F21" s="612" t="s">
        <v>285</v>
      </c>
      <c r="G21" s="612" t="s">
        <v>292</v>
      </c>
      <c r="H21" s="708" t="s">
        <v>293</v>
      </c>
      <c r="I21" s="1732">
        <v>44917</v>
      </c>
      <c r="J21" s="612">
        <v>8.1942000000000001E-2</v>
      </c>
      <c r="K21" s="612" t="s">
        <v>155</v>
      </c>
      <c r="L21" s="612">
        <v>111</v>
      </c>
      <c r="M21" s="612" t="s">
        <v>291</v>
      </c>
      <c r="N21" s="612">
        <v>110</v>
      </c>
      <c r="O21" s="612">
        <v>2025</v>
      </c>
      <c r="P21" s="1456">
        <v>0</v>
      </c>
      <c r="Q21" s="612"/>
      <c r="R21" s="708">
        <v>42641</v>
      </c>
      <c r="S21" s="708" t="s">
        <v>229</v>
      </c>
      <c r="T21" s="708"/>
      <c r="U21" s="233"/>
      <c r="V21" s="17"/>
      <c r="X21" s="779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2" t="s">
        <v>276</v>
      </c>
      <c r="B22" s="612" t="s">
        <v>295</v>
      </c>
      <c r="C22" s="612">
        <v>6897</v>
      </c>
      <c r="D22" s="612" t="s">
        <v>296</v>
      </c>
      <c r="E22" s="612" t="s">
        <v>297</v>
      </c>
      <c r="F22" s="612" t="s">
        <v>285</v>
      </c>
      <c r="G22" s="612" t="s">
        <v>298</v>
      </c>
      <c r="H22" s="708" t="s">
        <v>287</v>
      </c>
      <c r="I22" s="1732">
        <v>44834</v>
      </c>
      <c r="J22" s="612">
        <v>8.1942000000000001E-2</v>
      </c>
      <c r="K22" s="612" t="s">
        <v>155</v>
      </c>
      <c r="L22" s="612">
        <v>111</v>
      </c>
      <c r="M22" s="612"/>
      <c r="N22" s="612"/>
      <c r="O22" s="612">
        <v>2024</v>
      </c>
      <c r="P22" s="1456">
        <v>0</v>
      </c>
      <c r="Q22" s="612"/>
      <c r="R22" s="708">
        <v>42641</v>
      </c>
      <c r="S22" s="708" t="s">
        <v>229</v>
      </c>
      <c r="T22" s="708"/>
      <c r="U22" s="233"/>
      <c r="V22" s="17"/>
      <c r="X22" s="779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2" t="s">
        <v>150</v>
      </c>
      <c r="B23" s="612" t="s">
        <v>300</v>
      </c>
      <c r="C23" s="612">
        <v>5351</v>
      </c>
      <c r="D23" s="612" t="s">
        <v>301</v>
      </c>
      <c r="E23" s="612" t="s">
        <v>302</v>
      </c>
      <c r="F23" s="612" t="s">
        <v>285</v>
      </c>
      <c r="G23" s="612" t="s">
        <v>303</v>
      </c>
      <c r="H23" s="708" t="s">
        <v>287</v>
      </c>
      <c r="I23" s="1732">
        <v>44895</v>
      </c>
      <c r="J23" s="612">
        <v>8.1942000000000001E-2</v>
      </c>
      <c r="K23" s="612" t="s">
        <v>299</v>
      </c>
      <c r="L23" s="612">
        <v>220</v>
      </c>
      <c r="M23" s="612"/>
      <c r="N23" s="612"/>
      <c r="O23" s="612">
        <v>2024</v>
      </c>
      <c r="P23" s="1456">
        <v>0</v>
      </c>
      <c r="Q23" s="612"/>
      <c r="R23" s="708">
        <v>42641</v>
      </c>
      <c r="S23" s="708" t="s">
        <v>229</v>
      </c>
      <c r="T23" s="708"/>
      <c r="U23" s="233"/>
      <c r="V23" s="17"/>
      <c r="X23" s="779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2" t="s">
        <v>299</v>
      </c>
      <c r="B24" s="612" t="s">
        <v>305</v>
      </c>
      <c r="C24" s="612">
        <v>6898</v>
      </c>
      <c r="D24" s="612" t="s">
        <v>306</v>
      </c>
      <c r="E24" s="612" t="s">
        <v>307</v>
      </c>
      <c r="F24" s="612" t="s">
        <v>285</v>
      </c>
      <c r="G24" s="612" t="s">
        <v>308</v>
      </c>
      <c r="H24" s="708" t="s">
        <v>287</v>
      </c>
      <c r="I24" s="1732">
        <v>44834</v>
      </c>
      <c r="J24" s="612">
        <v>8.1942000000000001E-2</v>
      </c>
      <c r="K24" s="612" t="s">
        <v>155</v>
      </c>
      <c r="L24" s="612">
        <v>111</v>
      </c>
      <c r="M24" s="612"/>
      <c r="N24" s="612"/>
      <c r="O24" s="612">
        <v>2024</v>
      </c>
      <c r="P24" s="1456">
        <v>0</v>
      </c>
      <c r="Q24" s="612"/>
      <c r="R24" s="708">
        <v>42641</v>
      </c>
      <c r="S24" s="708" t="s">
        <v>229</v>
      </c>
      <c r="T24" s="708"/>
      <c r="U24" s="233"/>
      <c r="V24" s="17"/>
      <c r="X24" s="779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2" t="s">
        <v>310</v>
      </c>
      <c r="B25" s="612" t="s">
        <v>311</v>
      </c>
      <c r="C25" s="612">
        <v>5352</v>
      </c>
      <c r="D25" s="612" t="s">
        <v>312</v>
      </c>
      <c r="E25" s="612" t="s">
        <v>313</v>
      </c>
      <c r="F25" s="612" t="s">
        <v>285</v>
      </c>
      <c r="G25" s="612" t="s">
        <v>314</v>
      </c>
      <c r="H25" s="708" t="s">
        <v>315</v>
      </c>
      <c r="I25" s="1732">
        <v>44834</v>
      </c>
      <c r="J25" s="612">
        <v>8.1942000000000001E-2</v>
      </c>
      <c r="K25" s="612" t="s">
        <v>155</v>
      </c>
      <c r="L25" s="612">
        <v>111</v>
      </c>
      <c r="M25" s="612"/>
      <c r="N25" s="612"/>
      <c r="O25" s="612">
        <v>2024</v>
      </c>
      <c r="P25" s="1456">
        <v>0</v>
      </c>
      <c r="Q25" s="612"/>
      <c r="R25" s="708">
        <v>42641</v>
      </c>
      <c r="S25" s="708" t="s">
        <v>229</v>
      </c>
      <c r="T25" s="708"/>
      <c r="U25" s="233"/>
      <c r="V25" s="17"/>
      <c r="X25" s="779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2" t="s">
        <v>151</v>
      </c>
      <c r="B26" s="612" t="s">
        <v>316</v>
      </c>
      <c r="C26" s="612">
        <v>5353</v>
      </c>
      <c r="D26" s="612" t="s">
        <v>317</v>
      </c>
      <c r="E26" s="612" t="s">
        <v>318</v>
      </c>
      <c r="F26" s="612" t="s">
        <v>285</v>
      </c>
      <c r="G26" s="612" t="s">
        <v>319</v>
      </c>
      <c r="H26" s="708" t="s">
        <v>320</v>
      </c>
      <c r="I26" s="1732">
        <v>44834</v>
      </c>
      <c r="J26" s="612">
        <v>8.1942000000000001E-2</v>
      </c>
      <c r="K26" s="612" t="s">
        <v>155</v>
      </c>
      <c r="L26" s="612">
        <v>111</v>
      </c>
      <c r="M26" s="612"/>
      <c r="N26" s="612"/>
      <c r="O26" s="612">
        <v>2024</v>
      </c>
      <c r="P26" s="1456">
        <v>0</v>
      </c>
      <c r="Q26" s="612"/>
      <c r="R26" s="708">
        <v>42641</v>
      </c>
      <c r="S26" s="708" t="s">
        <v>229</v>
      </c>
      <c r="T26" s="708"/>
      <c r="U26" s="233"/>
      <c r="V26" s="17"/>
      <c r="X26" s="779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2" t="s">
        <v>321</v>
      </c>
      <c r="B27" s="612" t="s">
        <v>322</v>
      </c>
      <c r="C27" s="612">
        <v>5355</v>
      </c>
      <c r="D27" s="612" t="s">
        <v>323</v>
      </c>
      <c r="E27" s="612" t="s">
        <v>324</v>
      </c>
      <c r="F27" s="612" t="s">
        <v>285</v>
      </c>
      <c r="G27" s="612" t="s">
        <v>325</v>
      </c>
      <c r="H27" s="708" t="s">
        <v>326</v>
      </c>
      <c r="I27" s="1732">
        <v>44834</v>
      </c>
      <c r="J27" s="612">
        <v>8.1942000000000001E-2</v>
      </c>
      <c r="K27" s="612" t="s">
        <v>155</v>
      </c>
      <c r="L27" s="612">
        <v>111</v>
      </c>
      <c r="M27" s="612"/>
      <c r="N27" s="612"/>
      <c r="O27" s="612">
        <v>2025</v>
      </c>
      <c r="P27" s="1456">
        <v>0</v>
      </c>
      <c r="Q27" s="612"/>
      <c r="R27" s="708">
        <v>42641</v>
      </c>
      <c r="S27" s="708" t="s">
        <v>229</v>
      </c>
      <c r="T27" s="708"/>
      <c r="U27" s="233"/>
      <c r="V27" s="17"/>
      <c r="X27" s="779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2" t="s">
        <v>328</v>
      </c>
      <c r="B28" s="612" t="s">
        <v>329</v>
      </c>
      <c r="C28" s="612">
        <v>5363</v>
      </c>
      <c r="D28" s="612" t="s">
        <v>330</v>
      </c>
      <c r="E28" s="612" t="s">
        <v>331</v>
      </c>
      <c r="F28" s="612" t="s">
        <v>285</v>
      </c>
      <c r="G28" s="612" t="s">
        <v>332</v>
      </c>
      <c r="H28" s="708" t="s">
        <v>287</v>
      </c>
      <c r="I28" s="1732">
        <v>44834</v>
      </c>
      <c r="J28" s="612">
        <v>8.1942000000000001E-2</v>
      </c>
      <c r="K28" s="612" t="s">
        <v>155</v>
      </c>
      <c r="L28" s="612">
        <v>111</v>
      </c>
      <c r="M28" s="612"/>
      <c r="N28" s="612"/>
      <c r="O28" s="612">
        <v>2024</v>
      </c>
      <c r="P28" s="1456">
        <v>0</v>
      </c>
      <c r="Q28" s="612"/>
      <c r="R28" s="708">
        <v>42641</v>
      </c>
      <c r="S28" s="708" t="s">
        <v>229</v>
      </c>
      <c r="T28" s="708"/>
      <c r="U28" s="233"/>
      <c r="V28" s="17"/>
      <c r="X28" s="779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2" t="s">
        <v>333</v>
      </c>
      <c r="B29" s="612" t="s">
        <v>334</v>
      </c>
      <c r="C29" s="612">
        <v>5364</v>
      </c>
      <c r="D29" s="612" t="s">
        <v>335</v>
      </c>
      <c r="E29" s="612" t="s">
        <v>336</v>
      </c>
      <c r="F29" s="612" t="s">
        <v>285</v>
      </c>
      <c r="G29" s="612" t="s">
        <v>337</v>
      </c>
      <c r="H29" s="708" t="s">
        <v>338</v>
      </c>
      <c r="I29" s="1732">
        <v>44834</v>
      </c>
      <c r="J29" s="612">
        <v>8.1942000000000001E-2</v>
      </c>
      <c r="K29" s="612" t="s">
        <v>155</v>
      </c>
      <c r="L29" s="612">
        <v>111</v>
      </c>
      <c r="M29" s="612"/>
      <c r="N29" s="612"/>
      <c r="O29" s="612">
        <v>2022</v>
      </c>
      <c r="P29" s="1456">
        <v>0</v>
      </c>
      <c r="Q29" s="612"/>
      <c r="R29" s="708">
        <v>42641</v>
      </c>
      <c r="S29" s="708" t="s">
        <v>229</v>
      </c>
      <c r="T29" s="708"/>
      <c r="U29" s="233"/>
      <c r="V29" s="17"/>
      <c r="X29" s="779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2" t="s">
        <v>339</v>
      </c>
      <c r="B30" s="612" t="s">
        <v>340</v>
      </c>
      <c r="C30" s="612">
        <v>5365</v>
      </c>
      <c r="D30" s="612" t="s">
        <v>341</v>
      </c>
      <c r="E30" s="612" t="s">
        <v>342</v>
      </c>
      <c r="F30" s="612" t="s">
        <v>285</v>
      </c>
      <c r="G30" s="612" t="s">
        <v>343</v>
      </c>
      <c r="H30" s="708" t="s">
        <v>287</v>
      </c>
      <c r="I30" s="1732">
        <v>44834</v>
      </c>
      <c r="J30" s="612">
        <v>8.1942000000000001E-2</v>
      </c>
      <c r="K30" s="612" t="s">
        <v>155</v>
      </c>
      <c r="L30" s="612">
        <v>111</v>
      </c>
      <c r="M30" s="612"/>
      <c r="N30" s="612"/>
      <c r="O30" s="612">
        <v>2024</v>
      </c>
      <c r="P30" s="1456">
        <v>0</v>
      </c>
      <c r="Q30" s="612"/>
      <c r="R30" s="708">
        <v>42641</v>
      </c>
      <c r="S30" s="708" t="s">
        <v>229</v>
      </c>
      <c r="T30" s="708"/>
      <c r="U30" s="233"/>
      <c r="V30" s="17"/>
      <c r="X30" s="779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2" t="s">
        <v>344</v>
      </c>
      <c r="B31" s="612" t="s">
        <v>345</v>
      </c>
      <c r="C31" s="612">
        <v>5368</v>
      </c>
      <c r="D31" s="612" t="s">
        <v>346</v>
      </c>
      <c r="E31" s="612" t="s">
        <v>347</v>
      </c>
      <c r="F31" s="612" t="s">
        <v>285</v>
      </c>
      <c r="G31" s="612" t="s">
        <v>348</v>
      </c>
      <c r="H31" s="708" t="s">
        <v>287</v>
      </c>
      <c r="I31" s="1732">
        <v>44834</v>
      </c>
      <c r="J31" s="612">
        <v>8.1942000000000001E-2</v>
      </c>
      <c r="K31" s="612" t="s">
        <v>155</v>
      </c>
      <c r="L31" s="612">
        <v>111</v>
      </c>
      <c r="M31" s="612"/>
      <c r="N31" s="612"/>
      <c r="O31" s="612">
        <v>2024</v>
      </c>
      <c r="P31" s="1456">
        <v>0</v>
      </c>
      <c r="Q31" s="612"/>
      <c r="R31" s="708">
        <v>42641</v>
      </c>
      <c r="S31" s="708" t="s">
        <v>229</v>
      </c>
      <c r="T31" s="708"/>
      <c r="U31" s="233"/>
      <c r="V31" s="17"/>
      <c r="X31" s="779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2" t="s">
        <v>349</v>
      </c>
      <c r="B32" s="612" t="s">
        <v>350</v>
      </c>
      <c r="C32" s="612">
        <v>5369</v>
      </c>
      <c r="D32" s="612" t="s">
        <v>351</v>
      </c>
      <c r="E32" s="612" t="s">
        <v>352</v>
      </c>
      <c r="F32" s="612" t="s">
        <v>285</v>
      </c>
      <c r="G32" s="612" t="s">
        <v>353</v>
      </c>
      <c r="H32" s="708" t="s">
        <v>326</v>
      </c>
      <c r="I32" s="1732">
        <v>44834</v>
      </c>
      <c r="J32" s="612">
        <v>8.1942000000000001E-2</v>
      </c>
      <c r="K32" s="612" t="s">
        <v>155</v>
      </c>
      <c r="L32" s="612">
        <v>111</v>
      </c>
      <c r="M32" s="612"/>
      <c r="N32" s="612"/>
      <c r="O32" s="612">
        <v>2025</v>
      </c>
      <c r="P32" s="1456">
        <v>0</v>
      </c>
      <c r="Q32" s="612"/>
      <c r="R32" s="708">
        <v>42641</v>
      </c>
      <c r="S32" s="708" t="s">
        <v>229</v>
      </c>
      <c r="T32" s="708"/>
      <c r="U32" s="233"/>
      <c r="V32" s="17"/>
      <c r="X32" s="779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2" t="s">
        <v>154</v>
      </c>
      <c r="B33" s="612" t="s">
        <v>354</v>
      </c>
      <c r="C33" s="612">
        <v>5370</v>
      </c>
      <c r="D33" s="612" t="s">
        <v>355</v>
      </c>
      <c r="E33" s="612" t="s">
        <v>356</v>
      </c>
      <c r="F33" s="612" t="s">
        <v>285</v>
      </c>
      <c r="G33" s="612" t="s">
        <v>357</v>
      </c>
      <c r="H33" s="708" t="s">
        <v>287</v>
      </c>
      <c r="I33" s="1732">
        <v>44834</v>
      </c>
      <c r="J33" s="612">
        <v>8.1942000000000001E-2</v>
      </c>
      <c r="K33" s="612" t="s">
        <v>155</v>
      </c>
      <c r="L33" s="612">
        <v>111</v>
      </c>
      <c r="M33" s="612"/>
      <c r="N33" s="612"/>
      <c r="O33" s="612">
        <v>2024</v>
      </c>
      <c r="P33" s="1456">
        <v>0</v>
      </c>
      <c r="Q33" s="612"/>
      <c r="R33" s="708">
        <v>42641</v>
      </c>
      <c r="S33" s="708" t="s">
        <v>229</v>
      </c>
      <c r="T33" s="708"/>
      <c r="U33" s="233"/>
      <c r="V33" s="17"/>
      <c r="X33" s="779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2" t="s">
        <v>358</v>
      </c>
      <c r="B34" s="612" t="s">
        <v>359</v>
      </c>
      <c r="C34" s="612">
        <v>5371</v>
      </c>
      <c r="D34" s="612" t="s">
        <v>360</v>
      </c>
      <c r="E34" s="612" t="s">
        <v>361</v>
      </c>
      <c r="F34" s="612" t="s">
        <v>285</v>
      </c>
      <c r="G34" s="612" t="s">
        <v>363</v>
      </c>
      <c r="H34" s="708" t="s">
        <v>364</v>
      </c>
      <c r="I34" s="1732">
        <v>44834</v>
      </c>
      <c r="J34" s="612">
        <v>8.1942000000000001E-2</v>
      </c>
      <c r="K34" s="612" t="s">
        <v>155</v>
      </c>
      <c r="L34" s="612">
        <v>111</v>
      </c>
      <c r="M34" s="612" t="s">
        <v>362</v>
      </c>
      <c r="N34" s="612">
        <v>144</v>
      </c>
      <c r="O34" s="612">
        <v>2022</v>
      </c>
      <c r="P34" s="1456">
        <v>0</v>
      </c>
      <c r="Q34" s="612"/>
      <c r="R34" s="708">
        <v>42641</v>
      </c>
      <c r="S34" s="708" t="s">
        <v>229</v>
      </c>
      <c r="T34" s="708"/>
      <c r="U34" s="233"/>
      <c r="V34" s="17"/>
      <c r="X34" s="779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2" t="s">
        <v>365</v>
      </c>
      <c r="B35" s="612" t="s">
        <v>366</v>
      </c>
      <c r="C35" s="612">
        <v>5373</v>
      </c>
      <c r="D35" s="612" t="s">
        <v>367</v>
      </c>
      <c r="E35" s="612" t="s">
        <v>368</v>
      </c>
      <c r="F35" s="612" t="s">
        <v>285</v>
      </c>
      <c r="G35" s="612" t="s">
        <v>369</v>
      </c>
      <c r="H35" s="708" t="s">
        <v>320</v>
      </c>
      <c r="I35" s="1732">
        <v>44834</v>
      </c>
      <c r="J35" s="612">
        <v>8.1942000000000001E-2</v>
      </c>
      <c r="K35" s="612" t="s">
        <v>155</v>
      </c>
      <c r="L35" s="612">
        <v>111</v>
      </c>
      <c r="M35" s="612"/>
      <c r="N35" s="612"/>
      <c r="O35" s="612">
        <v>2024</v>
      </c>
      <c r="P35" s="1456">
        <v>0</v>
      </c>
      <c r="Q35" s="612"/>
      <c r="R35" s="708">
        <v>42641</v>
      </c>
      <c r="S35" s="708" t="s">
        <v>229</v>
      </c>
      <c r="T35" s="708"/>
      <c r="U35" s="233"/>
      <c r="V35" s="17"/>
      <c r="X35" s="779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2" t="s">
        <v>370</v>
      </c>
      <c r="B36" s="612" t="s">
        <v>371</v>
      </c>
      <c r="C36" s="612">
        <v>7016</v>
      </c>
      <c r="D36" s="612" t="s">
        <v>372</v>
      </c>
      <c r="E36" s="612" t="s">
        <v>373</v>
      </c>
      <c r="F36" s="612" t="s">
        <v>285</v>
      </c>
      <c r="G36" s="612" t="s">
        <v>374</v>
      </c>
      <c r="H36" s="708" t="s">
        <v>287</v>
      </c>
      <c r="I36" s="1732">
        <v>44834</v>
      </c>
      <c r="J36" s="612">
        <v>8.1942000000000001E-2</v>
      </c>
      <c r="K36" s="612" t="s">
        <v>155</v>
      </c>
      <c r="L36" s="612">
        <v>111</v>
      </c>
      <c r="M36" s="612"/>
      <c r="N36" s="612"/>
      <c r="O36" s="612">
        <v>2024</v>
      </c>
      <c r="P36" s="1456">
        <v>0</v>
      </c>
      <c r="Q36" s="612"/>
      <c r="R36" s="708">
        <v>42641</v>
      </c>
      <c r="S36" s="708" t="s">
        <v>229</v>
      </c>
      <c r="T36" s="708"/>
      <c r="U36" s="233"/>
      <c r="V36" s="17"/>
      <c r="X36" s="779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2" t="s">
        <v>144</v>
      </c>
      <c r="B37" s="612" t="s">
        <v>376</v>
      </c>
      <c r="C37" s="612">
        <v>2763</v>
      </c>
      <c r="D37" s="612" t="s">
        <v>377</v>
      </c>
      <c r="E37" s="612" t="s">
        <v>378</v>
      </c>
      <c r="F37" s="612" t="s">
        <v>379</v>
      </c>
      <c r="G37" s="612" t="s">
        <v>380</v>
      </c>
      <c r="H37" s="708" t="s">
        <v>381</v>
      </c>
      <c r="I37" s="1732">
        <v>44772</v>
      </c>
      <c r="J37" s="612">
        <v>8.1942000000000001E-2</v>
      </c>
      <c r="K37" s="612" t="s">
        <v>167</v>
      </c>
      <c r="L37" s="612">
        <v>167</v>
      </c>
      <c r="M37" s="612"/>
      <c r="N37" s="612"/>
      <c r="O37" s="612">
        <v>2022</v>
      </c>
      <c r="P37" s="1456">
        <v>0</v>
      </c>
      <c r="Q37" s="612"/>
      <c r="R37" s="708">
        <v>42551</v>
      </c>
      <c r="S37" s="708" t="s">
        <v>229</v>
      </c>
      <c r="T37" s="708"/>
      <c r="U37" s="233"/>
      <c r="V37" s="17"/>
      <c r="X37" s="779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2" t="s">
        <v>375</v>
      </c>
      <c r="B38" s="612" t="s">
        <v>382</v>
      </c>
      <c r="C38" s="612">
        <v>2381</v>
      </c>
      <c r="D38" s="612" t="s">
        <v>383</v>
      </c>
      <c r="E38" s="612" t="s">
        <v>384</v>
      </c>
      <c r="F38" s="612" t="s">
        <v>379</v>
      </c>
      <c r="G38" s="612" t="s">
        <v>385</v>
      </c>
      <c r="H38" s="708" t="s">
        <v>386</v>
      </c>
      <c r="I38" s="1732">
        <v>44772</v>
      </c>
      <c r="J38" s="612">
        <v>8.1942000000000001E-2</v>
      </c>
      <c r="K38" s="612" t="s">
        <v>167</v>
      </c>
      <c r="L38" s="612">
        <v>167</v>
      </c>
      <c r="M38" s="612"/>
      <c r="N38" s="612"/>
      <c r="O38" s="612">
        <v>2025</v>
      </c>
      <c r="P38" s="1456">
        <v>69.23</v>
      </c>
      <c r="Q38" s="708">
        <v>42917</v>
      </c>
      <c r="R38" s="708">
        <v>42551</v>
      </c>
      <c r="S38" s="708" t="s">
        <v>229</v>
      </c>
      <c r="T38" s="708"/>
      <c r="U38" s="233"/>
      <c r="V38" s="17"/>
      <c r="X38" s="779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2" t="s">
        <v>387</v>
      </c>
      <c r="B39" s="612" t="s">
        <v>388</v>
      </c>
      <c r="C39" s="612">
        <v>3223</v>
      </c>
      <c r="D39" s="612" t="s">
        <v>389</v>
      </c>
      <c r="E39" s="612" t="s">
        <v>390</v>
      </c>
      <c r="F39" s="612" t="s">
        <v>379</v>
      </c>
      <c r="G39" s="612" t="s">
        <v>391</v>
      </c>
      <c r="H39" s="708" t="s">
        <v>392</v>
      </c>
      <c r="I39" s="1732">
        <v>44772</v>
      </c>
      <c r="J39" s="612">
        <v>8.1942000000000001E-2</v>
      </c>
      <c r="K39" s="612" t="s">
        <v>167</v>
      </c>
      <c r="L39" s="612">
        <v>167</v>
      </c>
      <c r="M39" s="612" t="s">
        <v>291</v>
      </c>
      <c r="N39" s="612">
        <v>110</v>
      </c>
      <c r="O39" s="612">
        <v>2025</v>
      </c>
      <c r="P39" s="1456">
        <v>0</v>
      </c>
      <c r="Q39" s="612"/>
      <c r="R39" s="708">
        <v>42486</v>
      </c>
      <c r="S39" s="708" t="s">
        <v>229</v>
      </c>
      <c r="T39" s="708"/>
      <c r="U39" s="233"/>
      <c r="V39" s="17"/>
      <c r="X39" s="779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2" t="s">
        <v>165</v>
      </c>
      <c r="B40" s="612" t="s">
        <v>393</v>
      </c>
      <c r="C40" s="612">
        <v>7371</v>
      </c>
      <c r="D40" s="612" t="s">
        <v>394</v>
      </c>
      <c r="E40" s="612" t="s">
        <v>395</v>
      </c>
      <c r="F40" s="612" t="s">
        <v>379</v>
      </c>
      <c r="G40" s="612" t="s">
        <v>396</v>
      </c>
      <c r="H40" s="708" t="s">
        <v>397</v>
      </c>
      <c r="I40" s="1732">
        <v>44772</v>
      </c>
      <c r="J40" s="612">
        <v>8.1942000000000001E-2</v>
      </c>
      <c r="K40" s="612" t="s">
        <v>167</v>
      </c>
      <c r="L40" s="612">
        <v>167</v>
      </c>
      <c r="M40" s="612"/>
      <c r="N40" s="612"/>
      <c r="O40" s="612">
        <v>2022</v>
      </c>
      <c r="P40" s="1456">
        <v>0</v>
      </c>
      <c r="Q40" s="612"/>
      <c r="R40" s="708">
        <v>42547</v>
      </c>
      <c r="S40" s="708" t="s">
        <v>229</v>
      </c>
      <c r="T40" s="708"/>
      <c r="U40" s="233"/>
      <c r="V40" s="17"/>
      <c r="X40" s="779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2" t="s">
        <v>398</v>
      </c>
      <c r="B41" s="612" t="s">
        <v>399</v>
      </c>
      <c r="C41" s="612">
        <v>3627</v>
      </c>
      <c r="D41" s="612" t="s">
        <v>400</v>
      </c>
      <c r="E41" s="612" t="s">
        <v>401</v>
      </c>
      <c r="F41" s="612" t="s">
        <v>379</v>
      </c>
      <c r="G41" s="612" t="s">
        <v>402</v>
      </c>
      <c r="H41" s="708" t="s">
        <v>397</v>
      </c>
      <c r="I41" s="1732">
        <v>44772</v>
      </c>
      <c r="J41" s="612">
        <v>8.1942000000000001E-2</v>
      </c>
      <c r="K41" s="612" t="s">
        <v>167</v>
      </c>
      <c r="L41" s="612">
        <v>167</v>
      </c>
      <c r="M41" s="612"/>
      <c r="N41" s="612"/>
      <c r="O41" s="612">
        <v>2025</v>
      </c>
      <c r="P41" s="1456">
        <v>0</v>
      </c>
      <c r="Q41" s="612"/>
      <c r="R41" s="708">
        <v>42551</v>
      </c>
      <c r="S41" s="708" t="s">
        <v>229</v>
      </c>
      <c r="T41" s="708"/>
      <c r="U41" s="233"/>
      <c r="V41" s="17"/>
      <c r="X41" s="779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2" t="s">
        <v>403</v>
      </c>
      <c r="B42" s="612" t="s">
        <v>404</v>
      </c>
      <c r="C42" s="612">
        <v>2351</v>
      </c>
      <c r="D42" s="612" t="s">
        <v>405</v>
      </c>
      <c r="E42" s="612" t="s">
        <v>406</v>
      </c>
      <c r="F42" s="612" t="s">
        <v>379</v>
      </c>
      <c r="G42" s="612" t="s">
        <v>407</v>
      </c>
      <c r="H42" s="708" t="s">
        <v>408</v>
      </c>
      <c r="I42" s="1732">
        <v>44772</v>
      </c>
      <c r="J42" s="612">
        <v>8.1942000000000001E-2</v>
      </c>
      <c r="K42" s="612" t="s">
        <v>167</v>
      </c>
      <c r="L42" s="612">
        <v>167</v>
      </c>
      <c r="M42" s="612"/>
      <c r="N42" s="612"/>
      <c r="O42" s="612">
        <v>2025</v>
      </c>
      <c r="P42" s="1456">
        <v>0</v>
      </c>
      <c r="Q42" s="612"/>
      <c r="R42" s="708">
        <v>42551</v>
      </c>
      <c r="S42" s="708" t="s">
        <v>229</v>
      </c>
      <c r="T42" s="708"/>
      <c r="U42" s="233"/>
      <c r="V42" s="17"/>
      <c r="X42" s="779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2" t="s">
        <v>143</v>
      </c>
      <c r="B43" s="612" t="s">
        <v>410</v>
      </c>
      <c r="C43" s="612">
        <v>598</v>
      </c>
      <c r="D43" s="612" t="s">
        <v>411</v>
      </c>
      <c r="E43" s="612" t="s">
        <v>412</v>
      </c>
      <c r="F43" s="612" t="s">
        <v>379</v>
      </c>
      <c r="G43" s="612" t="s">
        <v>413</v>
      </c>
      <c r="H43" s="708" t="s">
        <v>397</v>
      </c>
      <c r="I43" s="1732">
        <v>44772</v>
      </c>
      <c r="J43" s="612">
        <v>8.1942000000000001E-2</v>
      </c>
      <c r="K43" s="612" t="s">
        <v>167</v>
      </c>
      <c r="L43" s="612">
        <v>167</v>
      </c>
      <c r="M43" s="612"/>
      <c r="N43" s="612"/>
      <c r="O43" s="612">
        <v>2022</v>
      </c>
      <c r="P43" s="1456">
        <v>0</v>
      </c>
      <c r="Q43" s="612"/>
      <c r="R43" s="708">
        <v>42551</v>
      </c>
      <c r="S43" s="708" t="s">
        <v>229</v>
      </c>
      <c r="T43" s="708"/>
      <c r="U43" s="233"/>
      <c r="V43" s="17"/>
      <c r="X43" s="779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2" t="s">
        <v>414</v>
      </c>
      <c r="B44" s="612" t="s">
        <v>415</v>
      </c>
      <c r="C44" s="612">
        <v>2783</v>
      </c>
      <c r="D44" s="612" t="s">
        <v>416</v>
      </c>
      <c r="E44" s="612" t="s">
        <v>417</v>
      </c>
      <c r="F44" s="612" t="s">
        <v>379</v>
      </c>
      <c r="G44" s="612" t="s">
        <v>418</v>
      </c>
      <c r="H44" s="708" t="s">
        <v>397</v>
      </c>
      <c r="I44" s="1732">
        <v>44772</v>
      </c>
      <c r="J44" s="612">
        <v>8.1942000000000001E-2</v>
      </c>
      <c r="K44" s="612" t="s">
        <v>167</v>
      </c>
      <c r="L44" s="612">
        <v>167</v>
      </c>
      <c r="M44" s="612"/>
      <c r="N44" s="612"/>
      <c r="O44" s="612">
        <v>2022</v>
      </c>
      <c r="P44" s="1456">
        <v>0</v>
      </c>
      <c r="Q44" s="612"/>
      <c r="R44" s="708">
        <v>42551</v>
      </c>
      <c r="S44" s="708" t="s">
        <v>229</v>
      </c>
      <c r="T44" s="708"/>
      <c r="U44" s="233"/>
      <c r="V44" s="17"/>
      <c r="X44" s="779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2" t="s">
        <v>294</v>
      </c>
      <c r="B45" s="612" t="s">
        <v>419</v>
      </c>
      <c r="C45" s="612">
        <v>4248</v>
      </c>
      <c r="D45" s="612" t="s">
        <v>420</v>
      </c>
      <c r="E45" s="612" t="s">
        <v>421</v>
      </c>
      <c r="F45" s="612" t="s">
        <v>422</v>
      </c>
      <c r="G45" s="612" t="s">
        <v>424</v>
      </c>
      <c r="H45" s="708" t="s">
        <v>287</v>
      </c>
      <c r="I45" s="1732">
        <v>44772</v>
      </c>
      <c r="J45" s="612">
        <v>8.1942000000000001E-2</v>
      </c>
      <c r="K45" s="612" t="s">
        <v>423</v>
      </c>
      <c r="L45" s="612">
        <v>132</v>
      </c>
      <c r="M45" s="612"/>
      <c r="N45" s="612"/>
      <c r="O45" s="612">
        <v>2024</v>
      </c>
      <c r="P45" s="1456">
        <v>0</v>
      </c>
      <c r="Q45" s="612"/>
      <c r="R45" s="708">
        <v>42551</v>
      </c>
      <c r="S45" s="708" t="s">
        <v>229</v>
      </c>
      <c r="T45" s="708"/>
      <c r="U45" s="233"/>
      <c r="V45" s="17"/>
      <c r="X45" s="779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2" t="s">
        <v>149</v>
      </c>
      <c r="B46" s="612" t="s">
        <v>425</v>
      </c>
      <c r="C46" s="612">
        <v>5274</v>
      </c>
      <c r="D46" s="612" t="s">
        <v>426</v>
      </c>
      <c r="E46" s="612" t="s">
        <v>427</v>
      </c>
      <c r="F46" s="612" t="s">
        <v>428</v>
      </c>
      <c r="G46" s="612" t="s">
        <v>430</v>
      </c>
      <c r="H46" s="708" t="s">
        <v>227</v>
      </c>
      <c r="I46" s="1732">
        <v>44680</v>
      </c>
      <c r="J46" s="612">
        <v>8.1942000000000001E-2</v>
      </c>
      <c r="K46" s="612" t="s">
        <v>135</v>
      </c>
      <c r="L46" s="612">
        <v>103</v>
      </c>
      <c r="M46" s="612"/>
      <c r="N46" s="612"/>
      <c r="O46" s="612">
        <v>2024</v>
      </c>
      <c r="P46" s="1456">
        <v>0</v>
      </c>
      <c r="Q46" s="612"/>
      <c r="R46" s="708">
        <v>42451</v>
      </c>
      <c r="S46" s="708" t="s">
        <v>229</v>
      </c>
      <c r="T46" s="708"/>
      <c r="U46" s="233"/>
      <c r="V46" s="17"/>
      <c r="X46" s="779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2" t="s">
        <v>309</v>
      </c>
      <c r="B47" s="612" t="s">
        <v>432</v>
      </c>
      <c r="C47" s="612">
        <v>5377</v>
      </c>
      <c r="D47" s="612" t="s">
        <v>433</v>
      </c>
      <c r="E47" s="612" t="s">
        <v>434</v>
      </c>
      <c r="F47" s="612" t="s">
        <v>435</v>
      </c>
      <c r="G47" s="612" t="s">
        <v>437</v>
      </c>
      <c r="H47" s="708" t="s">
        <v>438</v>
      </c>
      <c r="I47" s="1732">
        <v>44710</v>
      </c>
      <c r="J47" s="612">
        <v>8.1942000000000001E-2</v>
      </c>
      <c r="K47" s="612" t="s">
        <v>436</v>
      </c>
      <c r="L47" s="612">
        <v>155</v>
      </c>
      <c r="M47" s="612"/>
      <c r="N47" s="612"/>
      <c r="O47" s="612">
        <v>2024</v>
      </c>
      <c r="P47" s="1456">
        <v>0</v>
      </c>
      <c r="Q47" s="612"/>
      <c r="R47" s="708">
        <v>42489</v>
      </c>
      <c r="S47" s="708" t="s">
        <v>229</v>
      </c>
      <c r="T47" s="708"/>
      <c r="U47" s="233"/>
      <c r="V47" s="17"/>
      <c r="X47" s="779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2" t="s">
        <v>304</v>
      </c>
      <c r="B48" s="612" t="s">
        <v>439</v>
      </c>
      <c r="C48" s="612">
        <v>5279</v>
      </c>
      <c r="D48" s="612" t="s">
        <v>440</v>
      </c>
      <c r="E48" s="612" t="s">
        <v>441</v>
      </c>
      <c r="F48" s="612" t="s">
        <v>428</v>
      </c>
      <c r="G48" s="1457" t="s">
        <v>442</v>
      </c>
      <c r="H48" s="708" t="s">
        <v>443</v>
      </c>
      <c r="I48" s="1732">
        <v>44680</v>
      </c>
      <c r="J48" s="612">
        <v>8.1942000000000001E-2</v>
      </c>
      <c r="K48" s="612" t="s">
        <v>135</v>
      </c>
      <c r="L48" s="612">
        <v>103</v>
      </c>
      <c r="M48" s="612"/>
      <c r="N48" s="612"/>
      <c r="O48" s="612">
        <v>2022</v>
      </c>
      <c r="P48" s="708" t="s">
        <v>444</v>
      </c>
      <c r="Q48" s="612"/>
      <c r="R48" s="708"/>
      <c r="S48" s="708" t="s">
        <v>445</v>
      </c>
      <c r="T48" s="708">
        <v>43374</v>
      </c>
      <c r="U48" s="233"/>
      <c r="V48" s="17"/>
      <c r="X48" s="779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2" t="s">
        <v>161</v>
      </c>
      <c r="B49" s="612" t="s">
        <v>447</v>
      </c>
      <c r="C49" s="612">
        <v>6603</v>
      </c>
      <c r="D49" s="612" t="s">
        <v>448</v>
      </c>
      <c r="E49" s="612" t="s">
        <v>449</v>
      </c>
      <c r="F49" s="612" t="s">
        <v>428</v>
      </c>
      <c r="G49" s="1457" t="s">
        <v>450</v>
      </c>
      <c r="H49" s="708" t="s">
        <v>451</v>
      </c>
      <c r="I49" s="1732">
        <v>44680</v>
      </c>
      <c r="J49" s="612">
        <v>8.1942000000000001E-2</v>
      </c>
      <c r="K49" s="612" t="s">
        <v>135</v>
      </c>
      <c r="L49" s="612">
        <v>103</v>
      </c>
      <c r="M49" s="612"/>
      <c r="N49" s="612"/>
      <c r="O49" s="612">
        <v>2022</v>
      </c>
      <c r="P49" s="708" t="s">
        <v>444</v>
      </c>
      <c r="Q49" s="612"/>
      <c r="R49" s="708"/>
      <c r="S49" s="708" t="s">
        <v>445</v>
      </c>
      <c r="T49" s="708">
        <v>43405</v>
      </c>
      <c r="U49" s="233"/>
      <c r="V49" s="17"/>
      <c r="X49" s="779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2" t="s">
        <v>327</v>
      </c>
      <c r="B50" s="612" t="s">
        <v>452</v>
      </c>
      <c r="C50" s="612">
        <v>504</v>
      </c>
      <c r="D50" s="612" t="s">
        <v>453</v>
      </c>
      <c r="E50" s="612" t="s">
        <v>454</v>
      </c>
      <c r="F50" s="612" t="s">
        <v>379</v>
      </c>
      <c r="G50" s="1457" t="s">
        <v>455</v>
      </c>
      <c r="H50" s="708" t="s">
        <v>456</v>
      </c>
      <c r="I50" s="1732">
        <v>44772</v>
      </c>
      <c r="J50" s="612">
        <v>8.1942000000000001E-2</v>
      </c>
      <c r="K50" s="612" t="s">
        <v>167</v>
      </c>
      <c r="L50" s="612">
        <v>167</v>
      </c>
      <c r="M50" s="612"/>
      <c r="N50" s="612"/>
      <c r="O50" s="612">
        <v>2022</v>
      </c>
      <c r="P50" s="708" t="s">
        <v>444</v>
      </c>
      <c r="Q50" s="612"/>
      <c r="R50" s="708"/>
      <c r="S50" s="708" t="s">
        <v>445</v>
      </c>
      <c r="T50" s="708">
        <v>43405</v>
      </c>
      <c r="U50" s="233"/>
      <c r="V50" s="17"/>
      <c r="X50" s="779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2" t="s">
        <v>431</v>
      </c>
      <c r="B51" s="612" t="s">
        <v>458</v>
      </c>
      <c r="C51" s="612">
        <v>527</v>
      </c>
      <c r="D51" s="612" t="s">
        <v>459</v>
      </c>
      <c r="E51" s="612" t="s">
        <v>460</v>
      </c>
      <c r="F51" s="612" t="s">
        <v>379</v>
      </c>
      <c r="G51" s="1457" t="s">
        <v>461</v>
      </c>
      <c r="H51" s="708" t="s">
        <v>462</v>
      </c>
      <c r="I51" s="1732">
        <v>44772</v>
      </c>
      <c r="J51" s="612">
        <v>8.1942000000000001E-2</v>
      </c>
      <c r="K51" s="612" t="s">
        <v>167</v>
      </c>
      <c r="L51" s="612">
        <v>167</v>
      </c>
      <c r="M51" s="612"/>
      <c r="N51" s="612"/>
      <c r="O51" s="612">
        <v>2022</v>
      </c>
      <c r="P51" s="708" t="s">
        <v>444</v>
      </c>
      <c r="Q51" s="612"/>
      <c r="R51" s="708"/>
      <c r="S51" s="708" t="s">
        <v>445</v>
      </c>
      <c r="T51" s="708">
        <v>43405</v>
      </c>
      <c r="U51" s="233"/>
      <c r="V51" s="17"/>
      <c r="X51" s="779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2" t="s">
        <v>230</v>
      </c>
      <c r="B52" s="612" t="s">
        <v>463</v>
      </c>
      <c r="C52" s="612">
        <v>11825</v>
      </c>
      <c r="D52" s="612" t="s">
        <v>464</v>
      </c>
      <c r="E52" s="612" t="s">
        <v>465</v>
      </c>
      <c r="F52" s="612" t="s">
        <v>422</v>
      </c>
      <c r="G52" s="1457" t="s">
        <v>467</v>
      </c>
      <c r="H52" s="708" t="s">
        <v>468</v>
      </c>
      <c r="I52" s="1732">
        <v>44772</v>
      </c>
      <c r="J52" s="612">
        <v>8.1942000000000001E-2</v>
      </c>
      <c r="K52" s="612" t="s">
        <v>466</v>
      </c>
      <c r="L52" s="612">
        <v>132</v>
      </c>
      <c r="M52" s="612"/>
      <c r="N52" s="612"/>
      <c r="O52" s="612">
        <v>2022</v>
      </c>
      <c r="P52" s="708" t="s">
        <v>444</v>
      </c>
      <c r="Q52" s="612"/>
      <c r="R52" s="708"/>
      <c r="S52" s="708" t="s">
        <v>445</v>
      </c>
      <c r="T52" s="708">
        <v>43405</v>
      </c>
      <c r="U52" s="233"/>
      <c r="V52" s="17"/>
      <c r="X52" s="779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2" t="s">
        <v>446</v>
      </c>
      <c r="B53" s="612" t="s">
        <v>469</v>
      </c>
      <c r="C53" s="612">
        <v>5375</v>
      </c>
      <c r="D53" s="612" t="s">
        <v>470</v>
      </c>
      <c r="E53" s="612" t="s">
        <v>471</v>
      </c>
      <c r="F53" s="612" t="s">
        <v>224</v>
      </c>
      <c r="G53" s="1457" t="s">
        <v>474</v>
      </c>
      <c r="H53" s="708" t="s">
        <v>475</v>
      </c>
      <c r="I53" s="1732">
        <v>44834</v>
      </c>
      <c r="J53" s="612">
        <v>8.1942000000000001E-2</v>
      </c>
      <c r="K53" s="612" t="s">
        <v>472</v>
      </c>
      <c r="L53" s="612">
        <v>145</v>
      </c>
      <c r="M53" s="612" t="s">
        <v>473</v>
      </c>
      <c r="N53" s="612">
        <v>136</v>
      </c>
      <c r="O53" s="612">
        <v>2022</v>
      </c>
      <c r="P53" s="708" t="s">
        <v>444</v>
      </c>
      <c r="Q53" s="612"/>
      <c r="R53" s="708"/>
      <c r="S53" s="708" t="s">
        <v>445</v>
      </c>
      <c r="T53" s="708">
        <v>43466</v>
      </c>
      <c r="U53" s="233"/>
      <c r="V53" s="17"/>
      <c r="X53" s="779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2" t="s">
        <v>152</v>
      </c>
      <c r="B54" s="612" t="s">
        <v>476</v>
      </c>
      <c r="C54" s="612">
        <v>5356</v>
      </c>
      <c r="D54" s="612" t="s">
        <v>477</v>
      </c>
      <c r="E54" s="612" t="s">
        <v>478</v>
      </c>
      <c r="F54" s="612" t="s">
        <v>285</v>
      </c>
      <c r="G54" s="1457" t="s">
        <v>480</v>
      </c>
      <c r="H54" s="708" t="s">
        <v>481</v>
      </c>
      <c r="I54" s="1732">
        <v>44834</v>
      </c>
      <c r="J54" s="612">
        <v>8.1942000000000001E-2</v>
      </c>
      <c r="K54" s="612" t="s">
        <v>479</v>
      </c>
      <c r="L54" s="612">
        <v>111</v>
      </c>
      <c r="M54" s="612"/>
      <c r="N54" s="612"/>
      <c r="O54" s="612">
        <v>2022</v>
      </c>
      <c r="P54" s="708" t="s">
        <v>444</v>
      </c>
      <c r="Q54" s="612"/>
      <c r="R54" s="708"/>
      <c r="S54" s="708" t="s">
        <v>445</v>
      </c>
      <c r="T54" s="708">
        <v>43435</v>
      </c>
      <c r="U54" s="233"/>
      <c r="V54" s="17"/>
      <c r="X54" s="779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2" t="s">
        <v>409</v>
      </c>
      <c r="B55" s="612" t="s">
        <v>482</v>
      </c>
      <c r="C55" s="612">
        <v>7883</v>
      </c>
      <c r="D55" s="612" t="s">
        <v>483</v>
      </c>
      <c r="E55" s="612" t="s">
        <v>484</v>
      </c>
      <c r="F55" s="612" t="s">
        <v>285</v>
      </c>
      <c r="G55" s="1457" t="s">
        <v>485</v>
      </c>
      <c r="H55" s="708" t="s">
        <v>486</v>
      </c>
      <c r="I55" s="1732">
        <v>44834</v>
      </c>
      <c r="J55" s="612">
        <v>8.1942000000000001E-2</v>
      </c>
      <c r="K55" s="612" t="s">
        <v>479</v>
      </c>
      <c r="L55" s="612">
        <v>111</v>
      </c>
      <c r="M55" s="612"/>
      <c r="N55" s="612"/>
      <c r="O55" s="612">
        <v>2022</v>
      </c>
      <c r="P55" s="708" t="s">
        <v>444</v>
      </c>
      <c r="Q55" s="612"/>
      <c r="R55" s="708"/>
      <c r="S55" s="708" t="s">
        <v>445</v>
      </c>
      <c r="T55" s="708">
        <v>43435</v>
      </c>
      <c r="U55" s="233"/>
      <c r="V55" s="17"/>
      <c r="X55" s="779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2" t="s">
        <v>457</v>
      </c>
      <c r="B56" s="612" t="s">
        <v>487</v>
      </c>
      <c r="C56" s="612">
        <v>11763</v>
      </c>
      <c r="D56" s="612" t="s">
        <v>488</v>
      </c>
      <c r="E56" s="612" t="s">
        <v>489</v>
      </c>
      <c r="F56" s="612" t="s">
        <v>285</v>
      </c>
      <c r="G56" s="1457" t="s">
        <v>490</v>
      </c>
      <c r="H56" s="708" t="s">
        <v>491</v>
      </c>
      <c r="I56" s="1732">
        <v>44834</v>
      </c>
      <c r="J56" s="612">
        <v>8.1942000000000001E-2</v>
      </c>
      <c r="K56" s="612" t="s">
        <v>479</v>
      </c>
      <c r="L56" s="612">
        <v>111</v>
      </c>
      <c r="M56" s="612"/>
      <c r="N56" s="612"/>
      <c r="O56" s="612">
        <v>2022</v>
      </c>
      <c r="P56" s="708" t="s">
        <v>444</v>
      </c>
      <c r="Q56" s="612"/>
      <c r="R56" s="708"/>
      <c r="S56" s="708" t="s">
        <v>445</v>
      </c>
      <c r="T56" s="708">
        <v>43466</v>
      </c>
      <c r="U56" s="233"/>
      <c r="V56" s="17"/>
      <c r="X56" s="612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2" t="s">
        <v>492</v>
      </c>
      <c r="B57" s="612" t="s">
        <v>493</v>
      </c>
      <c r="C57" s="612">
        <v>5374</v>
      </c>
      <c r="D57" s="612" t="s">
        <v>494</v>
      </c>
      <c r="E57" s="612" t="s">
        <v>495</v>
      </c>
      <c r="F57" s="612" t="s">
        <v>285</v>
      </c>
      <c r="G57" s="1457" t="s">
        <v>496</v>
      </c>
      <c r="H57" s="708" t="s">
        <v>497</v>
      </c>
      <c r="I57" s="1732">
        <v>44834</v>
      </c>
      <c r="J57" s="612">
        <v>8.1942000000000001E-2</v>
      </c>
      <c r="K57" s="612" t="s">
        <v>479</v>
      </c>
      <c r="L57" s="612">
        <v>111</v>
      </c>
      <c r="M57" s="612"/>
      <c r="N57" s="612"/>
      <c r="O57" s="612">
        <v>2022</v>
      </c>
      <c r="P57" s="708" t="s">
        <v>444</v>
      </c>
      <c r="Q57" s="612"/>
      <c r="R57" s="708"/>
      <c r="S57" s="708" t="s">
        <v>445</v>
      </c>
      <c r="T57" s="708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2" t="s">
        <v>10</v>
      </c>
      <c r="B58" s="612" t="s">
        <v>499</v>
      </c>
      <c r="C58" s="612">
        <v>5346</v>
      </c>
      <c r="D58" s="612" t="s">
        <v>500</v>
      </c>
      <c r="E58" s="612" t="s">
        <v>501</v>
      </c>
      <c r="F58" s="612" t="s">
        <v>379</v>
      </c>
      <c r="G58" s="612" t="s">
        <v>502</v>
      </c>
      <c r="H58" s="708" t="s">
        <v>503</v>
      </c>
      <c r="I58" s="1732">
        <v>44917</v>
      </c>
      <c r="J58" s="612">
        <v>8.1942000000000001E-2</v>
      </c>
      <c r="K58" s="612" t="s">
        <v>291</v>
      </c>
      <c r="L58" s="612">
        <v>110</v>
      </c>
      <c r="M58" s="612"/>
      <c r="N58" s="612"/>
      <c r="O58" s="612">
        <v>2022</v>
      </c>
      <c r="P58" s="708"/>
      <c r="Q58" s="612"/>
      <c r="R58" s="708"/>
      <c r="S58" s="708" t="s">
        <v>445</v>
      </c>
      <c r="T58" s="708">
        <v>43525</v>
      </c>
      <c r="U58" s="233"/>
      <c r="V58" s="17"/>
      <c r="X58" s="779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2" t="s">
        <v>11</v>
      </c>
      <c r="B59" s="612" t="s">
        <v>504</v>
      </c>
      <c r="C59" s="612">
        <v>5345</v>
      </c>
      <c r="D59" s="612" t="s">
        <v>505</v>
      </c>
      <c r="E59" s="612" t="s">
        <v>506</v>
      </c>
      <c r="F59" s="612" t="s">
        <v>379</v>
      </c>
      <c r="G59" s="612" t="s">
        <v>507</v>
      </c>
      <c r="H59" s="708" t="s">
        <v>508</v>
      </c>
      <c r="I59" s="1732">
        <v>44917</v>
      </c>
      <c r="J59" s="612">
        <v>8.1942000000000001E-2</v>
      </c>
      <c r="K59" s="612" t="s">
        <v>291</v>
      </c>
      <c r="L59" s="612">
        <v>110</v>
      </c>
      <c r="M59" s="612"/>
      <c r="N59" s="612"/>
      <c r="O59" s="612">
        <v>2022</v>
      </c>
      <c r="P59" s="708"/>
      <c r="Q59" s="612"/>
      <c r="R59" s="708"/>
      <c r="S59" s="708" t="s">
        <v>445</v>
      </c>
      <c r="T59" s="708">
        <v>43525</v>
      </c>
      <c r="U59" s="233"/>
      <c r="V59" s="17"/>
      <c r="X59" s="779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2" t="s">
        <v>265</v>
      </c>
      <c r="B60" s="612" t="s">
        <v>509</v>
      </c>
      <c r="C60" s="612">
        <v>7467</v>
      </c>
      <c r="D60" s="612" t="s">
        <v>510</v>
      </c>
      <c r="E60" s="612" t="s">
        <v>511</v>
      </c>
      <c r="F60" s="612" t="s">
        <v>224</v>
      </c>
      <c r="G60" s="612" t="s">
        <v>512</v>
      </c>
      <c r="H60" s="708" t="s">
        <v>513</v>
      </c>
      <c r="I60" s="1732">
        <v>44710</v>
      </c>
      <c r="J60" s="612">
        <v>8.1942000000000001E-2</v>
      </c>
      <c r="K60" s="612" t="s">
        <v>125</v>
      </c>
      <c r="L60" s="612">
        <v>136</v>
      </c>
      <c r="M60" s="612" t="s">
        <v>136</v>
      </c>
      <c r="N60" s="612">
        <v>145</v>
      </c>
      <c r="O60" s="612">
        <v>2023</v>
      </c>
      <c r="P60" s="708"/>
      <c r="Q60" s="612"/>
      <c r="R60" s="708"/>
      <c r="S60" s="708" t="s">
        <v>445</v>
      </c>
      <c r="T60" s="708">
        <v>43614</v>
      </c>
      <c r="X60" s="779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5" t="s">
        <v>258</v>
      </c>
      <c r="B61" s="495" t="s">
        <v>514</v>
      </c>
      <c r="C61" s="495">
        <v>5343</v>
      </c>
      <c r="D61" s="612" t="s">
        <v>515</v>
      </c>
      <c r="E61" s="495" t="s">
        <v>516</v>
      </c>
      <c r="F61" s="495" t="s">
        <v>379</v>
      </c>
      <c r="G61" s="708">
        <v>43831</v>
      </c>
      <c r="H61" s="822" t="s">
        <v>518</v>
      </c>
      <c r="I61" s="1732">
        <v>44772</v>
      </c>
      <c r="J61" s="612">
        <v>8.1942000000000001E-2</v>
      </c>
      <c r="K61" s="495" t="s">
        <v>167</v>
      </c>
      <c r="L61" s="495">
        <v>167</v>
      </c>
      <c r="M61" s="495" t="s">
        <v>517</v>
      </c>
      <c r="N61" s="495">
        <v>164</v>
      </c>
      <c r="O61" s="495">
        <v>2022</v>
      </c>
      <c r="P61" s="495"/>
      <c r="Q61" s="822"/>
      <c r="R61" s="822"/>
      <c r="S61" s="708" t="s">
        <v>519</v>
      </c>
      <c r="T61" s="822">
        <v>44105</v>
      </c>
      <c r="X61" s="612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49"/>
    </row>
    <row r="64" spans="1:50">
      <c r="B64">
        <v>6896</v>
      </c>
    </row>
    <row r="66" spans="1:14" hidden="1">
      <c r="A66" s="624" t="s">
        <v>520</v>
      </c>
    </row>
    <row r="67" spans="1:14" hidden="1"/>
    <row r="68" spans="1:14" hidden="1">
      <c r="A68" s="496" t="s">
        <v>521</v>
      </c>
      <c r="B68" s="496" t="s">
        <v>27</v>
      </c>
      <c r="C68" s="496" t="s">
        <v>522</v>
      </c>
      <c r="D68" s="496" t="s">
        <v>523</v>
      </c>
      <c r="E68" s="496" t="s">
        <v>524</v>
      </c>
      <c r="F68" s="496" t="s">
        <v>525</v>
      </c>
      <c r="G68" s="496" t="s">
        <v>526</v>
      </c>
      <c r="H68" s="496" t="s">
        <v>527</v>
      </c>
      <c r="I68" s="496" t="s">
        <v>528</v>
      </c>
      <c r="J68" s="496" t="s">
        <v>529</v>
      </c>
      <c r="K68" s="502" t="s">
        <v>530</v>
      </c>
      <c r="L68" s="496" t="s">
        <v>531</v>
      </c>
      <c r="M68" s="502" t="s">
        <v>532</v>
      </c>
      <c r="N68" s="502" t="s">
        <v>2028</v>
      </c>
    </row>
    <row r="69" spans="1:14" hidden="1">
      <c r="A69" s="468" t="s">
        <v>220</v>
      </c>
      <c r="B69" s="612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7">
        <v>0.85740000000000005</v>
      </c>
      <c r="H69" s="497">
        <v>0.64305000000000001</v>
      </c>
      <c r="I69" s="497">
        <v>0.33069999999999999</v>
      </c>
      <c r="J69" s="499">
        <v>0.33069999999999999</v>
      </c>
      <c r="K69" s="651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7">
        <v>0.81920000000000004</v>
      </c>
      <c r="H70" s="497">
        <v>0.61440000000000006</v>
      </c>
      <c r="I70" s="497">
        <v>0.33069999999999999</v>
      </c>
      <c r="J70" s="499">
        <v>0.33069999999999999</v>
      </c>
      <c r="K70" s="651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7">
        <v>0.62490000000000001</v>
      </c>
      <c r="H71" s="497">
        <v>0.46867500000000001</v>
      </c>
      <c r="I71" s="497">
        <v>0.45379999999999998</v>
      </c>
      <c r="J71" s="499">
        <v>0.45379999999999998</v>
      </c>
      <c r="K71" s="651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7">
        <v>0.53426551936078681</v>
      </c>
      <c r="H72" s="497">
        <v>0.40069913952059011</v>
      </c>
      <c r="I72" s="497">
        <v>0.40069913952059011</v>
      </c>
      <c r="J72" s="499">
        <v>0.4007</v>
      </c>
      <c r="K72" s="651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1">
        <v>0</v>
      </c>
      <c r="H73" s="651">
        <v>0</v>
      </c>
      <c r="I73" s="651">
        <v>0</v>
      </c>
      <c r="J73" s="498">
        <v>0</v>
      </c>
      <c r="K73" s="651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7">
        <v>0.57969814099024475</v>
      </c>
      <c r="H74" s="497">
        <v>0.57969814099024475</v>
      </c>
      <c r="I74" s="497">
        <v>0.57969814099024475</v>
      </c>
      <c r="J74" s="497">
        <v>0.57969814099024475</v>
      </c>
      <c r="K74" s="651">
        <v>0.30859999999999999</v>
      </c>
      <c r="L74" s="823">
        <v>0</v>
      </c>
      <c r="M74" s="1447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7">
        <v>0.54564975934838955</v>
      </c>
      <c r="H75" s="497">
        <v>0.54564975934838955</v>
      </c>
      <c r="I75" s="497">
        <v>0.54564975934838955</v>
      </c>
      <c r="J75" s="497">
        <v>0.54564975934838955</v>
      </c>
      <c r="K75" s="651">
        <v>0.30859999999999999</v>
      </c>
      <c r="L75" s="823">
        <v>0.29099999999999998</v>
      </c>
      <c r="M75" s="1448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7">
        <v>0.89512907191149349</v>
      </c>
      <c r="H76" s="497">
        <v>0.67134680393362012</v>
      </c>
      <c r="I76" s="497">
        <v>0.67134680393362012</v>
      </c>
      <c r="J76" s="499">
        <v>0.65039999999999998</v>
      </c>
      <c r="K76" s="651">
        <v>0.57469999999999999</v>
      </c>
      <c r="L76" s="823">
        <v>0.56379999999999997</v>
      </c>
      <c r="M76" s="1448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7">
        <v>0.90610167159661548</v>
      </c>
      <c r="H77" s="497">
        <v>0.67957625369746166</v>
      </c>
      <c r="I77" s="497">
        <v>0.222</v>
      </c>
      <c r="J77" s="499">
        <v>0.1933</v>
      </c>
      <c r="K77" s="651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7">
        <v>0.73094654242275625</v>
      </c>
      <c r="H78" s="497">
        <v>0.54820990681706716</v>
      </c>
      <c r="I78" s="497">
        <v>0.40820000000000001</v>
      </c>
      <c r="J78" s="499">
        <v>0.40816629218792566</v>
      </c>
      <c r="K78" s="651">
        <v>0.38150000000000001</v>
      </c>
      <c r="L78" s="823">
        <v>0.2326</v>
      </c>
      <c r="M78" s="1448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7">
        <v>0.73094654242275625</v>
      </c>
      <c r="H79" s="497">
        <v>0.54820990681706716</v>
      </c>
      <c r="I79" s="497">
        <v>0.40820000000000001</v>
      </c>
      <c r="J79" s="499">
        <v>0.40816629218792566</v>
      </c>
      <c r="K79" s="651">
        <v>0.38150000000000001</v>
      </c>
      <c r="L79" s="823">
        <v>0.2326</v>
      </c>
      <c r="M79" s="1448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7">
        <v>0.47579901659496004</v>
      </c>
      <c r="H80" s="497">
        <v>0.35684926244622006</v>
      </c>
      <c r="I80" s="497">
        <v>0.35684926244622006</v>
      </c>
      <c r="J80" s="499">
        <v>0.34470000000000001</v>
      </c>
      <c r="K80" s="651">
        <v>0.1027</v>
      </c>
      <c r="L80" s="823">
        <v>9.9400000000000002E-2</v>
      </c>
      <c r="M80" s="1448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7">
        <v>0.47579901659496004</v>
      </c>
      <c r="H81" s="497">
        <v>0.35684926244622006</v>
      </c>
      <c r="I81" s="497">
        <v>0.35684926244622006</v>
      </c>
      <c r="J81" s="499">
        <v>0.34470000000000001</v>
      </c>
      <c r="K81" s="651">
        <v>0.1027</v>
      </c>
      <c r="L81" s="823">
        <v>9.9400000000000002E-2</v>
      </c>
      <c r="M81" s="1448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7">
        <v>0.71649852236828693</v>
      </c>
      <c r="H82" s="497">
        <v>0.5373738917762152</v>
      </c>
      <c r="I82" s="497">
        <v>0.35820000000000002</v>
      </c>
      <c r="J82" s="499">
        <v>0</v>
      </c>
      <c r="K82" s="651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7">
        <v>0.89474492931776273</v>
      </c>
      <c r="H83" s="497">
        <v>0.6710586969883221</v>
      </c>
      <c r="I83" s="497">
        <v>0.6710586969883221</v>
      </c>
      <c r="J83" s="499">
        <v>0.67110000000000003</v>
      </c>
      <c r="K83" s="651">
        <v>0.67110000000000003</v>
      </c>
      <c r="L83" s="823">
        <v>0.63749999999999996</v>
      </c>
      <c r="M83" s="1448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7">
        <v>0.87464280342908707</v>
      </c>
      <c r="H84" s="497">
        <v>0.65598210257181533</v>
      </c>
      <c r="I84" s="497">
        <v>0.43730000000000002</v>
      </c>
      <c r="J84" s="497">
        <v>0.43730000000000002</v>
      </c>
      <c r="K84" s="651">
        <v>0.43730000000000002</v>
      </c>
      <c r="L84" s="823">
        <f>DescontosTE[[#This Row],[2019]]</f>
        <v>0.43730000000000002</v>
      </c>
      <c r="M84" s="1449">
        <f>DescontosTE[[#This Row],[2020]]</f>
        <v>0.43730000000000002</v>
      </c>
      <c r="N84" s="1449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7">
        <v>0.72464658881376764</v>
      </c>
      <c r="H85" s="497">
        <v>0.54348494161032579</v>
      </c>
      <c r="I85" s="497">
        <v>0.54348494161032579</v>
      </c>
      <c r="J85" s="499">
        <v>0.54349999999999998</v>
      </c>
      <c r="K85" s="651">
        <v>0.33379999999999999</v>
      </c>
      <c r="L85" s="823">
        <v>0.25619999999999998</v>
      </c>
      <c r="M85" s="1448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7">
        <v>0.69825990373935576</v>
      </c>
      <c r="H86" s="497">
        <v>0.69825990373935576</v>
      </c>
      <c r="I86" s="497">
        <v>0.54749999999999999</v>
      </c>
      <c r="J86" s="499">
        <v>0.48209999999999997</v>
      </c>
      <c r="K86" s="651">
        <v>0.42549999999999999</v>
      </c>
      <c r="L86" s="823">
        <v>0.37969999999999998</v>
      </c>
      <c r="M86" s="1448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7">
        <v>0.7833435771358328</v>
      </c>
      <c r="H87" s="497">
        <v>0.5875076828518746</v>
      </c>
      <c r="I87" s="497">
        <v>0.5875076828518746</v>
      </c>
      <c r="J87" s="499">
        <v>0.58750000000000002</v>
      </c>
      <c r="K87" s="651">
        <v>0.56830000000000003</v>
      </c>
      <c r="L87" s="823">
        <v>0.55110000000000003</v>
      </c>
      <c r="M87" s="1448">
        <v>0.48010000000000003</v>
      </c>
    </row>
    <row r="88" spans="1:14" hidden="1">
      <c r="A88" s="468" t="s">
        <v>144</v>
      </c>
      <c r="B88" s="468" t="s">
        <v>167</v>
      </c>
      <c r="C88" s="590">
        <v>167</v>
      </c>
      <c r="D88" s="590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7">
        <v>0.82731282784930849</v>
      </c>
      <c r="H88" s="497">
        <v>0.82731282784930849</v>
      </c>
      <c r="I88" s="497">
        <v>0.82731282784930849</v>
      </c>
      <c r="J88" s="499">
        <v>0.2782</v>
      </c>
      <c r="K88" s="651">
        <v>0.2782</v>
      </c>
      <c r="L88" s="823">
        <v>0.2132</v>
      </c>
      <c r="M88" s="1448">
        <v>0.2132</v>
      </c>
    </row>
    <row r="89" spans="1:14" hidden="1">
      <c r="A89" s="468" t="s">
        <v>144</v>
      </c>
      <c r="B89" s="468" t="s">
        <v>167</v>
      </c>
      <c r="C89" s="590">
        <v>167</v>
      </c>
      <c r="D89" s="590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7">
        <v>0.73575345731998087</v>
      </c>
      <c r="H89" s="497">
        <v>0.73575345731998087</v>
      </c>
      <c r="I89" s="497">
        <v>0.73575345731998087</v>
      </c>
      <c r="J89" s="499">
        <v>0.2782</v>
      </c>
      <c r="K89" s="651">
        <v>0.2782</v>
      </c>
      <c r="L89" s="823">
        <v>0.2132</v>
      </c>
      <c r="M89" s="1448">
        <v>0.2132</v>
      </c>
    </row>
    <row r="90" spans="1:14" hidden="1">
      <c r="A90" s="468" t="s">
        <v>144</v>
      </c>
      <c r="B90" s="468" t="s">
        <v>167</v>
      </c>
      <c r="C90" s="590">
        <v>167</v>
      </c>
      <c r="D90" s="590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7">
        <v>0.73033677201026148</v>
      </c>
      <c r="H90" s="497">
        <v>0.73033677201026148</v>
      </c>
      <c r="I90" s="497">
        <v>0.73033677201026148</v>
      </c>
      <c r="J90" s="499">
        <v>0.2782</v>
      </c>
      <c r="K90" s="651">
        <v>0.2782</v>
      </c>
      <c r="L90" s="823">
        <v>0.2132</v>
      </c>
      <c r="M90" s="1448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7">
        <v>0.63275249814187795</v>
      </c>
      <c r="H91" s="497">
        <v>0.47456437360640846</v>
      </c>
      <c r="I91" s="497">
        <v>0.3463</v>
      </c>
      <c r="J91" s="499">
        <v>0.33600000000000002</v>
      </c>
      <c r="K91" s="774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7">
        <v>0.76371671876684266</v>
      </c>
      <c r="H92" s="497">
        <v>0.57278753907513202</v>
      </c>
      <c r="I92" s="497">
        <v>0.38190000000000002</v>
      </c>
      <c r="J92" s="499">
        <v>1.2E-2</v>
      </c>
      <c r="K92" s="778">
        <v>1.2E-2</v>
      </c>
      <c r="L92" s="823">
        <f>DescontosTE[[#This Row],[2019]]</f>
        <v>1.2E-2</v>
      </c>
      <c r="M92" s="499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7">
        <v>0.76627856834842611</v>
      </c>
      <c r="H93" s="497">
        <v>0.57470892626131964</v>
      </c>
      <c r="I93" s="497">
        <v>0.3831</v>
      </c>
      <c r="J93" s="499">
        <v>1.2E-2</v>
      </c>
      <c r="K93" s="778">
        <v>1.2E-2</v>
      </c>
      <c r="L93" s="823">
        <f>DescontosTE[[#This Row],[2019]]</f>
        <v>1.2E-2</v>
      </c>
      <c r="M93" s="499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7">
        <v>0.85982875805455028</v>
      </c>
      <c r="H94" s="497">
        <v>0.64487156854091277</v>
      </c>
      <c r="I94" s="497">
        <v>0.4299</v>
      </c>
      <c r="J94" s="499">
        <v>1.2E-2</v>
      </c>
      <c r="K94" s="778">
        <v>1.2E-2</v>
      </c>
      <c r="L94" s="823">
        <f>DescontosTE[[#This Row],[2019]]</f>
        <v>1.2E-2</v>
      </c>
      <c r="M94" s="499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7">
        <v>0.72071674463765556</v>
      </c>
      <c r="H95" s="497">
        <v>0.5405375584782417</v>
      </c>
      <c r="I95" s="497">
        <v>0.3604</v>
      </c>
      <c r="J95" s="499">
        <v>1.2E-2</v>
      </c>
      <c r="K95" s="778">
        <v>1.2E-2</v>
      </c>
      <c r="L95" s="823">
        <f>DescontosTE[[#This Row],[2019]]</f>
        <v>1.2E-2</v>
      </c>
      <c r="M95" s="499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7">
        <v>0.69352987907140973</v>
      </c>
      <c r="H96" s="497">
        <v>0.5201474093035573</v>
      </c>
      <c r="I96" s="497">
        <v>0.3468</v>
      </c>
      <c r="J96" s="499">
        <v>1.2E-2</v>
      </c>
      <c r="K96" s="778">
        <v>1.2E-2</v>
      </c>
      <c r="L96" s="823">
        <f>DescontosTE[[#This Row],[2019]]</f>
        <v>1.2E-2</v>
      </c>
      <c r="M96" s="499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7">
        <v>0.88419999999999999</v>
      </c>
      <c r="H97" s="497">
        <v>0.66315000000000002</v>
      </c>
      <c r="I97" s="497">
        <v>0.61850000000000005</v>
      </c>
      <c r="J97" s="499">
        <v>0.59560000000000002</v>
      </c>
      <c r="K97" s="651">
        <v>0.58150000000000002</v>
      </c>
      <c r="L97" s="823">
        <v>0.58150000000000002</v>
      </c>
      <c r="M97" s="1448">
        <v>0.58150000000000002</v>
      </c>
    </row>
    <row r="98" spans="1:13" hidden="1">
      <c r="A98" s="468" t="s">
        <v>541</v>
      </c>
      <c r="B98" s="612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7">
        <v>0.36708496982469596</v>
      </c>
      <c r="H98" s="497">
        <v>0.275313727368522</v>
      </c>
      <c r="I98" s="497">
        <v>0.275313727368522</v>
      </c>
      <c r="J98" s="499">
        <v>0.22059999999999999</v>
      </c>
      <c r="K98" s="651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0">
        <v>167</v>
      </c>
      <c r="D99" s="590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7">
        <v>0.5923752369117381</v>
      </c>
      <c r="H99" s="497">
        <v>0.5923752369117381</v>
      </c>
      <c r="I99" s="497">
        <v>0.44429999999999997</v>
      </c>
      <c r="J99" s="499">
        <v>0</v>
      </c>
      <c r="K99" s="651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0">
        <v>167</v>
      </c>
      <c r="D100" s="590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7">
        <v>0.5923752369117381</v>
      </c>
      <c r="H100" s="497">
        <v>0.5923752369117381</v>
      </c>
      <c r="I100" s="497">
        <v>0.44429999999999997</v>
      </c>
      <c r="J100" s="499">
        <v>0</v>
      </c>
      <c r="K100" s="651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0">
        <v>167</v>
      </c>
      <c r="D101" s="590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7">
        <v>8.6300000000000002E-2</v>
      </c>
      <c r="H101" s="497">
        <v>8.6300000000000002E-2</v>
      </c>
      <c r="I101" s="497">
        <v>6.4699999999999994E-2</v>
      </c>
      <c r="J101" s="499">
        <v>0</v>
      </c>
      <c r="K101" s="651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7">
        <v>0.71025546094039238</v>
      </c>
      <c r="H102" s="497">
        <v>0.71025546094039238</v>
      </c>
      <c r="I102" s="497">
        <v>0.71025546094039238</v>
      </c>
      <c r="J102" s="499">
        <v>0.67859999999999998</v>
      </c>
      <c r="K102" s="651">
        <v>0.61480000000000001</v>
      </c>
      <c r="L102" s="823">
        <v>0.55579999999999996</v>
      </c>
      <c r="M102" s="1448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7">
        <v>0.71025546094039238</v>
      </c>
      <c r="H103" s="497">
        <v>0.71025546094039238</v>
      </c>
      <c r="I103" s="497">
        <v>0.71025546094039238</v>
      </c>
      <c r="J103" s="499">
        <v>0.67859999999999998</v>
      </c>
      <c r="K103" s="651">
        <v>0.61480000000000001</v>
      </c>
      <c r="L103" s="823">
        <v>0.55579999999999996</v>
      </c>
      <c r="M103" s="1448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7">
        <v>0.90173092774063557</v>
      </c>
      <c r="H104" s="497">
        <v>0.67629819580547668</v>
      </c>
      <c r="I104" s="497">
        <v>0.45090000000000002</v>
      </c>
      <c r="J104" s="499">
        <v>0</v>
      </c>
      <c r="K104" s="651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7">
        <v>0.89981561155500922</v>
      </c>
      <c r="H105" s="497">
        <v>0.67486170866625694</v>
      </c>
      <c r="I105" s="497">
        <v>0.59530000000000005</v>
      </c>
      <c r="J105" s="499">
        <v>0.59530000000000005</v>
      </c>
      <c r="K105" s="651">
        <v>0.44540000000000002</v>
      </c>
      <c r="L105" s="823">
        <v>0.44540000000000002</v>
      </c>
      <c r="M105" s="1448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7">
        <v>0.90147665925690701</v>
      </c>
      <c r="H106" s="497">
        <v>0.67610749444268026</v>
      </c>
      <c r="I106" s="497">
        <v>0.45069999999999999</v>
      </c>
      <c r="J106" s="707">
        <v>0</v>
      </c>
      <c r="K106" s="651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7">
        <v>0.74668009891015652</v>
      </c>
      <c r="H107" s="497">
        <v>0.56001007418261739</v>
      </c>
      <c r="I107" s="497">
        <v>0.37330000000000002</v>
      </c>
      <c r="J107" s="707">
        <v>0.31390000000000001</v>
      </c>
      <c r="K107" s="651">
        <v>0.31390000000000001</v>
      </c>
      <c r="L107" s="823">
        <v>7.5600000000000001E-2</v>
      </c>
      <c r="M107" s="1448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7">
        <v>0.7457129247380121</v>
      </c>
      <c r="H108" s="497">
        <v>0.55928469355350907</v>
      </c>
      <c r="I108" s="497">
        <v>0.37290000000000001</v>
      </c>
      <c r="J108" s="707">
        <v>0.31390000000000001</v>
      </c>
      <c r="K108" s="651">
        <v>0.31390000000000001</v>
      </c>
      <c r="L108" s="823">
        <v>7.5600000000000001E-2</v>
      </c>
      <c r="M108" s="1448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7">
        <v>0.6419022741241549</v>
      </c>
      <c r="H109" s="497">
        <v>0.48142670559311618</v>
      </c>
      <c r="I109" s="497">
        <v>0.48139999999999999</v>
      </c>
      <c r="J109" s="499">
        <v>0.48139999999999999</v>
      </c>
      <c r="K109" s="651">
        <v>0.48139999999999999</v>
      </c>
      <c r="L109" s="823">
        <v>0.48139999999999999</v>
      </c>
      <c r="M109" s="1448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7">
        <v>0.83597111247695144</v>
      </c>
      <c r="H110" s="497">
        <v>0.62697833435771355</v>
      </c>
      <c r="I110" s="497">
        <v>0.59899999999999998</v>
      </c>
      <c r="J110" s="499">
        <v>0.59009999999999996</v>
      </c>
      <c r="K110" s="651">
        <v>0.59009999999999996</v>
      </c>
      <c r="L110" s="823">
        <v>0.55869999999999997</v>
      </c>
      <c r="M110" s="1448">
        <v>0.55869999999999997</v>
      </c>
    </row>
    <row r="111" spans="1:13" hidden="1">
      <c r="A111" s="468" t="s">
        <v>387</v>
      </c>
      <c r="B111" s="468" t="s">
        <v>167</v>
      </c>
      <c r="C111" s="590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7">
        <v>0.8415330252786084</v>
      </c>
      <c r="H111" s="497">
        <v>0.63114976895895625</v>
      </c>
      <c r="I111" s="497">
        <v>0.42080000000000001</v>
      </c>
      <c r="J111" s="499">
        <v>0.21149999999999999</v>
      </c>
      <c r="K111" s="651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0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7">
        <v>0.8415330252786084</v>
      </c>
      <c r="H112" s="497">
        <v>0.63114976895895625</v>
      </c>
      <c r="I112" s="497">
        <v>0.42080000000000001</v>
      </c>
      <c r="J112" s="499">
        <v>0.21149999999999999</v>
      </c>
      <c r="K112" s="651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7">
        <v>0.8239405071230177</v>
      </c>
      <c r="H113" s="497">
        <v>0.61795538034226327</v>
      </c>
      <c r="I113" s="497">
        <v>0.41199999999999998</v>
      </c>
      <c r="J113" s="499">
        <v>0.21149999999999999</v>
      </c>
      <c r="K113" s="651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0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7">
        <v>0.60488390712570062</v>
      </c>
      <c r="H114" s="497">
        <v>0.60488390712570062</v>
      </c>
      <c r="I114" s="497">
        <v>0.60488390712570062</v>
      </c>
      <c r="J114" s="499">
        <v>0.58309999999999995</v>
      </c>
      <c r="K114" s="651">
        <v>0.48330000000000001</v>
      </c>
      <c r="L114" s="823">
        <v>0.35730000000000001</v>
      </c>
      <c r="M114" s="1448">
        <v>0.32969999999999999</v>
      </c>
    </row>
    <row r="115" spans="1:13" hidden="1">
      <c r="A115" s="468" t="s">
        <v>165</v>
      </c>
      <c r="B115" s="468" t="s">
        <v>167</v>
      </c>
      <c r="C115" s="590">
        <v>167</v>
      </c>
      <c r="D115" s="590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7">
        <v>0.54613733905579398</v>
      </c>
      <c r="H115" s="497">
        <v>0.54613733905579398</v>
      </c>
      <c r="I115" s="497">
        <v>0.54613733905579398</v>
      </c>
      <c r="J115" s="499">
        <v>0.54610000000000003</v>
      </c>
      <c r="K115" s="651">
        <v>0.48330000000000001</v>
      </c>
      <c r="L115" s="823">
        <v>0.35730000000000001</v>
      </c>
      <c r="M115" s="1448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7">
        <v>0.88707885968159939</v>
      </c>
      <c r="H116" s="497">
        <v>0.88707885968159939</v>
      </c>
      <c r="I116" s="497">
        <v>0.88707885968159939</v>
      </c>
      <c r="J116" s="499">
        <v>0.81359999999999999</v>
      </c>
      <c r="K116" s="651">
        <v>0.81359999999999999</v>
      </c>
      <c r="L116" s="823">
        <v>0.81359999999999999</v>
      </c>
      <c r="M116" s="1448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7">
        <v>0.50648278140226277</v>
      </c>
      <c r="H117" s="497">
        <v>0.37986208605169708</v>
      </c>
      <c r="I117" s="497">
        <v>0.1396</v>
      </c>
      <c r="J117" s="499">
        <v>0.1396</v>
      </c>
      <c r="K117" s="651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7">
        <v>0.66580422595946531</v>
      </c>
      <c r="H118" s="497">
        <v>0.49935316946959896</v>
      </c>
      <c r="I118" s="497">
        <v>0.1396</v>
      </c>
      <c r="J118" s="499">
        <v>0.1396</v>
      </c>
      <c r="K118" s="651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7">
        <v>0.78664720344191763</v>
      </c>
      <c r="H119" s="497">
        <v>0.58998540258143817</v>
      </c>
      <c r="I119" s="497">
        <v>0.58998540258143817</v>
      </c>
      <c r="J119" s="499">
        <v>0.59</v>
      </c>
      <c r="K119" s="651">
        <v>0.59</v>
      </c>
      <c r="L119" s="823">
        <v>0.59</v>
      </c>
      <c r="M119" s="1448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7">
        <v>0.43784572833435764</v>
      </c>
      <c r="H120" s="497">
        <v>0.43784572833435764</v>
      </c>
      <c r="I120" s="497">
        <v>0.43780000000000002</v>
      </c>
      <c r="J120" s="499">
        <v>0.43780000000000002</v>
      </c>
      <c r="K120" s="651">
        <v>0.43780000000000002</v>
      </c>
      <c r="L120" s="823">
        <v>0.42730000000000001</v>
      </c>
      <c r="M120" s="1448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7">
        <v>0.74423786109403811</v>
      </c>
      <c r="H121" s="497">
        <v>0.74423786109403811</v>
      </c>
      <c r="I121" s="497">
        <v>0.66139999999999999</v>
      </c>
      <c r="J121" s="499">
        <v>0.6452</v>
      </c>
      <c r="K121" s="651">
        <v>0.4995</v>
      </c>
      <c r="L121" s="823">
        <v>0.42730000000000001</v>
      </c>
      <c r="M121" s="1448">
        <v>0.42730000000000001</v>
      </c>
    </row>
    <row r="122" spans="1:13" hidden="1">
      <c r="A122" s="468" t="s">
        <v>358</v>
      </c>
      <c r="B122" s="495" t="s">
        <v>362</v>
      </c>
      <c r="C122" s="495">
        <v>144</v>
      </c>
      <c r="D122" s="495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7">
        <v>0.75887474882786332</v>
      </c>
      <c r="H122" s="497">
        <v>0.75887474882786332</v>
      </c>
      <c r="I122" s="497">
        <v>0.66139999999999999</v>
      </c>
      <c r="J122" s="499">
        <v>0.6452</v>
      </c>
      <c r="K122" s="651">
        <v>0.4995</v>
      </c>
      <c r="L122" s="823">
        <v>0.42730000000000001</v>
      </c>
      <c r="M122" s="1448">
        <v>0.42730000000000001</v>
      </c>
    </row>
    <row r="123" spans="1:13" hidden="1">
      <c r="A123" s="468" t="s">
        <v>398</v>
      </c>
      <c r="B123" s="468" t="s">
        <v>167</v>
      </c>
      <c r="C123" s="590">
        <v>167</v>
      </c>
      <c r="D123" s="590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7">
        <v>0.81789999999999996</v>
      </c>
      <c r="H123" s="497">
        <v>0.81789999999999996</v>
      </c>
      <c r="I123" s="497">
        <v>0.65900000000000003</v>
      </c>
      <c r="J123" s="499">
        <v>0</v>
      </c>
      <c r="K123" s="651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0">
        <v>167</v>
      </c>
      <c r="D124" s="590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7">
        <v>0.81789999999999996</v>
      </c>
      <c r="H124" s="497">
        <v>0.81789999999999996</v>
      </c>
      <c r="I124" s="497">
        <v>0.65900000000000003</v>
      </c>
      <c r="J124" s="499">
        <v>0</v>
      </c>
      <c r="K124" s="651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7">
        <v>0.53672403196066387</v>
      </c>
      <c r="H125" s="497">
        <v>0.4025430239704979</v>
      </c>
      <c r="I125" s="497">
        <v>0.38200000000000001</v>
      </c>
      <c r="J125" s="499">
        <v>0.35849999999999999</v>
      </c>
      <c r="K125" s="651">
        <v>4.9599999999999998E-2</v>
      </c>
      <c r="L125" s="823">
        <v>3.3399999999999999E-2</v>
      </c>
      <c r="M125" s="1448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7">
        <v>0.88667793484941604</v>
      </c>
      <c r="H126" s="497">
        <v>0.66500845113706197</v>
      </c>
      <c r="I126" s="497">
        <v>0.36559999999999998</v>
      </c>
      <c r="J126" s="499">
        <v>0.29060000000000002</v>
      </c>
      <c r="K126" s="651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0">
        <v>167</v>
      </c>
      <c r="D127" s="590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7">
        <v>0.63819999999999999</v>
      </c>
      <c r="H127" s="497">
        <v>0.63819999999999999</v>
      </c>
      <c r="I127" s="497">
        <v>0.44450000000000001</v>
      </c>
      <c r="J127" s="499">
        <v>0</v>
      </c>
      <c r="K127" s="651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0">
        <v>167</v>
      </c>
      <c r="D128" s="590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7">
        <v>0.63819999999999999</v>
      </c>
      <c r="H128" s="497">
        <v>0.63819999999999999</v>
      </c>
      <c r="I128" s="497">
        <v>0.47870000000000001</v>
      </c>
      <c r="J128" s="499">
        <v>0</v>
      </c>
      <c r="K128" s="651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0">
        <v>167</v>
      </c>
      <c r="D129" s="590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7">
        <v>0.53600000000000003</v>
      </c>
      <c r="H129" s="497">
        <v>0.53600000000000003</v>
      </c>
      <c r="I129" s="497">
        <v>0.40200000000000002</v>
      </c>
      <c r="J129" s="499">
        <v>0</v>
      </c>
      <c r="K129" s="651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0">
        <v>167</v>
      </c>
      <c r="D130" s="590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7">
        <v>0.83053171196948017</v>
      </c>
      <c r="H130" s="497">
        <v>0.83053171196948017</v>
      </c>
      <c r="I130" s="497">
        <v>0.83053171196948017</v>
      </c>
      <c r="J130" s="499">
        <v>0.34849999999999998</v>
      </c>
      <c r="K130" s="651">
        <v>0.34849999999999998</v>
      </c>
      <c r="L130" s="823">
        <v>0.28499999999999998</v>
      </c>
      <c r="M130" s="1448">
        <v>0.28499999999999998</v>
      </c>
    </row>
    <row r="131" spans="1:14" hidden="1">
      <c r="A131" s="468" t="s">
        <v>414</v>
      </c>
      <c r="B131" s="468" t="s">
        <v>167</v>
      </c>
      <c r="C131" s="590">
        <v>167</v>
      </c>
      <c r="D131" s="590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7">
        <v>0.76871721506914636</v>
      </c>
      <c r="H131" s="497">
        <v>0.76871721506914636</v>
      </c>
      <c r="I131" s="497">
        <v>0.76871721506914636</v>
      </c>
      <c r="J131" s="499">
        <v>0.46889999999999998</v>
      </c>
      <c r="K131" s="651">
        <v>0.46889999999999998</v>
      </c>
      <c r="L131" s="823">
        <v>0.214</v>
      </c>
      <c r="M131" s="1448">
        <v>0.214</v>
      </c>
    </row>
    <row r="132" spans="1:14" hidden="1">
      <c r="A132" s="468" t="s">
        <v>414</v>
      </c>
      <c r="B132" s="468" t="s">
        <v>167</v>
      </c>
      <c r="C132" s="590">
        <v>167</v>
      </c>
      <c r="D132" s="590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7">
        <v>2.0743919885550688E-2</v>
      </c>
      <c r="H132" s="497">
        <v>2.0743919885550688E-2</v>
      </c>
      <c r="I132" s="497">
        <v>2.0743919885550688E-2</v>
      </c>
      <c r="J132" s="499">
        <v>2.07E-2</v>
      </c>
      <c r="K132" s="651">
        <v>2.07E-2</v>
      </c>
      <c r="L132" s="823">
        <v>2.07E-2</v>
      </c>
      <c r="M132" s="1448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7"/>
      <c r="H133" s="497"/>
      <c r="I133" s="497"/>
      <c r="J133" s="499">
        <v>0.38529999999999998</v>
      </c>
      <c r="K133" s="778">
        <v>0.38529999999999998</v>
      </c>
      <c r="L133" s="823">
        <f>DescontosTE[[#This Row],[2019]]</f>
        <v>0.38529999999999998</v>
      </c>
      <c r="M133" s="499">
        <f>DescontosTE[[#This Row],[2020]]</f>
        <v>0.38529999999999998</v>
      </c>
      <c r="N133" s="499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7"/>
      <c r="H134" s="497"/>
      <c r="I134" s="497"/>
      <c r="J134" s="499">
        <v>0.38529999999999998</v>
      </c>
      <c r="K134" s="778">
        <v>0.38030000000000003</v>
      </c>
      <c r="L134" s="823">
        <f>DescontosTE[[#This Row],[2019]]</f>
        <v>0.38030000000000003</v>
      </c>
      <c r="M134" s="497">
        <v>0.26430999999999999</v>
      </c>
      <c r="N134" s="497">
        <v>0.26430999999999999</v>
      </c>
    </row>
    <row r="135" spans="1:14" hidden="1">
      <c r="A135" s="468" t="s">
        <v>327</v>
      </c>
      <c r="B135" s="468" t="s">
        <v>167</v>
      </c>
      <c r="C135" s="590">
        <v>167</v>
      </c>
      <c r="D135" s="590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7"/>
      <c r="H135" s="497"/>
      <c r="I135" s="497"/>
      <c r="J135" s="499">
        <v>0.1401</v>
      </c>
      <c r="K135" s="778">
        <v>0.1401</v>
      </c>
      <c r="L135" s="823">
        <v>0.1401</v>
      </c>
      <c r="M135" s="1448">
        <v>0.1401</v>
      </c>
    </row>
    <row r="136" spans="1:14" hidden="1">
      <c r="A136" s="468" t="s">
        <v>431</v>
      </c>
      <c r="B136" s="468" t="s">
        <v>167</v>
      </c>
      <c r="C136" s="590">
        <v>167</v>
      </c>
      <c r="D136" s="590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7"/>
      <c r="H136" s="497"/>
      <c r="I136" s="497"/>
      <c r="J136" s="499">
        <v>0.25359999999999999</v>
      </c>
      <c r="K136" s="778">
        <v>0.22370000000000001</v>
      </c>
      <c r="L136" s="823">
        <v>0.1273</v>
      </c>
      <c r="M136" s="1448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7"/>
      <c r="H137" s="497"/>
      <c r="I137" s="497"/>
      <c r="J137" s="499">
        <v>0.42030000000000001</v>
      </c>
      <c r="K137" s="778">
        <v>0.42030000000000001</v>
      </c>
      <c r="L137" s="823">
        <v>0.33839999999999998</v>
      </c>
      <c r="M137" s="1448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7"/>
      <c r="H138" s="497"/>
      <c r="I138" s="497"/>
      <c r="J138" s="499">
        <v>0.4153</v>
      </c>
      <c r="K138" s="778">
        <v>0.4153</v>
      </c>
      <c r="L138" s="823">
        <v>0.33839999999999998</v>
      </c>
      <c r="M138" s="1448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7"/>
      <c r="H139" s="497"/>
      <c r="I139" s="497"/>
      <c r="J139" s="499">
        <v>0.40989999999999999</v>
      </c>
      <c r="K139" s="778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7"/>
      <c r="H140" s="497"/>
      <c r="I140" s="497"/>
      <c r="J140" s="499">
        <v>0.4103</v>
      </c>
      <c r="K140" s="778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7"/>
      <c r="H141" s="497"/>
      <c r="I141" s="497"/>
      <c r="J141" s="499">
        <v>0.44009999999999999</v>
      </c>
      <c r="K141" s="778">
        <v>0.3735</v>
      </c>
      <c r="L141" s="823">
        <v>0.29289999999999999</v>
      </c>
      <c r="M141" s="1448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7"/>
      <c r="H142" s="497"/>
      <c r="I142" s="497"/>
      <c r="J142" s="499">
        <v>0.41320000000000001</v>
      </c>
      <c r="K142" s="778">
        <v>0.34079999999999999</v>
      </c>
      <c r="L142" s="823">
        <v>0.25679999999999997</v>
      </c>
      <c r="M142" s="1448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7"/>
      <c r="H143" s="497"/>
      <c r="I143" s="497"/>
      <c r="J143" s="499">
        <v>0.44009999999999999</v>
      </c>
      <c r="K143" s="778">
        <v>0.28170000000000001</v>
      </c>
      <c r="L143" s="823">
        <v>0.25019999999999998</v>
      </c>
      <c r="M143" s="1448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7"/>
      <c r="H144" s="497"/>
      <c r="I144" s="497"/>
      <c r="J144" s="499">
        <v>0.41320000000000001</v>
      </c>
      <c r="K144" s="778">
        <v>0.16650000000000001</v>
      </c>
      <c r="L144" s="823">
        <v>0.1057</v>
      </c>
      <c r="M144" s="1448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7"/>
      <c r="H145" s="497"/>
      <c r="I145" s="497"/>
      <c r="J145" s="499">
        <v>0.33779999999999999</v>
      </c>
      <c r="K145" s="778">
        <v>0.33779999999999999</v>
      </c>
      <c r="L145" s="823">
        <v>0.20419999999999999</v>
      </c>
      <c r="M145" s="1448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7"/>
      <c r="H146" s="497"/>
      <c r="I146" s="497"/>
      <c r="J146" s="499">
        <v>0.49409999999999998</v>
      </c>
      <c r="K146" s="778">
        <v>0.48630000000000001</v>
      </c>
      <c r="L146" s="823">
        <v>0.37609999999999999</v>
      </c>
      <c r="M146" s="1448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7"/>
      <c r="H147" s="497"/>
      <c r="I147" s="497"/>
      <c r="J147" s="499"/>
      <c r="K147" s="778">
        <v>0.18690000000000001</v>
      </c>
      <c r="L147" s="823">
        <v>0.1603</v>
      </c>
      <c r="M147" s="497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7"/>
      <c r="H148" s="497"/>
      <c r="I148" s="497"/>
      <c r="J148" s="499"/>
      <c r="K148" s="778">
        <v>0.18690000000000001</v>
      </c>
      <c r="L148" s="823">
        <v>0.1603</v>
      </c>
      <c r="M148" s="497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499"/>
      <c r="K149" s="778"/>
      <c r="L149" s="823">
        <v>0.1426</v>
      </c>
      <c r="M149" s="1448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499">
        <v>0.1426</v>
      </c>
      <c r="M150" s="1448">
        <v>0.1426</v>
      </c>
      <c r="AS150" s="817"/>
      <c r="AX150" s="817"/>
    </row>
    <row r="154" spans="1:50">
      <c r="A154" s="624" t="s">
        <v>546</v>
      </c>
    </row>
    <row r="156" spans="1:50">
      <c r="A156" s="9" t="s">
        <v>22</v>
      </c>
      <c r="B156" s="625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2028</v>
      </c>
    </row>
    <row r="157" spans="1:50">
      <c r="A157" s="9" t="s">
        <v>521</v>
      </c>
      <c r="B157" s="626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7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7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7">
        <v>750.67</v>
      </c>
      <c r="L158">
        <v>694.52</v>
      </c>
      <c r="M158" s="408">
        <v>683.87</v>
      </c>
    </row>
    <row r="159" spans="1:50">
      <c r="A159" s="9" t="s">
        <v>521</v>
      </c>
      <c r="B159" s="626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7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7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7">
        <v>521.09</v>
      </c>
      <c r="L160">
        <v>586.86</v>
      </c>
      <c r="M160">
        <v>663.81999999999994</v>
      </c>
    </row>
    <row r="161" spans="1:13">
      <c r="A161" s="9" t="s">
        <v>521</v>
      </c>
      <c r="B161" s="626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7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7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7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6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7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7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7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6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7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7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7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6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7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7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7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6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7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7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7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6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7">
        <v>544.1</v>
      </c>
      <c r="L171">
        <v>589.07999999999993</v>
      </c>
      <c r="M171" s="629">
        <v>561.9</v>
      </c>
    </row>
    <row r="172" spans="1:13">
      <c r="A172" s="9" t="s">
        <v>521</v>
      </c>
      <c r="B172" s="627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7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6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7">
        <v>655.47</v>
      </c>
      <c r="L173">
        <v>654.13</v>
      </c>
      <c r="M173" s="408">
        <v>721.68</v>
      </c>
    </row>
    <row r="174" spans="1:13">
      <c r="A174" s="9" t="s">
        <v>521</v>
      </c>
      <c r="B174" s="627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7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6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7">
        <v>559.04</v>
      </c>
      <c r="L175">
        <v>605.22</v>
      </c>
      <c r="M175" s="408">
        <v>641.27</v>
      </c>
    </row>
    <row r="176" spans="1:13">
      <c r="A176" s="9" t="s">
        <v>521</v>
      </c>
      <c r="B176" s="627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7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6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7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7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7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6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7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7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7">
        <v>387.09</v>
      </c>
      <c r="L180">
        <v>395.17</v>
      </c>
      <c r="M180" s="408">
        <v>403.03</v>
      </c>
    </row>
    <row r="181" spans="1:13">
      <c r="A181" s="9" t="s">
        <v>521</v>
      </c>
      <c r="B181" s="626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7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7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7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6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7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7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7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6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7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7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7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6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7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7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7">
        <v>503.84</v>
      </c>
      <c r="L188">
        <v>506.04</v>
      </c>
      <c r="M188" s="408">
        <v>514.01</v>
      </c>
    </row>
    <row r="189" spans="1:13">
      <c r="A189" s="9" t="s">
        <v>521</v>
      </c>
      <c r="B189" s="626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7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7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7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6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7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7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7">
        <v>469.96</v>
      </c>
      <c r="L192">
        <v>496.82</v>
      </c>
      <c r="M192" s="408">
        <v>587.54</v>
      </c>
    </row>
    <row r="193" spans="1:16">
      <c r="A193" s="9" t="s">
        <v>521</v>
      </c>
      <c r="B193" s="626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7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8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7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5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7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5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7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5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7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5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7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5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7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5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7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5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7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5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7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5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7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5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7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5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7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5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7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3" t="s">
        <v>265</v>
      </c>
      <c r="C207" s="232"/>
      <c r="D207" s="232"/>
      <c r="E207" s="232"/>
      <c r="F207" s="232"/>
      <c r="G207" s="232"/>
      <c r="H207" s="232"/>
      <c r="K207" s="777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3" t="s">
        <v>258</v>
      </c>
      <c r="C208" s="232"/>
      <c r="D208" s="232"/>
      <c r="E208" s="232"/>
      <c r="F208" s="232"/>
      <c r="G208" s="232"/>
      <c r="H208" s="232"/>
      <c r="K208" s="777"/>
      <c r="L208">
        <f>357.76+231.81</f>
        <v>589.56999999999994</v>
      </c>
      <c r="M208" s="408">
        <v>677.96999999999991</v>
      </c>
      <c r="O208" s="812" t="s">
        <v>552</v>
      </c>
      <c r="P208" s="813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7">
        <f>397.32+270.9</f>
        <v>668.22</v>
      </c>
      <c r="L209">
        <v>683.67</v>
      </c>
      <c r="M209" s="506">
        <v>714.43999999999994</v>
      </c>
      <c r="N209">
        <v>838.02</v>
      </c>
      <c r="O209" s="812" t="s">
        <v>553</v>
      </c>
      <c r="P209" s="813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7">
        <v>469.78</v>
      </c>
      <c r="L210">
        <v>505.99000000000007</v>
      </c>
      <c r="M210" s="408">
        <v>532.24</v>
      </c>
      <c r="O210" s="812" t="s">
        <v>554</v>
      </c>
      <c r="P210" s="813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2" t="s">
        <v>555</v>
      </c>
      <c r="P211" s="813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7">
        <v>517.61</v>
      </c>
      <c r="L212">
        <v>512.77</v>
      </c>
      <c r="M212" s="408">
        <v>558.81000000000006</v>
      </c>
      <c r="O212" s="812" t="s">
        <v>556</v>
      </c>
      <c r="P212" s="813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7">
        <v>523.02</v>
      </c>
      <c r="L213">
        <v>550.20000000000005</v>
      </c>
      <c r="M213">
        <v>595.66</v>
      </c>
      <c r="N213">
        <v>678.65</v>
      </c>
      <c r="O213" s="812" t="s">
        <v>557</v>
      </c>
      <c r="P213" s="813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7">
        <v>490.18</v>
      </c>
      <c r="L214">
        <v>533.54999999999995</v>
      </c>
      <c r="M214" s="408">
        <v>619.94000000000005</v>
      </c>
      <c r="O214" s="812" t="s">
        <v>558</v>
      </c>
      <c r="P214" s="813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7">
        <f>303.99+243.7</f>
        <v>547.69000000000005</v>
      </c>
      <c r="L215">
        <v>541.15</v>
      </c>
      <c r="M215" s="818">
        <v>564.97</v>
      </c>
      <c r="N215">
        <v>606.77</v>
      </c>
      <c r="O215" s="812" t="s">
        <v>559</v>
      </c>
      <c r="P215" s="813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29">
        <v>487.3</v>
      </c>
      <c r="J216">
        <f>241.74+319.79</f>
        <v>561.53</v>
      </c>
      <c r="K216" s="777">
        <v>525.73</v>
      </c>
      <c r="L216" s="629">
        <v>546.10945347732809</v>
      </c>
      <c r="M216" s="408">
        <v>635.92000000000007</v>
      </c>
      <c r="N216" s="810"/>
      <c r="O216" s="812" t="s">
        <v>560</v>
      </c>
      <c r="P216" s="813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7">
        <v>531.87</v>
      </c>
      <c r="L217" s="629">
        <v>555.04999999999995</v>
      </c>
      <c r="M217" s="408">
        <v>622.58000000000004</v>
      </c>
      <c r="O217" s="812" t="s">
        <v>561</v>
      </c>
      <c r="P217" s="813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7">
        <v>515.59</v>
      </c>
      <c r="L218" s="629">
        <v>534.19000000000005</v>
      </c>
      <c r="M218" s="408">
        <v>594.49</v>
      </c>
      <c r="O218" s="812" t="s">
        <v>562</v>
      </c>
      <c r="P218" s="813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7">
        <v>530.72</v>
      </c>
      <c r="L219" s="629">
        <v>535.51</v>
      </c>
      <c r="M219" s="232">
        <v>580.43681504518099</v>
      </c>
      <c r="N219">
        <v>677.99</v>
      </c>
      <c r="O219" s="812" t="s">
        <v>563</v>
      </c>
      <c r="P219" s="813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7">
        <v>560.27</v>
      </c>
      <c r="L220" s="629">
        <v>589.57000000000005</v>
      </c>
      <c r="M220" s="408">
        <v>643.09</v>
      </c>
      <c r="O220" s="812" t="s">
        <v>564</v>
      </c>
      <c r="P220" s="813" t="e">
        <v>#N/A</v>
      </c>
    </row>
    <row r="221" spans="1:50">
      <c r="A221" t="s">
        <v>27</v>
      </c>
      <c r="B221" s="468" t="s">
        <v>291</v>
      </c>
      <c r="J221">
        <v>547.6</v>
      </c>
      <c r="K221" s="777">
        <v>515.07000000000005</v>
      </c>
      <c r="L221">
        <v>548.96999999999991</v>
      </c>
      <c r="M221" s="408">
        <v>629.70000000000005</v>
      </c>
      <c r="O221" s="812" t="s">
        <v>565</v>
      </c>
      <c r="P221" s="813" t="e">
        <v>#N/A</v>
      </c>
    </row>
    <row r="222" spans="1:50">
      <c r="A222" t="s">
        <v>27</v>
      </c>
      <c r="B222" s="468" t="s">
        <v>545</v>
      </c>
      <c r="K222" s="777"/>
      <c r="L222">
        <v>571.71</v>
      </c>
      <c r="M222" s="408">
        <v>605.55000000000007</v>
      </c>
      <c r="O222" s="812" t="s">
        <v>566</v>
      </c>
      <c r="P222" s="825" t="e">
        <v>#N/A</v>
      </c>
      <c r="AS222" s="817"/>
      <c r="AX222" s="817"/>
    </row>
    <row r="223" spans="1:50">
      <c r="O223" s="812" t="s">
        <v>567</v>
      </c>
      <c r="P223" s="813" t="e">
        <v>#N/A</v>
      </c>
    </row>
    <row r="224" spans="1:50">
      <c r="O224" s="812" t="s">
        <v>568</v>
      </c>
      <c r="P224" s="813" t="e">
        <v>#N/A</v>
      </c>
    </row>
    <row r="225" spans="11:16">
      <c r="K225" s="813">
        <v>547.69000000000005</v>
      </c>
      <c r="O225" s="812" t="s">
        <v>569</v>
      </c>
      <c r="P225" s="813" t="e">
        <v>#N/A</v>
      </c>
    </row>
    <row r="226" spans="11:16">
      <c r="O226" s="812" t="s">
        <v>570</v>
      </c>
      <c r="P226" s="813" t="e">
        <v>#N/A</v>
      </c>
    </row>
    <row r="227" spans="11:16">
      <c r="O227" s="812" t="s">
        <v>571</v>
      </c>
      <c r="P227" s="814" t="e">
        <v>#N/A</v>
      </c>
    </row>
    <row r="228" spans="11:16">
      <c r="O228" s="812" t="s">
        <v>572</v>
      </c>
      <c r="P228" s="814" t="e">
        <v>#N/A</v>
      </c>
    </row>
    <row r="229" spans="11:16">
      <c r="O229" s="812" t="s">
        <v>573</v>
      </c>
      <c r="P229" s="814" t="e">
        <v>#N/A</v>
      </c>
    </row>
    <row r="230" spans="11:16">
      <c r="O230" s="812" t="s">
        <v>574</v>
      </c>
      <c r="P230" s="814" t="e">
        <v>#N/A</v>
      </c>
    </row>
    <row r="231" spans="11:16">
      <c r="O231" s="812" t="s">
        <v>575</v>
      </c>
      <c r="P231" s="814" t="e">
        <v>#N/A</v>
      </c>
    </row>
    <row r="232" spans="11:16">
      <c r="O232" s="812" t="s">
        <v>576</v>
      </c>
      <c r="P232" s="814" t="e">
        <v>#N/A</v>
      </c>
    </row>
    <row r="233" spans="11:16">
      <c r="O233" s="812" t="s">
        <v>577</v>
      </c>
      <c r="P233" s="814" t="e">
        <v>#N/A</v>
      </c>
    </row>
    <row r="234" spans="11:16">
      <c r="O234" s="812" t="s">
        <v>578</v>
      </c>
      <c r="P234" s="814" t="e">
        <v>#N/A</v>
      </c>
    </row>
    <row r="235" spans="11:16">
      <c r="O235" s="812" t="s">
        <v>579</v>
      </c>
      <c r="P235" s="814">
        <v>979.23</v>
      </c>
    </row>
    <row r="236" spans="11:16">
      <c r="O236" s="812" t="s">
        <v>580</v>
      </c>
      <c r="P236" s="814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Normal="100" workbookViewId="0">
      <selection activeCell="E9" sqref="E9:H9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2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1" t="s">
        <v>2158</v>
      </c>
      <c r="C1" s="962"/>
      <c r="D1" s="962"/>
      <c r="M1" s="533"/>
      <c r="BA1" s="472"/>
      <c r="BB1" s="472"/>
      <c r="BC1" s="472"/>
      <c r="BD1" s="472"/>
    </row>
    <row r="2" spans="1:84" ht="25.5">
      <c r="B2" s="534" t="str">
        <f>CAPA!C9</f>
        <v>Coopera</v>
      </c>
      <c r="C2" s="620"/>
      <c r="D2" s="535"/>
      <c r="E2" s="575" t="s">
        <v>581</v>
      </c>
      <c r="F2" s="575"/>
      <c r="G2" s="575"/>
      <c r="H2" s="598" t="s">
        <v>2365</v>
      </c>
      <c r="M2" s="533"/>
      <c r="AK2" s="473"/>
      <c r="AZ2" s="1783" t="s">
        <v>582</v>
      </c>
      <c r="BA2" s="1784"/>
      <c r="BB2" s="1784"/>
      <c r="BC2" s="1784"/>
      <c r="BD2" s="1784"/>
      <c r="BE2" s="1784"/>
      <c r="BF2" s="1784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3"/>
    </row>
    <row r="3" spans="1:84">
      <c r="C3" s="547"/>
      <c r="E3" s="570" t="s">
        <v>2026</v>
      </c>
      <c r="F3" s="570"/>
      <c r="G3" s="570"/>
      <c r="H3" s="523"/>
      <c r="M3" s="533"/>
      <c r="O3" s="376">
        <f>VALUE(RIGHT(P3,2))</f>
        <v>30</v>
      </c>
      <c r="P3" s="963" t="str">
        <f>VLOOKUP($C$9,Informacoes[],4,FALSE)</f>
        <v>C30</v>
      </c>
      <c r="Q3" s="963" t="str">
        <f>VLOOKUP($C$9,Informacoes[],2,FALSE)</f>
        <v>Cooperativa Pioneira de Eletrificação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3"/>
    </row>
    <row r="4" spans="1:84">
      <c r="E4" s="742" t="s">
        <v>2027</v>
      </c>
      <c r="F4" s="742"/>
      <c r="G4" s="742"/>
      <c r="H4" s="767"/>
      <c r="I4" s="536"/>
      <c r="M4" s="533"/>
      <c r="AZ4" s="835"/>
      <c r="BA4" s="964">
        <v>40940</v>
      </c>
      <c r="BB4" s="964" t="s">
        <v>548</v>
      </c>
      <c r="BC4" s="964">
        <v>41306</v>
      </c>
      <c r="BD4" s="964">
        <v>41671</v>
      </c>
      <c r="BE4" s="965">
        <v>42036</v>
      </c>
      <c r="BF4" s="966">
        <v>42401</v>
      </c>
      <c r="BG4" s="966">
        <v>42767</v>
      </c>
      <c r="BI4" s="967"/>
      <c r="BJ4" s="967"/>
      <c r="BK4" s="967"/>
      <c r="BL4" s="967"/>
      <c r="BM4" s="968"/>
      <c r="BN4" s="968"/>
      <c r="BO4" s="968"/>
      <c r="BP4" s="968"/>
      <c r="BQ4" s="968"/>
      <c r="BR4" s="968"/>
      <c r="BS4" s="968"/>
      <c r="BT4" s="968"/>
      <c r="BU4" s="968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2" t="s">
        <v>583</v>
      </c>
      <c r="F5" s="742"/>
      <c r="G5" s="742"/>
      <c r="H5" s="752" t="s">
        <v>2366</v>
      </c>
      <c r="I5" s="536"/>
      <c r="M5" s="533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7"/>
      <c r="I6" s="536"/>
      <c r="N6" s="538"/>
      <c r="O6" s="9"/>
      <c r="P6" s="9" t="s">
        <v>2160</v>
      </c>
      <c r="Q6" s="524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39"/>
      <c r="B7" s="529" t="s">
        <v>584</v>
      </c>
      <c r="C7" s="540"/>
      <c r="D7" s="540"/>
      <c r="E7" s="541"/>
      <c r="F7" s="541"/>
      <c r="G7" s="541"/>
      <c r="H7" s="521"/>
      <c r="I7" s="522"/>
      <c r="J7" s="541"/>
      <c r="K7" s="542"/>
      <c r="L7" s="543"/>
      <c r="M7" s="544"/>
      <c r="N7" s="545"/>
      <c r="O7" s="9"/>
      <c r="P7" s="270">
        <v>238</v>
      </c>
      <c r="Q7" s="750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8"/>
      <c r="O8" s="9"/>
      <c r="P8" s="270"/>
      <c r="Q8" s="750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4" t="s">
        <v>106</v>
      </c>
      <c r="C9" s="969" t="s">
        <v>154</v>
      </c>
      <c r="D9" s="9"/>
      <c r="E9" s="1785" t="s">
        <v>585</v>
      </c>
      <c r="F9" s="1786"/>
      <c r="G9" s="1786"/>
      <c r="H9" s="1786"/>
      <c r="I9" s="589"/>
      <c r="J9" s="480" t="s">
        <v>586</v>
      </c>
      <c r="K9" s="9"/>
      <c r="L9" s="9"/>
      <c r="M9" s="546"/>
      <c r="N9" s="538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0" t="s">
        <v>587</v>
      </c>
      <c r="C10" s="971" t="str">
        <f>IF(C9="Cercos","N/NE","S/SE/CO")</f>
        <v>S/SE/CO</v>
      </c>
      <c r="D10" s="9"/>
      <c r="E10" s="593"/>
      <c r="F10" s="594" t="s">
        <v>588</v>
      </c>
      <c r="G10" s="595">
        <v>44817.659062500003</v>
      </c>
      <c r="H10" s="972"/>
      <c r="I10" s="590"/>
      <c r="J10" s="741" t="s">
        <v>589</v>
      </c>
      <c r="K10" s="973">
        <f>IFERROR(O3+200,0)</f>
        <v>230</v>
      </c>
      <c r="L10" s="581"/>
      <c r="M10" s="546"/>
      <c r="N10" s="538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3"/>
      <c r="F11" s="594" t="s">
        <v>590</v>
      </c>
      <c r="G11" s="595">
        <v>44817.659456018519</v>
      </c>
      <c r="H11" s="591"/>
      <c r="I11" s="592"/>
      <c r="J11" s="570" t="s">
        <v>591</v>
      </c>
      <c r="K11" s="597">
        <v>5370</v>
      </c>
      <c r="L11" s="581"/>
      <c r="M11" s="546"/>
      <c r="N11" s="538"/>
      <c r="O11" s="9"/>
      <c r="Q11" s="524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7"/>
      <c r="B12" s="480" t="s">
        <v>592</v>
      </c>
      <c r="C12" s="9"/>
      <c r="D12" s="9"/>
      <c r="E12" s="593"/>
      <c r="F12" s="594" t="s">
        <v>748</v>
      </c>
      <c r="G12" s="595">
        <v>44817.65965277778</v>
      </c>
      <c r="H12" s="591"/>
      <c r="I12" s="592"/>
      <c r="J12" s="742" t="s">
        <v>593</v>
      </c>
      <c r="K12" s="751">
        <f>IF(idsreag=P7,Q7,idagente)</f>
        <v>5370</v>
      </c>
      <c r="L12" s="581"/>
      <c r="M12" s="546"/>
      <c r="N12" s="538"/>
      <c r="O12" s="9"/>
      <c r="Q12" s="524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7"/>
      <c r="B13" s="584" t="s">
        <v>594</v>
      </c>
      <c r="C13" s="974">
        <f ca="1">YEAR(TODAY())</f>
        <v>2022</v>
      </c>
      <c r="D13" s="261"/>
      <c r="E13" s="593"/>
      <c r="F13" s="594" t="s">
        <v>595</v>
      </c>
      <c r="G13" s="595">
        <v>44817.660671296297</v>
      </c>
      <c r="H13" s="591"/>
      <c r="I13" s="9"/>
      <c r="J13" s="480" t="s">
        <v>596</v>
      </c>
      <c r="K13" s="9"/>
      <c r="L13" s="581"/>
      <c r="M13" s="548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5" t="s">
        <v>597</v>
      </c>
      <c r="C14" s="586">
        <v>44469</v>
      </c>
      <c r="D14" s="261"/>
      <c r="E14" s="593"/>
      <c r="F14" s="594" t="s">
        <v>598</v>
      </c>
      <c r="G14" s="595">
        <v>44817.660925925928</v>
      </c>
      <c r="H14" s="591"/>
      <c r="I14" s="9"/>
      <c r="J14" s="741" t="s">
        <v>599</v>
      </c>
      <c r="K14" s="973">
        <f>VLOOKUP(SAS_RA0_DataFim,Índices!$B$7:$F$500,2,FALSE)</f>
        <v>1185.0039999999999</v>
      </c>
      <c r="L14" s="581"/>
      <c r="M14" s="548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5" t="s">
        <v>600</v>
      </c>
      <c r="C15" s="587">
        <v>44834</v>
      </c>
      <c r="D15" s="261"/>
      <c r="E15" s="593"/>
      <c r="F15" s="594" t="s">
        <v>601</v>
      </c>
      <c r="G15" s="595">
        <v>44817.662546296298</v>
      </c>
      <c r="H15" s="596"/>
      <c r="I15" s="9"/>
      <c r="J15" s="570" t="s">
        <v>602</v>
      </c>
      <c r="K15" s="597">
        <f>VLOOKUP(SAS_RA0_DataFim,Índices!$B$7:$F$500,3,FALSE)</f>
        <v>6388.87</v>
      </c>
      <c r="L15" s="581"/>
      <c r="M15" s="548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5" t="s">
        <v>185</v>
      </c>
      <c r="C16" s="588">
        <f>DATE(YEAR(C14),MONTH(C14),1)</f>
        <v>44440</v>
      </c>
      <c r="D16" s="261"/>
      <c r="E16" s="593"/>
      <c r="F16" s="594" t="s">
        <v>603</v>
      </c>
      <c r="G16" s="595">
        <v>44817.662916666668</v>
      </c>
      <c r="H16" s="975"/>
      <c r="I16" s="9"/>
      <c r="J16" s="570" t="s">
        <v>604</v>
      </c>
      <c r="K16" s="577">
        <f>K14/VLOOKUP(DATE(YEAR(SAS_RA0_DataInicio),MONTH(SAS_RA0_DataInicio)-1,DAY(SAS_RA0_DataInicio)),Índices!$B$7:$F$500,2,FALSE)-1</f>
        <v>8.5874515481677571E-2</v>
      </c>
      <c r="L16" s="581"/>
      <c r="M16" s="548"/>
      <c r="O16" s="9"/>
      <c r="Q16" s="524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5" t="s">
        <v>187</v>
      </c>
      <c r="C17" s="588">
        <f>DATE(YEAR(C15),MONTH(C15)-1,1)</f>
        <v>44774</v>
      </c>
      <c r="D17" s="261"/>
      <c r="E17" s="593"/>
      <c r="F17" s="594" t="s">
        <v>605</v>
      </c>
      <c r="G17" s="595">
        <v>44817.663206018522</v>
      </c>
      <c r="H17" s="9"/>
      <c r="I17" s="370"/>
      <c r="J17" s="570" t="s">
        <v>606</v>
      </c>
      <c r="K17" s="976">
        <f>K15/VLOOKUP(DATE(YEAR(SAS_RA0_DataInicio),MONTH(SAS_RA0_DataInicio)-1,DAY(SAS_RA0_DataInicio)),Índices!$B$7:$F$500,3,FALSE)-1</f>
        <v>8.727291292620043E-2</v>
      </c>
      <c r="L17" s="9"/>
      <c r="M17" s="548"/>
      <c r="O17" s="9"/>
      <c r="Q17" s="524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5" t="s">
        <v>607</v>
      </c>
      <c r="C18" s="811" t="str">
        <f ca="1">C110</f>
        <v>REAJUSTE</v>
      </c>
      <c r="D18" s="261"/>
      <c r="E18" s="593"/>
      <c r="F18" s="594" t="s">
        <v>2132</v>
      </c>
      <c r="G18" s="595">
        <v>44817.663287037038</v>
      </c>
      <c r="I18" s="370"/>
      <c r="J18" s="575" t="s">
        <v>608</v>
      </c>
      <c r="K18" s="578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8"/>
      <c r="N18" s="9"/>
      <c r="O18" s="9"/>
      <c r="Q18" s="524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7"/>
      <c r="L19" s="17"/>
      <c r="M19" s="548"/>
      <c r="N19" s="9"/>
      <c r="O19" s="9"/>
      <c r="Q19" s="524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0"/>
      <c r="L20" s="17"/>
      <c r="M20" s="548"/>
      <c r="N20" s="9"/>
      <c r="O20" s="9"/>
      <c r="Q20" s="524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7"/>
      <c r="L21" s="17"/>
      <c r="M21" s="548"/>
      <c r="N21" s="9"/>
      <c r="O21" s="9"/>
      <c r="Q21" s="524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0"/>
      <c r="I22" s="370"/>
      <c r="J22" s="49"/>
      <c r="K22" s="549"/>
      <c r="L22" s="550"/>
      <c r="M22" s="548"/>
      <c r="N22" s="9"/>
      <c r="O22" s="9"/>
      <c r="Q22" s="524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39"/>
      <c r="B23" s="529" t="s">
        <v>609</v>
      </c>
      <c r="C23" s="540"/>
      <c r="D23" s="540"/>
      <c r="E23" s="541"/>
      <c r="F23" s="541"/>
      <c r="G23" s="541"/>
      <c r="H23" s="521"/>
      <c r="I23" s="522"/>
      <c r="J23" s="541"/>
      <c r="K23" s="542"/>
      <c r="L23" s="543"/>
      <c r="M23" s="544"/>
      <c r="N23" s="9"/>
      <c r="O23" s="9"/>
      <c r="Q23" s="524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0"/>
      <c r="I24" s="370"/>
      <c r="J24" s="49"/>
      <c r="K24" s="549"/>
      <c r="L24" s="550"/>
      <c r="M24" s="611"/>
      <c r="N24" s="557"/>
      <c r="O24" s="9"/>
      <c r="Q24" s="524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1"/>
      <c r="F25" s="552"/>
      <c r="G25" s="553"/>
      <c r="L25" s="550"/>
      <c r="M25" s="548"/>
      <c r="N25" s="557"/>
      <c r="O25" s="9"/>
      <c r="Q25" s="524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09" t="s">
        <v>610</v>
      </c>
      <c r="C26" s="580"/>
      <c r="D26" s="977"/>
      <c r="E26" s="978"/>
      <c r="F26" s="979"/>
      <c r="G26" s="980"/>
      <c r="H26" s="977"/>
      <c r="I26" s="977"/>
      <c r="J26" s="977"/>
      <c r="K26" s="981"/>
      <c r="L26" s="982"/>
      <c r="M26" s="548"/>
      <c r="N26" s="557"/>
      <c r="O26" s="9"/>
      <c r="Q26" s="524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0"/>
      <c r="M27" s="548"/>
      <c r="N27" s="557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5" t="s">
        <v>611</v>
      </c>
      <c r="C28" s="1801" t="s">
        <v>2387</v>
      </c>
      <c r="D28" s="1801"/>
      <c r="E28" s="9"/>
      <c r="F28" s="579" t="s">
        <v>612</v>
      </c>
      <c r="G28" s="580"/>
      <c r="H28" s="580"/>
      <c r="I28" s="9"/>
      <c r="J28" s="1688" t="s">
        <v>613</v>
      </c>
      <c r="K28" s="1689"/>
      <c r="L28" s="17"/>
      <c r="M28" s="548"/>
      <c r="N28" s="557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1" t="s">
        <v>614</v>
      </c>
      <c r="G29" s="741"/>
      <c r="H29" s="983">
        <v>5.8999999999999997E-2</v>
      </c>
      <c r="I29" s="9"/>
      <c r="J29" s="1690" t="s">
        <v>615</v>
      </c>
      <c r="K29" s="1691">
        <f>BD!C26</f>
        <v>44000000</v>
      </c>
      <c r="L29" s="17"/>
      <c r="M29" s="548"/>
      <c r="N29" s="557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2" t="s">
        <v>616</v>
      </c>
      <c r="G30" s="742"/>
      <c r="H30" s="984"/>
      <c r="I30" s="9"/>
      <c r="J30" s="1692" t="s">
        <v>617</v>
      </c>
      <c r="K30" s="1693" cm="1">
        <f t="array" ref="K30">IFERROR(limiteParcelaB[Limite_PB]*(1+K18),0)</f>
        <v>64270262.48859062</v>
      </c>
      <c r="L30" s="17"/>
      <c r="M30" s="548"/>
      <c r="O30" s="557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804" t="s">
        <v>618</v>
      </c>
      <c r="C31" s="1804"/>
      <c r="D31" s="772"/>
      <c r="E31" s="9"/>
      <c r="F31" s="985"/>
      <c r="G31" s="985"/>
      <c r="H31" s="986"/>
      <c r="I31" s="9"/>
      <c r="J31" s="1694" t="s">
        <v>619</v>
      </c>
      <c r="K31" s="1695">
        <f>D32+D33+D34</f>
        <v>39323417.770000003</v>
      </c>
      <c r="L31" s="1702" t="s">
        <v>620</v>
      </c>
      <c r="M31" s="1702" t="s">
        <v>2279</v>
      </c>
      <c r="O31" s="557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7" t="s">
        <v>621</v>
      </c>
      <c r="C32" s="987"/>
      <c r="D32" s="781">
        <v>27932134.078026745</v>
      </c>
      <c r="E32" s="9"/>
      <c r="F32" s="988" t="s">
        <v>622</v>
      </c>
      <c r="G32" s="989"/>
      <c r="H32" s="989"/>
      <c r="I32" s="9"/>
      <c r="J32" s="1690" t="s">
        <v>623</v>
      </c>
      <c r="K32" s="1696" cm="1">
        <f t="array" aca="1" ref="K32" ca="1">subvencao[Subvencao Anual]*(VLOOKUP(DATE(AnoRefTar,MONTH(M32)-1,1),Índices!B6:F500,3,FALSE)/VLOOKUP(DATE(YEAR(M32),MONTH(L32)-1,1),Índices!B6:F500,3,FALSE))</f>
        <v>0</v>
      </c>
      <c r="L32" s="1701" cm="1">
        <f t="array" ref="L32">subvencao[Data_Referencia Subvencao]</f>
        <v>44430</v>
      </c>
      <c r="M32" s="1701" cm="1">
        <f t="array" ref="M32">subvencao[Data_aniversario supridora]</f>
        <v>44430</v>
      </c>
      <c r="O32" s="557"/>
      <c r="Q32" s="524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7" t="s">
        <v>624</v>
      </c>
      <c r="C33" s="987"/>
      <c r="D33" s="782">
        <v>11391283.691973256</v>
      </c>
      <c r="E33" s="9"/>
      <c r="F33" s="570" t="s">
        <v>625</v>
      </c>
      <c r="G33" s="570"/>
      <c r="H33" s="486"/>
      <c r="I33" s="9"/>
      <c r="J33" s="1694" t="s">
        <v>626</v>
      </c>
      <c r="K33" s="1697">
        <f ca="1">LnkTXTISubvencaoPB/12</f>
        <v>0</v>
      </c>
      <c r="L33" s="17"/>
      <c r="M33" s="533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0"/>
      <c r="C34" s="990"/>
      <c r="D34" s="991"/>
      <c r="E34" s="9"/>
      <c r="F34" s="742" t="s">
        <v>627</v>
      </c>
      <c r="G34" s="742"/>
      <c r="H34" s="992"/>
      <c r="I34" s="9"/>
      <c r="J34" s="1690" t="s">
        <v>628</v>
      </c>
      <c r="K34" s="1698">
        <f>LinkTXTPR</f>
        <v>5.6651375974321801E-2</v>
      </c>
      <c r="L34" s="17"/>
      <c r="M34" s="548"/>
      <c r="O34" s="9"/>
      <c r="Q34" s="524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3"/>
      <c r="E35" s="9"/>
      <c r="F35" s="582"/>
      <c r="G35" s="994"/>
      <c r="H35" s="463"/>
      <c r="I35" s="9"/>
      <c r="J35" s="1692" t="s">
        <v>629</v>
      </c>
      <c r="K35" s="1699">
        <f ca="1">IFERROR(Energia!M20/((Energia!M5+Energia!M6-Energia!M7+Energia!N16)+Energia!M20),0)</f>
        <v>5.6079596924275568E-2</v>
      </c>
      <c r="L35" s="17"/>
      <c r="M35" s="548"/>
      <c r="O35" s="9"/>
      <c r="Q35" s="524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4"/>
      <c r="D36" s="783"/>
      <c r="E36" s="9"/>
      <c r="F36" s="686" t="s">
        <v>634</v>
      </c>
      <c r="G36" s="687"/>
      <c r="H36" s="463"/>
      <c r="I36" s="9"/>
      <c r="J36" s="1694" t="s">
        <v>630</v>
      </c>
      <c r="K36" s="1700">
        <f ca="1">IFERROR(LNKTXTPercperdas,0)</f>
        <v>5.6079596924275568E-2</v>
      </c>
      <c r="L36" s="17"/>
      <c r="M36" s="548"/>
      <c r="O36" s="9"/>
      <c r="Q36" s="524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3"/>
      <c r="E37" s="9"/>
      <c r="F37" s="686" t="s">
        <v>636</v>
      </c>
      <c r="G37" s="688">
        <v>573.02</v>
      </c>
      <c r="H37" s="463"/>
      <c r="I37" s="9"/>
      <c r="J37" s="270"/>
      <c r="K37" s="463"/>
      <c r="L37" s="756"/>
      <c r="M37" s="556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39"/>
      <c r="B38" s="529" t="s">
        <v>631</v>
      </c>
      <c r="C38" s="540"/>
      <c r="D38" s="540"/>
      <c r="E38" s="541"/>
      <c r="F38" s="541"/>
      <c r="G38" s="541"/>
      <c r="H38" s="521"/>
      <c r="I38" s="522"/>
      <c r="J38" s="541"/>
      <c r="K38" s="542"/>
      <c r="L38" s="543"/>
      <c r="M38" s="544"/>
      <c r="O38" s="9"/>
      <c r="Q38" s="524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95"/>
      <c r="G39" s="1795"/>
      <c r="H39" s="1555"/>
      <c r="L39" s="550"/>
      <c r="M39" s="533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4" t="str">
        <f ca="1">"Variação processo anterior e "&amp;AnoRevRea</f>
        <v>Variação processo anterior e 2022</v>
      </c>
      <c r="H40" s="784"/>
      <c r="I40" s="9"/>
      <c r="L40" s="550"/>
      <c r="M40" s="533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5" t="s">
        <v>632</v>
      </c>
      <c r="C41" s="576"/>
      <c r="D41" s="995">
        <f>BD!C5</f>
        <v>332449.01199999999</v>
      </c>
      <c r="E41" s="9"/>
      <c r="G41" s="575" t="s">
        <v>632</v>
      </c>
      <c r="H41" s="996">
        <f ca="1">IFERROR(Calc_Mercado!J15,0)</f>
        <v>1.306805207169659E-2</v>
      </c>
      <c r="I41" s="9"/>
      <c r="L41" s="550"/>
      <c r="M41" s="533"/>
      <c r="O41" s="9"/>
      <c r="Q41" s="524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0" t="s">
        <v>40</v>
      </c>
      <c r="C42" s="570"/>
      <c r="D42" s="369">
        <f>IFERROR(VLOOKUP("TFSEE",BD!$B$7:$C$16,2,FALSE),0)</f>
        <v>194641.68561373901</v>
      </c>
      <c r="E42" s="9"/>
      <c r="G42" s="570" t="s">
        <v>40</v>
      </c>
      <c r="H42" s="996">
        <f ca="1">LnkTxtVarTFSEE</f>
        <v>-0.12104635684078291</v>
      </c>
      <c r="I42" s="9"/>
      <c r="L42" s="550"/>
      <c r="M42" s="533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0" t="s">
        <v>41</v>
      </c>
      <c r="C43" s="570"/>
      <c r="D43" s="369">
        <f>IFERROR(VLOOKUP("CDE",BD!$B$7:$C$16,2,FALSE),0)</f>
        <v>18021294.755259998</v>
      </c>
      <c r="E43" s="9"/>
      <c r="G43" s="570" t="s">
        <v>41</v>
      </c>
      <c r="H43" s="577">
        <f ca="1">LnkTxtVarCDE</f>
        <v>0.28970795965635254</v>
      </c>
      <c r="I43" s="9"/>
      <c r="J43" s="1777"/>
      <c r="L43" s="550"/>
      <c r="M43" s="533"/>
      <c r="O43" s="9"/>
      <c r="Q43" s="524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0" t="s">
        <v>112</v>
      </c>
      <c r="C44" s="570"/>
      <c r="D44" s="369">
        <f>IFERROR(VLOOKUP("CFURH",BD!$B$7:$C$16,2,FALSE),0)</f>
        <v>0</v>
      </c>
      <c r="E44" s="9"/>
      <c r="G44" s="570" t="s">
        <v>112</v>
      </c>
      <c r="H44" s="463" t="str">
        <f>Resultado!F19</f>
        <v>-</v>
      </c>
      <c r="I44" s="9"/>
      <c r="K44" s="563"/>
      <c r="L44" s="550"/>
      <c r="M44" s="533"/>
      <c r="N44" s="559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0" t="s">
        <v>46</v>
      </c>
      <c r="C45" s="570"/>
      <c r="D45" s="369">
        <f>IFERROR(VLOOKUP("ESS/ERR",BD!$B$7:$C$16,2,FALSE),0)</f>
        <v>0</v>
      </c>
      <c r="E45" s="9"/>
      <c r="G45" s="570" t="s">
        <v>46</v>
      </c>
      <c r="H45" s="463" t="str">
        <f ca="1">Resultado!F20</f>
        <v>-</v>
      </c>
      <c r="I45" s="371"/>
      <c r="K45" s="563"/>
      <c r="L45" s="550"/>
      <c r="M45" s="558"/>
      <c r="N45" s="559"/>
      <c r="O45" s="9"/>
      <c r="Q45" s="524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0" t="s">
        <v>47</v>
      </c>
      <c r="C46" s="570"/>
      <c r="D46" s="369">
        <f>IFERROR(VLOOKUP("PROINFA",BD!$B$7:$C$16,2,FALSE),0)</f>
        <v>3089595.4712</v>
      </c>
      <c r="E46" s="9"/>
      <c r="G46" s="570" t="s">
        <v>47</v>
      </c>
      <c r="H46" s="577">
        <f ca="1">Resultado!F21</f>
        <v>0.51594979696669152</v>
      </c>
      <c r="I46" s="394"/>
      <c r="L46" s="550"/>
      <c r="M46" s="560"/>
      <c r="N46" s="559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0" t="s">
        <v>2036</v>
      </c>
      <c r="C47" s="570"/>
      <c r="D47" s="369">
        <f>IFERROR(VLOOKUP("CDE Covid TUSD",BD!$B$7:$C$16,2,FALSE),0)</f>
        <v>9419991.3842511307</v>
      </c>
      <c r="E47" s="9"/>
      <c r="G47" s="570" t="s">
        <v>48</v>
      </c>
      <c r="H47" s="463" t="str">
        <f ca="1">Resultado!F22</f>
        <v>-</v>
      </c>
      <c r="I47" s="394"/>
      <c r="L47" s="550"/>
      <c r="M47" s="560"/>
      <c r="N47" s="559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0" t="s">
        <v>49</v>
      </c>
      <c r="C48" s="570"/>
      <c r="D48" s="369">
        <f>IFERROR(VLOOKUP("ONS",BD!$B$7:$C$16,2,FALSE),0)</f>
        <v>0</v>
      </c>
      <c r="E48" s="9"/>
      <c r="G48" s="570" t="s">
        <v>49</v>
      </c>
      <c r="H48" s="463" t="str">
        <f ca="1">Resultado!F23</f>
        <v>-</v>
      </c>
      <c r="I48" s="394"/>
      <c r="L48" s="550"/>
      <c r="M48" s="560"/>
      <c r="N48" s="559"/>
      <c r="O48" s="9"/>
      <c r="Q48" s="524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1" t="s">
        <v>635</v>
      </c>
      <c r="C49" s="741"/>
      <c r="D49" s="997">
        <f>BD!C18</f>
        <v>6498549</v>
      </c>
      <c r="E49" s="9"/>
      <c r="G49" s="741" t="s">
        <v>635</v>
      </c>
      <c r="H49" s="996"/>
      <c r="I49" s="394"/>
      <c r="L49" s="550"/>
      <c r="M49" s="560"/>
      <c r="N49" s="559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0" t="s">
        <v>637</v>
      </c>
      <c r="C50" s="570"/>
      <c r="D50" s="369">
        <f>BD!C19</f>
        <v>1213380</v>
      </c>
      <c r="E50" s="9"/>
      <c r="G50" s="570" t="s">
        <v>637</v>
      </c>
      <c r="H50" s="577"/>
      <c r="I50" s="394"/>
      <c r="L50" s="550"/>
      <c r="M50" s="560"/>
      <c r="N50" s="559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2" t="s">
        <v>638</v>
      </c>
      <c r="C51" s="742"/>
      <c r="D51" s="998"/>
      <c r="E51" s="9"/>
      <c r="G51" s="742" t="s">
        <v>638</v>
      </c>
      <c r="H51" s="577"/>
      <c r="I51" s="9"/>
      <c r="L51" s="550"/>
      <c r="M51" s="560"/>
      <c r="N51" s="559"/>
      <c r="O51" s="9"/>
      <c r="Q51" s="524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5" t="s">
        <v>639</v>
      </c>
      <c r="C52" s="575"/>
      <c r="D52" s="999">
        <f>BD!C25</f>
        <v>0</v>
      </c>
      <c r="E52" s="9"/>
      <c r="G52" s="575" t="s">
        <v>639</v>
      </c>
      <c r="H52" s="578" t="str">
        <f ca="1">Resultado!F32</f>
        <v>-</v>
      </c>
      <c r="I52" s="9"/>
      <c r="L52" s="550"/>
      <c r="M52" s="560"/>
      <c r="N52" s="559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5" t="s">
        <v>640</v>
      </c>
      <c r="C53" s="575"/>
      <c r="D53" s="999">
        <f>BD!C26</f>
        <v>44000000</v>
      </c>
      <c r="E53" s="9"/>
      <c r="F53" s="9"/>
      <c r="G53" s="9"/>
      <c r="H53" s="9"/>
      <c r="I53" s="9"/>
      <c r="J53" s="9"/>
      <c r="K53" s="9"/>
      <c r="L53" s="550"/>
      <c r="M53" s="560"/>
      <c r="N53" s="559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0"/>
      <c r="E54" s="9"/>
      <c r="F54" s="9"/>
      <c r="G54" s="9"/>
      <c r="H54" s="9"/>
      <c r="I54" s="9"/>
      <c r="J54" s="9"/>
      <c r="K54" s="9"/>
      <c r="L54" s="550"/>
      <c r="M54" s="560"/>
      <c r="N54" s="559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39"/>
      <c r="B55" s="529" t="s">
        <v>641</v>
      </c>
      <c r="C55" s="540"/>
      <c r="D55" s="540"/>
      <c r="E55" s="541"/>
      <c r="F55" s="541"/>
      <c r="G55" s="541"/>
      <c r="H55" s="521"/>
      <c r="I55" s="522"/>
      <c r="J55" s="541"/>
      <c r="K55" s="542"/>
      <c r="L55" s="543"/>
      <c r="M55" s="544"/>
      <c r="N55" s="559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4"/>
      <c r="E56" s="49"/>
      <c r="F56" s="49"/>
      <c r="G56" s="49"/>
      <c r="H56" s="520"/>
      <c r="I56" s="370"/>
      <c r="J56" s="49"/>
      <c r="K56" s="549"/>
      <c r="L56" s="550"/>
      <c r="M56" s="546"/>
      <c r="N56" s="559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0"/>
      <c r="E57" s="573"/>
      <c r="F57" s="574" t="s">
        <v>642</v>
      </c>
      <c r="G57" s="49"/>
      <c r="H57" s="520"/>
      <c r="I57" s="370"/>
      <c r="J57" s="49"/>
      <c r="K57" s="549"/>
      <c r="L57" s="550"/>
      <c r="M57" s="546"/>
      <c r="N57" s="562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1" t="s">
        <v>215</v>
      </c>
      <c r="C58" s="1002"/>
      <c r="D58" s="768"/>
      <c r="E58" s="1800">
        <v>0</v>
      </c>
      <c r="F58" s="1800"/>
      <c r="G58" s="376"/>
      <c r="L58" s="757"/>
      <c r="M58" s="561"/>
      <c r="N58" s="564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3"/>
      <c r="L59" s="550"/>
      <c r="N59" s="567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5"/>
      <c r="B60" s="529" t="s">
        <v>643</v>
      </c>
      <c r="C60" s="540"/>
      <c r="D60" s="541"/>
      <c r="E60" s="541"/>
      <c r="F60" s="541"/>
      <c r="G60" s="521"/>
      <c r="H60" s="522"/>
      <c r="I60" s="541"/>
      <c r="J60" s="542"/>
      <c r="K60" s="543"/>
      <c r="L60" s="758"/>
      <c r="M60" s="566"/>
      <c r="N60" s="567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8" t="s">
        <v>644</v>
      </c>
      <c r="C61" s="568"/>
      <c r="D61" s="568" t="s">
        <v>645</v>
      </c>
      <c r="L61" s="550"/>
      <c r="M61" s="737"/>
      <c r="N61" s="467"/>
      <c r="O61" s="567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4" t="s">
        <v>646</v>
      </c>
      <c r="C62" s="715" t="s">
        <v>647</v>
      </c>
      <c r="D62" s="715" t="s">
        <v>192</v>
      </c>
      <c r="E62" s="1802" t="s">
        <v>648</v>
      </c>
      <c r="F62" s="1803"/>
      <c r="G62" s="715" t="s">
        <v>649</v>
      </c>
      <c r="H62" s="716" t="s">
        <v>650</v>
      </c>
      <c r="I62" s="9"/>
      <c r="J62" s="9"/>
      <c r="K62" s="9"/>
      <c r="L62" s="17"/>
      <c r="M62" s="555"/>
      <c r="N62" s="467"/>
      <c r="O62" s="567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0">
        <f>Indexador!B34</f>
        <v>44348</v>
      </c>
      <c r="C63" s="726"/>
      <c r="D63" s="726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89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90"/>
      <c r="G63" s="726"/>
      <c r="H63" s="727"/>
      <c r="I63" s="9" t="s">
        <v>651</v>
      </c>
      <c r="J63" s="472"/>
      <c r="K63" s="9"/>
      <c r="L63" s="17"/>
      <c r="M63" s="555"/>
      <c r="N63" s="467"/>
      <c r="O63" s="567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1">
        <f>Indexador!B35</f>
        <v>44378</v>
      </c>
      <c r="C64" s="732"/>
      <c r="D64" s="732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1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2"/>
      <c r="G64" s="732"/>
      <c r="H64" s="718">
        <f>SUMIF(BD!$A$41:$A$57,B64,BD!$C$41:$C$57)</f>
        <v>0</v>
      </c>
      <c r="I64" s="9" t="s">
        <v>652</v>
      </c>
      <c r="J64" s="572"/>
      <c r="K64" s="9"/>
      <c r="L64" s="17"/>
      <c r="M64" s="555"/>
      <c r="N64" s="467"/>
      <c r="O64" s="567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7">
        <f>Indexador!B36</f>
        <v>44409</v>
      </c>
      <c r="C65" s="733">
        <f>IF($C$113="Não",SUMIFS(Faturas!H:H,Faturas!A:A,$K$12,Faturas!G:G,"piscofins",Faturas!F:F,YEAR(CAPA!B65)*100+MONTH(CAPA!B65)),IF(B65&lt;$C$114,0,SUMIFS(Faturas!H:H,Faturas!A:A,$K$12,Faturas!G:G,"piscofins",Faturas!F:F,YEAR(CAPA!B65)*100+MONTH(CAPA!B65))))</f>
        <v>13265.79</v>
      </c>
      <c r="D65" s="733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3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794"/>
      <c r="G65" s="733">
        <f>IFERROR(VLOOKUP(B65,transmissorapiscofins[#All],2,FALSE),0)</f>
        <v>43923.360000000001</v>
      </c>
      <c r="H65" s="740">
        <f>SUMIF(BD!$A$41:$A$57,B65,BD!$C$41:$C$57)</f>
        <v>0</v>
      </c>
      <c r="I65" s="9"/>
      <c r="J65" s="572"/>
      <c r="K65" s="9"/>
      <c r="L65" s="17"/>
      <c r="M65" s="555"/>
      <c r="N65" s="467"/>
      <c r="O65" s="567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2">
        <f>Indexador!B37</f>
        <v>44440</v>
      </c>
      <c r="C66" s="734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84442.25</v>
      </c>
      <c r="D66" s="735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7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8"/>
      <c r="G66" s="735">
        <f>IFERROR(VLOOKUP(B66,transmissorapiscofins[#All],2,FALSE),0)</f>
        <v>44812.639999999999</v>
      </c>
      <c r="H66" s="718">
        <f>SUMIF(BD!$A$41:$A$57,B66,BD!$C$41:$C$57)</f>
        <v>0</v>
      </c>
      <c r="I66" s="9"/>
      <c r="J66" s="9"/>
      <c r="K66" s="9"/>
      <c r="L66" s="17"/>
      <c r="M66" s="555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2">
        <f>Indexador!B38</f>
        <v>44470</v>
      </c>
      <c r="C67" s="734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134952.85</v>
      </c>
      <c r="D67" s="734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8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9"/>
      <c r="G67" s="734">
        <f>IFERROR(VLOOKUP(B67,transmissorapiscofins[#All],2,FALSE),0)</f>
        <v>45910.92</v>
      </c>
      <c r="H67" s="718">
        <f>SUMIF(BD!$A$41:$A$57,B67,BD!$C$41:$C$57)</f>
        <v>0</v>
      </c>
      <c r="I67" s="9"/>
      <c r="J67" s="9"/>
      <c r="K67" s="9"/>
      <c r="L67" s="17"/>
      <c r="M67" s="555"/>
      <c r="N67" s="739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2">
        <f>Indexador!B39</f>
        <v>44501</v>
      </c>
      <c r="C68" s="734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146701.48000000001</v>
      </c>
      <c r="D68" s="734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8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9"/>
      <c r="G68" s="734">
        <f>IFERROR(VLOOKUP(B68,transmissorapiscofins[#All],2,FALSE),0)</f>
        <v>49169.13</v>
      </c>
      <c r="H68" s="718">
        <f>SUMIF(BD!$A$41:$A$57,B68,BD!$C$41:$C$57)</f>
        <v>0</v>
      </c>
      <c r="I68" s="9"/>
      <c r="J68" s="9"/>
      <c r="K68" s="9"/>
      <c r="L68" s="17"/>
      <c r="M68" s="555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2">
        <f>Indexador!B40</f>
        <v>44531</v>
      </c>
      <c r="C69" s="734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144591.04999999999</v>
      </c>
      <c r="D69" s="734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8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9"/>
      <c r="G69" s="734">
        <f>IFERROR(VLOOKUP(B69,transmissorapiscofins[#All],2,FALSE),0)</f>
        <v>54526.85</v>
      </c>
      <c r="H69" s="718">
        <f>SUMIF(BD!$A$41:$A$57,B69,BD!$C$41:$C$57)</f>
        <v>0</v>
      </c>
      <c r="I69" s="9"/>
      <c r="J69" s="9"/>
      <c r="K69" s="9"/>
      <c r="L69" s="17"/>
      <c r="M69" s="555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2">
        <f>Indexador!B41</f>
        <v>44562</v>
      </c>
      <c r="C70" s="734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202439.47</v>
      </c>
      <c r="D70" s="734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8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9"/>
      <c r="G70" s="734">
        <f>IFERROR(VLOOKUP(B70,transmissorapiscofins[#All],2,FALSE),0)</f>
        <v>50385.03</v>
      </c>
      <c r="H70" s="718">
        <f>SUMIF(BD!$A$41:$A$57,B70,BD!$C$41:$C$57)</f>
        <v>0</v>
      </c>
      <c r="I70" s="9"/>
      <c r="J70" s="9"/>
      <c r="K70" s="9"/>
      <c r="L70" s="17"/>
      <c r="M70" s="555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2">
        <f>Indexador!B42</f>
        <v>44593</v>
      </c>
      <c r="C71" s="734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113582.16</v>
      </c>
      <c r="D71" s="734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8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9"/>
      <c r="G71" s="734">
        <f>IFERROR(VLOOKUP(B71,transmissorapiscofins[#All],2,FALSE),0)</f>
        <v>50097.7</v>
      </c>
      <c r="H71" s="718">
        <f>SUMIF(BD!$A$41:$A$57,B71,BD!$C$41:$C$57)</f>
        <v>0</v>
      </c>
      <c r="I71" s="9"/>
      <c r="J71" s="9"/>
      <c r="K71" s="9"/>
      <c r="L71" s="17"/>
      <c r="M71" s="555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2">
        <f>Indexador!B43</f>
        <v>44621</v>
      </c>
      <c r="C72" s="734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140838.64000000001</v>
      </c>
      <c r="D72" s="734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8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9"/>
      <c r="G72" s="734">
        <f>IFERROR(VLOOKUP(B72,transmissorapiscofins[#All],2,FALSE),0)</f>
        <v>56236.11</v>
      </c>
      <c r="H72" s="718">
        <f>SUMIF(BD!$A$41:$A$57,B72,BD!$C$41:$C$57)</f>
        <v>0</v>
      </c>
      <c r="J72" s="474" t="s">
        <v>653</v>
      </c>
      <c r="K72" s="474" t="s">
        <v>654</v>
      </c>
      <c r="L72" s="589" t="s">
        <v>654</v>
      </c>
      <c r="M72" s="589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2">
        <f>Indexador!B44</f>
        <v>44652</v>
      </c>
      <c r="C73" s="734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79354.710000000006</v>
      </c>
      <c r="D73" s="734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8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9"/>
      <c r="G73" s="734">
        <f>IFERROR(VLOOKUP(B73,transmissorapiscofins[#All],2,FALSE),0)</f>
        <v>52062.39</v>
      </c>
      <c r="H73" s="718">
        <f>SUMIF(BD!$A$41:$A$57,B73,BD!$C$41:$C$57)</f>
        <v>0</v>
      </c>
      <c r="J73" s="1003" t="str">
        <f ca="1">IFERROR(VLOOKUP(TRUE,BD!D41:F56,3,FALSE),"todos os meses")</f>
        <v>todos os meses</v>
      </c>
      <c r="K73" s="1004" t="s">
        <v>656</v>
      </c>
      <c r="L73" s="1005">
        <f ca="1">IF(Energia!F24*2/3=0,0.0000001,Energia!F24*2/3)</f>
        <v>27345321.994062062</v>
      </c>
      <c r="M73" s="1006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2">
        <f>Indexador!B45</f>
        <v>44682</v>
      </c>
      <c r="C74" s="734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122678.69</v>
      </c>
      <c r="D74" s="734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8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9"/>
      <c r="G74" s="734">
        <f>IFERROR(VLOOKUP(B74,transmissorapiscofins[#All],2,FALSE),0)</f>
        <v>51659.69</v>
      </c>
      <c r="H74" s="718">
        <f>SUMIF(BD!$A$41:$A$57,B74,BD!$C$41:$C$57)</f>
        <v>0</v>
      </c>
      <c r="I74" s="9"/>
      <c r="J74" s="9"/>
      <c r="K74" s="9"/>
      <c r="L74" s="17"/>
      <c r="M74" s="555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2">
        <f>Indexador!B46</f>
        <v>44713</v>
      </c>
      <c r="C75" s="734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148488.01</v>
      </c>
      <c r="D75" s="734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8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99"/>
      <c r="G75" s="734">
        <f>IFERROR(VLOOKUP(B75,transmissorapiscofins[#All],2,FALSE),0)</f>
        <v>50988.82</v>
      </c>
      <c r="H75" s="718">
        <f>SUMIF(BD!$A$41:$A$57,B75,BD!$C$41:$C$57)</f>
        <v>2044629.5844000001</v>
      </c>
      <c r="I75" s="9"/>
      <c r="J75" s="9"/>
      <c r="K75" s="9"/>
      <c r="L75" s="17"/>
      <c r="M75" s="555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2">
        <f>Indexador!B47</f>
        <v>44743</v>
      </c>
      <c r="C76" s="734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191063.95</v>
      </c>
      <c r="D76" s="734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8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9"/>
      <c r="G76" s="734">
        <f>IFERROR(VLOOKUP(B76,transmissorapiscofins[#All],2,FALSE),0)</f>
        <v>59605.5</v>
      </c>
      <c r="H76" s="718">
        <f>SUMIF(BD!$A$41:$A$57,B76,BD!$C$41:$C$57)</f>
        <v>102698.4669</v>
      </c>
      <c r="I76" s="9"/>
      <c r="J76" s="9"/>
      <c r="K76" s="9"/>
      <c r="L76" s="17"/>
      <c r="M76" s="555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3">
        <f>Indexador!B48</f>
        <v>44774</v>
      </c>
      <c r="C77" s="736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6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7"/>
      <c r="G77" s="834">
        <f>IFERROR(VLOOKUP(B77,transmissorapiscofins[#All],2,FALSE),0)</f>
        <v>59489.75</v>
      </c>
      <c r="H77" s="826">
        <f>SUMIF(BD!$A$41:$A$57,B77,BD!$C$41:$C$57)</f>
        <v>-11.36</v>
      </c>
      <c r="I77" s="571">
        <f>SUM(D65:D76)+D76</f>
        <v>0</v>
      </c>
      <c r="J77" s="9"/>
      <c r="K77" s="9"/>
      <c r="L77" s="17"/>
      <c r="M77" s="555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1"/>
      <c r="K78" s="9"/>
      <c r="L78" s="17"/>
      <c r="M78" s="533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7"/>
      <c r="G79" s="518"/>
      <c r="H79" s="519"/>
      <c r="I79" s="513"/>
      <c r="J79" s="513"/>
      <c r="K79" s="514"/>
      <c r="L79" s="759"/>
      <c r="M79" s="738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5"/>
      <c r="B80" s="529" t="s">
        <v>657</v>
      </c>
      <c r="C80" s="540"/>
      <c r="D80" s="541"/>
      <c r="E80" s="541"/>
      <c r="F80" s="541"/>
      <c r="G80" s="521"/>
      <c r="H80" s="522"/>
      <c r="I80" s="541"/>
      <c r="J80" s="542"/>
      <c r="K80" s="543"/>
      <c r="L80" s="758"/>
      <c r="M80" s="566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0"/>
      <c r="M81" s="533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5"/>
      <c r="C82" s="1007"/>
      <c r="D82" s="1008"/>
      <c r="E82" s="1008"/>
      <c r="F82" s="1008"/>
      <c r="H82" s="554"/>
      <c r="L82" s="550"/>
      <c r="M82" s="533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1"/>
      <c r="C83" s="1009"/>
      <c r="D83" s="1010"/>
      <c r="E83" s="1010"/>
      <c r="F83" s="1010"/>
      <c r="G83" s="376"/>
      <c r="H83" s="554"/>
      <c r="I83" s="753"/>
      <c r="L83" s="550"/>
      <c r="M83" s="533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0"/>
      <c r="C84" s="600"/>
      <c r="D84" s="525"/>
      <c r="E84" s="525"/>
      <c r="F84" s="525"/>
      <c r="G84" s="376"/>
      <c r="H84" s="554"/>
      <c r="L84" s="550"/>
      <c r="M84" s="533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1"/>
      <c r="C85" s="1011"/>
      <c r="D85" s="1012"/>
      <c r="E85" s="1012"/>
      <c r="F85" s="1012"/>
      <c r="G85" s="376"/>
      <c r="H85" s="554"/>
      <c r="L85" s="550"/>
      <c r="M85" s="533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0"/>
      <c r="C86" s="630"/>
      <c r="D86" s="631"/>
      <c r="E86" s="631"/>
      <c r="F86" s="631"/>
      <c r="G86" s="376"/>
      <c r="H86" s="554"/>
      <c r="L86" s="550"/>
      <c r="M86" s="533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2"/>
      <c r="C87" s="1013"/>
      <c r="D87" s="1014"/>
      <c r="E87" s="1014"/>
      <c r="F87" s="1014"/>
      <c r="G87" s="376"/>
      <c r="H87" s="554"/>
      <c r="L87" s="550"/>
      <c r="M87" s="533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0" t="s">
        <v>658</v>
      </c>
      <c r="C88" s="602" t="str">
        <f>VLOOKUP(LnkTXTSigla,Informacoes[],7,FALSE)</f>
        <v>18/2008</v>
      </c>
      <c r="D88" s="526"/>
      <c r="E88" s="526"/>
      <c r="F88" s="526"/>
      <c r="G88" s="376"/>
      <c r="H88" s="554"/>
      <c r="L88" s="550"/>
      <c r="M88" s="533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0" t="s">
        <v>659</v>
      </c>
      <c r="C89" s="602" t="str">
        <f>VLOOKUP(LnkTXTSigla,Informacoes[],8,FALSE)</f>
        <v>28 de novembro de 2008</v>
      </c>
      <c r="D89" s="603"/>
      <c r="E89" s="526"/>
      <c r="F89" s="525"/>
      <c r="H89" s="554"/>
      <c r="L89" s="550"/>
      <c r="M89" s="533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0" t="s">
        <v>660</v>
      </c>
      <c r="C90" s="604" t="str">
        <f>Q3</f>
        <v>Cooperativa Pioneira de Eletrificação</v>
      </c>
      <c r="D90" s="526"/>
      <c r="E90" s="526"/>
      <c r="F90" s="526"/>
      <c r="H90" s="554"/>
      <c r="L90" s="550"/>
      <c r="M90" s="533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0" t="s">
        <v>661</v>
      </c>
      <c r="C91" s="604" t="str">
        <f>C9</f>
        <v>Coopera</v>
      </c>
      <c r="D91" s="526"/>
      <c r="E91" s="527"/>
      <c r="F91" s="526"/>
      <c r="H91" s="753"/>
      <c r="L91" s="550"/>
      <c r="M91" s="533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0" t="s">
        <v>662</v>
      </c>
      <c r="C92" s="602" t="str">
        <f>D92&amp;" - "&amp;E92</f>
        <v>Forquilhinha - SC</v>
      </c>
      <c r="D92" s="528" t="str">
        <f>VLOOKUP(LnkTXTSigla,Informacoes[],5,FALSE)</f>
        <v>Forquilhinha</v>
      </c>
      <c r="E92" s="528" t="str">
        <f>VLOOKUP(LnkTXTSigla,Informacoes[],6,FALSE)</f>
        <v>SC</v>
      </c>
      <c r="F92" s="526"/>
      <c r="L92" s="550"/>
      <c r="M92" s="533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0" t="s">
        <v>663</v>
      </c>
      <c r="C93" s="605"/>
      <c r="D93" s="526"/>
      <c r="E93" s="526"/>
      <c r="F93" s="526"/>
      <c r="L93" s="550"/>
      <c r="M93" s="533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0" t="s">
        <v>664</v>
      </c>
      <c r="C94" s="604">
        <f>DataRevRea</f>
        <v>44834</v>
      </c>
      <c r="D94" s="526"/>
      <c r="E94" s="526">
        <f>DATE(YEAR(DataRevRea)+1,MONTH(DataRevRea)-1,1)</f>
        <v>45139</v>
      </c>
      <c r="F94" s="526"/>
      <c r="L94" s="550"/>
      <c r="M94" s="533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0" t="s">
        <v>665</v>
      </c>
      <c r="C95" s="606" t="str">
        <f>TEXT(E95,"mmmm")&amp;" de "&amp;TEXT(E95,"aaaa")&amp; " a "&amp;TEXT(E94,"mmmm")&amp;" de "&amp;TEXT(E94,"aaaa")</f>
        <v>setembro de 2022 a agosto de 2023</v>
      </c>
      <c r="D95" s="526"/>
      <c r="E95" s="526">
        <f>DATE(YEAR(DataRevRea),MONTH(DataRevRea),DAY(DataRevRea))</f>
        <v>44834</v>
      </c>
      <c r="F95" s="526"/>
      <c r="L95" s="550"/>
      <c r="M95" s="533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0" t="s">
        <v>666</v>
      </c>
      <c r="C96" s="605">
        <f>C94</f>
        <v>44834</v>
      </c>
      <c r="D96" s="607"/>
      <c r="E96" s="526"/>
      <c r="F96" s="526"/>
      <c r="L96" s="550"/>
      <c r="M96" s="533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0" t="s">
        <v>187</v>
      </c>
      <c r="C97" s="608">
        <f>DATE(YEAR(DataRevRea)+1,MONTH(DataRevRea),DAY(DataRevRea)-1)</f>
        <v>45198</v>
      </c>
      <c r="D97" s="607"/>
      <c r="E97" s="526"/>
      <c r="F97" s="526"/>
      <c r="L97" s="550"/>
      <c r="M97" s="533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0" t="s">
        <v>667</v>
      </c>
      <c r="C98" s="608" t="str">
        <f>TEXT(C14,"mmmm")&amp;" de "&amp;TEXT(C14,"aaaa")&amp; " a "&amp;TEXT(C17,"mmmm")&amp;" de "&amp;TEXT(C17,"aaaa")</f>
        <v>setembro de 2021 a agosto de 2022</v>
      </c>
      <c r="D98" s="526"/>
      <c r="E98" s="526"/>
      <c r="F98" s="526"/>
      <c r="L98" s="550"/>
      <c r="M98" s="533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0" t="s">
        <v>668</v>
      </c>
      <c r="C99" s="601"/>
      <c r="D99" s="526"/>
      <c r="E99" s="526"/>
      <c r="F99" s="526"/>
      <c r="I99" s="554"/>
      <c r="L99" s="550"/>
      <c r="M99" s="533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0" t="s">
        <v>633</v>
      </c>
      <c r="C100" s="601"/>
      <c r="D100" s="526"/>
      <c r="E100" s="526"/>
      <c r="F100" s="526"/>
      <c r="L100" s="550"/>
      <c r="M100" s="533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0" t="s">
        <v>669</v>
      </c>
      <c r="C101" s="601"/>
      <c r="D101" s="526"/>
      <c r="E101" s="526"/>
      <c r="F101" s="526"/>
      <c r="L101" s="550"/>
      <c r="M101" s="533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0" t="s">
        <v>670</v>
      </c>
      <c r="C102" s="609"/>
      <c r="D102" s="526"/>
      <c r="E102" s="526"/>
      <c r="F102" s="526"/>
      <c r="L102" s="550"/>
      <c r="M102" s="533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0" t="s">
        <v>671</v>
      </c>
      <c r="C103" s="609">
        <f>Resultado!D32</f>
        <v>0</v>
      </c>
      <c r="D103" s="526"/>
      <c r="E103" s="526"/>
      <c r="F103" s="526"/>
      <c r="L103" s="550"/>
      <c r="M103" s="533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0" t="s">
        <v>672</v>
      </c>
      <c r="C104" s="609">
        <f>SUM(Resultado!D25:D29)</f>
        <v>10654497</v>
      </c>
      <c r="D104" s="526"/>
      <c r="E104" s="526"/>
      <c r="F104" s="526"/>
      <c r="H104" s="569"/>
      <c r="I104" s="569"/>
      <c r="L104" s="550"/>
      <c r="M104" s="533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0" t="s">
        <v>673</v>
      </c>
      <c r="C105" s="609">
        <f>Resultado!D31</f>
        <v>0</v>
      </c>
      <c r="D105" s="526"/>
      <c r="E105" s="526"/>
      <c r="F105" s="526"/>
      <c r="L105" s="550"/>
      <c r="M105" s="533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0" t="s">
        <v>674</v>
      </c>
      <c r="C106" s="610">
        <f>ROUND(Calc_Mercado!J18/1000,0)</f>
        <v>26</v>
      </c>
      <c r="D106" s="526"/>
      <c r="E106" s="526"/>
      <c r="F106" s="526"/>
      <c r="L106" s="550"/>
      <c r="M106" s="533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0" t="s">
        <v>675</v>
      </c>
      <c r="C107" s="610">
        <f ca="1">ROUND(Mercado_RA0_Reais/1000000,0)</f>
        <v>130</v>
      </c>
      <c r="D107" s="526"/>
      <c r="E107" s="526"/>
      <c r="F107" s="526"/>
      <c r="L107" s="550"/>
      <c r="M107" s="533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0" t="s">
        <v>205</v>
      </c>
      <c r="C108" s="610" t="str">
        <f>VLOOKUP(LnkTXTSigla,Informacoes[],11,FALSE)</f>
        <v>Celesc</v>
      </c>
      <c r="D108" s="526"/>
      <c r="E108" s="526" t="str">
        <f>VLOOKUP(LnkTXTSigla,Informacoes[],11,FALSE)</f>
        <v>Celesc</v>
      </c>
      <c r="F108" s="526"/>
      <c r="L108" s="550"/>
      <c r="M108" s="533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2" t="s">
        <v>207</v>
      </c>
      <c r="C109" s="1015" t="str">
        <f>IF(E109=0,"!vazio!"," e "&amp;E109)</f>
        <v>!vazio!</v>
      </c>
      <c r="D109" s="1016"/>
      <c r="E109" s="1016">
        <f>VLOOKUP(LnkTXTSigla,Informacoes[],13,FALSE)</f>
        <v>0</v>
      </c>
      <c r="F109" s="1016"/>
      <c r="L109" s="550"/>
      <c r="M109" s="533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2" t="s">
        <v>676</v>
      </c>
      <c r="C110" s="1015" t="str">
        <f ca="1">IF(AnoRevRea=VLOOKUP(LnkTXTSigla,Informacoes[],15,FALSE),"REVISÃO","REAJUSTE")</f>
        <v>REAJUSTE</v>
      </c>
      <c r="D110" s="1016"/>
      <c r="E110" s="1016"/>
      <c r="F110" s="1016"/>
      <c r="L110" s="550"/>
      <c r="M110" s="533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2" t="s">
        <v>677</v>
      </c>
      <c r="C111" s="1015" t="str">
        <f ca="1">IF(C110="Reajuste", "Reajuste Tarifário Anual - RTA", "Revisão Tarifária Periódica - RTP")</f>
        <v>Reajuste Tarifário Anual - RTA</v>
      </c>
      <c r="D111" s="1015"/>
      <c r="E111" s="1015"/>
      <c r="F111" s="1015"/>
      <c r="L111" s="550"/>
      <c r="M111" s="533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2"/>
      <c r="C112" s="746"/>
      <c r="D112" s="746"/>
      <c r="E112" s="746"/>
      <c r="F112" s="746"/>
      <c r="L112" s="550"/>
      <c r="M112" s="533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1" t="s">
        <v>678</v>
      </c>
      <c r="C113" s="744" t="str">
        <f>VLOOKUP(C9,Informacoes[],19,FALSE)</f>
        <v>Não</v>
      </c>
      <c r="D113" s="744"/>
      <c r="E113" s="744"/>
      <c r="F113" s="744"/>
      <c r="L113" s="550"/>
      <c r="M113" s="533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2" t="s">
        <v>679</v>
      </c>
      <c r="C114" s="745">
        <f>VLOOKUP(C9,Informacoes[],20,FALSE)</f>
        <v>0</v>
      </c>
      <c r="D114" s="745"/>
      <c r="E114" s="745"/>
      <c r="F114" s="745"/>
      <c r="L114" s="550"/>
      <c r="M114" s="533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0"/>
      <c r="M115" s="533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0"/>
      <c r="M116" s="533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0"/>
      <c r="M117" s="533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0"/>
      <c r="M118" s="533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7" t="s">
        <v>198</v>
      </c>
      <c r="C119" s="1017" t="s">
        <v>198</v>
      </c>
      <c r="L119" s="550"/>
      <c r="M119" s="533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8" t="str">
        <f>LnkTXTSigla</f>
        <v>Coopera</v>
      </c>
      <c r="C120" s="1019" t="str">
        <f>LnkTXTSuprid1</f>
        <v>Celesc</v>
      </c>
      <c r="L120" s="550"/>
      <c r="M120" s="533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0"/>
      <c r="M121" s="533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0"/>
      <c r="M122" s="533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0"/>
      <c r="M123" s="533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0"/>
      <c r="M124" s="533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0"/>
      <c r="M125" s="533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0"/>
      <c r="M126" s="533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0"/>
      <c r="M127" s="533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0"/>
      <c r="M128" s="533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3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3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3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3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3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3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3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3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3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3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3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3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3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3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3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3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3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3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3"/>
    </row>
    <row r="148" spans="13:84">
      <c r="M148" s="533"/>
    </row>
    <row r="149" spans="13:84">
      <c r="M149" s="533"/>
    </row>
    <row r="150" spans="13:84">
      <c r="M150" s="533"/>
    </row>
    <row r="151" spans="13:84">
      <c r="M151" s="533"/>
    </row>
    <row r="152" spans="13:84">
      <c r="M152" s="533"/>
    </row>
    <row r="153" spans="13:84">
      <c r="M153" s="533"/>
    </row>
    <row r="154" spans="13:84">
      <c r="M154" s="533"/>
    </row>
    <row r="155" spans="13:84">
      <c r="M155" s="533"/>
    </row>
    <row r="156" spans="13:84">
      <c r="M156" s="533"/>
    </row>
    <row r="157" spans="13:84">
      <c r="M157" s="533"/>
    </row>
    <row r="158" spans="13:84">
      <c r="M158" s="533"/>
    </row>
    <row r="159" spans="13:84">
      <c r="M159" s="533"/>
    </row>
    <row r="160" spans="13:84">
      <c r="M160" s="533"/>
    </row>
    <row r="161" spans="13:13">
      <c r="M161" s="533"/>
    </row>
    <row r="162" spans="13:13">
      <c r="M162" s="533"/>
    </row>
    <row r="163" spans="13:13">
      <c r="M163" s="533"/>
    </row>
    <row r="164" spans="13:13">
      <c r="M164" s="533"/>
    </row>
    <row r="165" spans="13:13">
      <c r="M165" s="533"/>
    </row>
    <row r="166" spans="13:13">
      <c r="M166" s="533"/>
    </row>
    <row r="167" spans="13:13">
      <c r="M167" s="533"/>
    </row>
    <row r="168" spans="13:13">
      <c r="M168" s="533"/>
    </row>
    <row r="169" spans="13:13">
      <c r="M169" s="533"/>
    </row>
    <row r="170" spans="13:13">
      <c r="M170" s="533"/>
    </row>
    <row r="171" spans="13:13">
      <c r="M171" s="533"/>
    </row>
    <row r="172" spans="13:13">
      <c r="M172" s="533"/>
    </row>
    <row r="173" spans="13:13">
      <c r="M173" s="533"/>
    </row>
    <row r="174" spans="13:13">
      <c r="M174" s="533"/>
    </row>
    <row r="175" spans="13:13">
      <c r="M175" s="533"/>
    </row>
    <row r="176" spans="13:13">
      <c r="M176" s="533"/>
    </row>
    <row r="177" spans="13:13">
      <c r="M177" s="533"/>
    </row>
    <row r="178" spans="13:13">
      <c r="M178" s="533"/>
    </row>
    <row r="179" spans="13:13">
      <c r="M179" s="533"/>
    </row>
    <row r="180" spans="13:13">
      <c r="M180" s="533"/>
    </row>
    <row r="181" spans="13:13">
      <c r="M181" s="533"/>
    </row>
    <row r="182" spans="13:13">
      <c r="M182" s="533"/>
    </row>
    <row r="183" spans="13:13">
      <c r="M183" s="533"/>
    </row>
    <row r="184" spans="13:13">
      <c r="M184" s="533"/>
    </row>
    <row r="185" spans="13:13">
      <c r="M185" s="533"/>
    </row>
    <row r="186" spans="13:13">
      <c r="M186" s="533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abSelected="1" zoomScaleNormal="100" workbookViewId="0"/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7.42578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0" t="s">
        <v>681</v>
      </c>
      <c r="C1" s="1021"/>
      <c r="D1" s="70"/>
      <c r="E1" s="70"/>
      <c r="F1" s="70"/>
      <c r="G1" s="75"/>
    </row>
    <row r="2" spans="1:15" ht="16.5">
      <c r="A2" s="137"/>
      <c r="B2" s="619" t="str">
        <f ca="1">CAPA!C9&amp; " - " &amp;CAPA!C110&amp;" "&amp;AnoRefTar</f>
        <v>Coopera - REAJUSTE 2022</v>
      </c>
      <c r="C2" s="70"/>
      <c r="D2" s="70"/>
      <c r="E2" s="70"/>
      <c r="F2" s="70"/>
      <c r="G2" s="75"/>
      <c r="H2" s="376" t="s">
        <v>682</v>
      </c>
      <c r="I2" s="656">
        <v>44817.664421296293</v>
      </c>
      <c r="K2" s="691" t="s">
        <v>683</v>
      </c>
      <c r="L2" s="692"/>
    </row>
    <row r="3" spans="1:15" ht="16.5" customHeight="1">
      <c r="A3" s="137"/>
      <c r="B3" s="936" t="s">
        <v>684</v>
      </c>
      <c r="C3" s="785"/>
      <c r="D3" s="75"/>
      <c r="E3" s="75"/>
      <c r="F3" s="75"/>
      <c r="G3" s="75"/>
      <c r="H3" s="657" t="s">
        <v>685</v>
      </c>
      <c r="I3" s="657">
        <v>11</v>
      </c>
      <c r="K3" s="693" t="s">
        <v>686</v>
      </c>
      <c r="L3" s="654">
        <v>0.11469176735435926</v>
      </c>
    </row>
    <row r="4" spans="1:15" ht="16.5">
      <c r="A4" s="137"/>
      <c r="G4" s="75"/>
      <c r="J4" s="9"/>
      <c r="K4" s="693" t="s">
        <v>687</v>
      </c>
      <c r="L4" s="654">
        <v>0.14804177925344386</v>
      </c>
    </row>
    <row r="5" spans="1:15" ht="16.5" customHeight="1">
      <c r="A5" s="137"/>
      <c r="B5" s="1022" t="s">
        <v>688</v>
      </c>
      <c r="C5" s="1023">
        <f ca="1">D39+D34</f>
        <v>131758538.80379334</v>
      </c>
      <c r="D5" s="142"/>
      <c r="E5" s="79"/>
      <c r="F5" s="77"/>
      <c r="G5" s="75"/>
      <c r="H5" s="655"/>
      <c r="J5" s="270"/>
      <c r="K5" s="694" t="s">
        <v>689</v>
      </c>
      <c r="L5" s="662">
        <v>0.12638835568023654</v>
      </c>
    </row>
    <row r="6" spans="1:15" ht="16.5" customHeight="1">
      <c r="A6" s="137"/>
      <c r="B6" s="76" t="s">
        <v>690</v>
      </c>
      <c r="C6" s="77">
        <f ca="1">Mercado_RA0_Reais</f>
        <v>129817832.14530993</v>
      </c>
      <c r="D6" s="77"/>
      <c r="E6" s="471"/>
      <c r="F6" s="77"/>
      <c r="G6" s="138"/>
      <c r="H6" s="81"/>
      <c r="J6" s="270"/>
      <c r="K6" s="695" t="s">
        <v>691</v>
      </c>
      <c r="L6" s="696">
        <v>458.58</v>
      </c>
      <c r="M6" s="79"/>
    </row>
    <row r="7" spans="1:15" ht="16.5" customHeight="1">
      <c r="A7" s="137"/>
      <c r="B7" s="1024" t="s">
        <v>2317</v>
      </c>
      <c r="C7" s="1025">
        <f ca="1">ROUND((C5/C6-1),4)</f>
        <v>1.49E-2</v>
      </c>
      <c r="D7" s="487"/>
      <c r="E7" s="75"/>
      <c r="F7" s="1779"/>
      <c r="G7" s="75"/>
      <c r="H7" s="81"/>
      <c r="K7" s="49" t="s">
        <v>692</v>
      </c>
      <c r="L7" s="914">
        <f>L6/'Tabelas e Gráficos'!U39-1</f>
        <v>0.1378309306999479</v>
      </c>
    </row>
    <row r="8" spans="1:15" ht="16.5" customHeight="1">
      <c r="A8" s="137"/>
      <c r="B8" s="78" t="s">
        <v>693</v>
      </c>
      <c r="C8" s="252">
        <f ca="1">ROUND(Financeiros!E7,4)</f>
        <v>-8.8999999999999999E-3</v>
      </c>
      <c r="D8" s="488"/>
      <c r="E8" s="75"/>
      <c r="F8" s="252"/>
      <c r="G8" s="75"/>
      <c r="H8" s="81"/>
      <c r="K8" s="697" t="s">
        <v>694</v>
      </c>
      <c r="L8" s="698" t="s">
        <v>2039</v>
      </c>
      <c r="M8" s="658" t="s">
        <v>696</v>
      </c>
    </row>
    <row r="9" spans="1:15" ht="16.5" customHeight="1">
      <c r="A9" s="137"/>
      <c r="B9" s="1026" t="s">
        <v>2318</v>
      </c>
      <c r="C9" s="1027">
        <f ca="1">ROUND((C7+C8),5)</f>
        <v>6.0000000000000001E-3</v>
      </c>
      <c r="D9" s="487"/>
      <c r="E9" s="487"/>
      <c r="F9" s="1779"/>
      <c r="G9" s="75"/>
      <c r="K9" s="693" t="s">
        <v>697</v>
      </c>
      <c r="L9" s="699">
        <f>Aj.Subsídio!G28*12</f>
        <v>0</v>
      </c>
      <c r="M9" s="699">
        <v>0</v>
      </c>
    </row>
    <row r="10" spans="1:15" ht="16.5" customHeight="1">
      <c r="A10" s="137"/>
      <c r="B10" s="1026" t="s">
        <v>698</v>
      </c>
      <c r="C10" s="1027">
        <f ca="1">ROUND((LnkTXTEfeito-LnkTXTIRTTotal),4)</f>
        <v>0.12039999999999999</v>
      </c>
      <c r="D10" s="702">
        <f ca="1">LnKTxTRA1+Financeiros!D5</f>
        <v>130606469.84216779</v>
      </c>
      <c r="E10" s="75"/>
      <c r="F10" s="1779"/>
      <c r="G10" s="75"/>
      <c r="K10" s="693" t="s">
        <v>699</v>
      </c>
      <c r="L10" s="699">
        <f>Aj.Subsídio!G29*12</f>
        <v>0</v>
      </c>
      <c r="M10" s="699">
        <v>0</v>
      </c>
    </row>
    <row r="11" spans="1:15" ht="16.5" customHeight="1">
      <c r="A11" s="137"/>
      <c r="B11" s="936" t="s">
        <v>700</v>
      </c>
      <c r="C11" s="785"/>
      <c r="D11" s="1028"/>
      <c r="E11" s="1028"/>
      <c r="F11" s="1028"/>
      <c r="G11" s="75"/>
      <c r="K11" s="693" t="s">
        <v>701</v>
      </c>
      <c r="L11" s="699">
        <f>Aj.Subsídio!G30*12</f>
        <v>0</v>
      </c>
      <c r="M11" s="699">
        <v>0</v>
      </c>
    </row>
    <row r="12" spans="1:15" ht="16.5" customHeight="1">
      <c r="E12" s="1029"/>
      <c r="F12" s="1029"/>
      <c r="K12" s="693" t="s">
        <v>702</v>
      </c>
      <c r="L12" s="699">
        <f>Aj.Subsídio!G31*12</f>
        <v>70762.200000000012</v>
      </c>
      <c r="M12" s="699">
        <v>36946.96028925664</v>
      </c>
      <c r="O12" s="837"/>
    </row>
    <row r="13" spans="1:15" ht="15" customHeight="1">
      <c r="B13" s="1030"/>
      <c r="C13" s="1031" t="s">
        <v>695</v>
      </c>
      <c r="D13" s="1032" t="s">
        <v>696</v>
      </c>
      <c r="E13" s="1031" t="s">
        <v>703</v>
      </c>
      <c r="F13" s="1030" t="s">
        <v>704</v>
      </c>
      <c r="K13" s="693" t="s">
        <v>705</v>
      </c>
      <c r="L13" s="699">
        <f>Aj.Subsídio!G32*12</f>
        <v>758436.48</v>
      </c>
      <c r="M13" s="699">
        <v>422262.8049658672</v>
      </c>
      <c r="O13" s="837"/>
    </row>
    <row r="14" spans="1:15" ht="14.25">
      <c r="B14" s="1033" t="s">
        <v>706</v>
      </c>
      <c r="C14" s="1034">
        <f ca="1">SUM(C15:C23)</f>
        <v>31120861.934685566</v>
      </c>
      <c r="D14" s="1035">
        <f ca="1">SUM(D15:D23)</f>
        <v>40762641.042700239</v>
      </c>
      <c r="E14" s="1036">
        <f t="shared" ref="E14:E34" ca="1" si="0">(D14-C14)/LnkTXTRA0</f>
        <v>7.4271607749714003E-2</v>
      </c>
      <c r="F14" s="1037">
        <f ca="1">IF(ISERROR(D14/C14-1),"-",D14/C14-1)</f>
        <v>0.30981722576483284</v>
      </c>
      <c r="G14" s="287"/>
      <c r="H14" s="100"/>
      <c r="K14" s="693" t="s">
        <v>707</v>
      </c>
      <c r="L14" s="699">
        <f>Aj.Subsídio!G33*12</f>
        <v>159543.36000000002</v>
      </c>
      <c r="M14" s="699">
        <v>184756.70617069083</v>
      </c>
      <c r="O14" s="837"/>
    </row>
    <row r="15" spans="1:15" ht="14.25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5"/>
      <c r="M15" s="49"/>
    </row>
    <row r="16" spans="1:15" ht="14.25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5"/>
    </row>
    <row r="17" spans="2:14" ht="14.25">
      <c r="B17" s="78" t="s">
        <v>710</v>
      </c>
      <c r="C17" s="223">
        <f ca="1">Mercado_Faturado_Encargo_TFSEE_BRUTO</f>
        <v>198030.28859802135</v>
      </c>
      <c r="D17" s="131">
        <f ca="1">Encargos!C6</f>
        <v>174059.44361910204</v>
      </c>
      <c r="E17" s="221">
        <f t="shared" ca="1" si="0"/>
        <v>-1.8464986344932839E-4</v>
      </c>
      <c r="F17" s="253">
        <f t="shared" ca="1" si="1"/>
        <v>-0.12104635684078291</v>
      </c>
      <c r="G17" s="287"/>
    </row>
    <row r="18" spans="2:14" ht="14.25">
      <c r="B18" s="78" t="s">
        <v>711</v>
      </c>
      <c r="C18" s="224">
        <f ca="1">Mercado_Faturado_Encargo_CDE_BRUTO+Calc_Mercado!S75</f>
        <v>27797152.07056918</v>
      </c>
      <c r="D18" s="225">
        <f ca="1">Encargos!C7</f>
        <v>35850208.281191133</v>
      </c>
      <c r="E18" s="222">
        <f t="shared" ca="1" si="0"/>
        <v>6.2033513251152334E-2</v>
      </c>
      <c r="F18" s="253">
        <f t="shared" ca="1" si="1"/>
        <v>0.28970795965635254</v>
      </c>
      <c r="G18" s="287"/>
      <c r="H18" s="140"/>
      <c r="K18" s="49" t="s">
        <v>712</v>
      </c>
      <c r="L18" s="700">
        <v>44816.668634259258</v>
      </c>
      <c r="M18" s="49"/>
      <c r="N18" s="613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3" t="s">
        <v>713</v>
      </c>
      <c r="L19" s="693"/>
      <c r="M19" s="693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3" t="s">
        <v>715</v>
      </c>
      <c r="L20" s="701"/>
      <c r="M20" s="701"/>
    </row>
    <row r="21" spans="2:14" ht="14.25">
      <c r="B21" s="78" t="s">
        <v>47</v>
      </c>
      <c r="C21" s="223">
        <f ca="1">Mercado_Faturado_Encargo_PROINFA_BRUTO</f>
        <v>3125679.5755183659</v>
      </c>
      <c r="D21" s="131">
        <f ca="1">Encargos!C10</f>
        <v>4738373.3178900015</v>
      </c>
      <c r="E21" s="221">
        <f t="shared" ca="1" si="0"/>
        <v>1.2422744362010971E-2</v>
      </c>
      <c r="F21" s="253">
        <f t="shared" ca="1" si="1"/>
        <v>0.51594979696669152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47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8" t="s">
        <v>717</v>
      </c>
      <c r="C24" s="1034">
        <f ca="1">SUM(C25:C32)</f>
        <v>7979344.5926966937</v>
      </c>
      <c r="D24" s="1035">
        <f>SUM(D25:D32)</f>
        <v>10654497</v>
      </c>
      <c r="E24" s="1036">
        <f t="shared" ca="1" si="0"/>
        <v>2.0606971808841398E-2</v>
      </c>
      <c r="F24" s="1037">
        <f t="shared" ca="1" si="1"/>
        <v>0.33525966653349082</v>
      </c>
      <c r="G24" s="287"/>
      <c r="J24"/>
      <c r="K24" s="23"/>
      <c r="L24" s="196"/>
    </row>
    <row r="25" spans="2:14" ht="14.25">
      <c r="B25" s="81" t="s">
        <v>635</v>
      </c>
      <c r="C25" s="223">
        <f ca="1">IFERROR(Calc_Mercado!C91,0)</f>
        <v>6723860.7861371934</v>
      </c>
      <c r="D25" s="131">
        <f>'Rede Básica + Ajuste'!D9+'Rede Básica + Ajuste'!D10</f>
        <v>9344727</v>
      </c>
      <c r="E25" s="221">
        <f t="shared" ref="E25:E32" ca="1" si="2">(D25-C25)/LnkTXTRA0</f>
        <v>2.0188799724595412E-2</v>
      </c>
      <c r="F25" s="254">
        <f t="shared" ca="1" si="1"/>
        <v>0.38978591276998675</v>
      </c>
      <c r="G25" s="287"/>
      <c r="J25" s="196"/>
      <c r="K25" s="196"/>
      <c r="L25" s="196"/>
    </row>
    <row r="26" spans="2:14" ht="14.25">
      <c r="B26" s="81" t="s">
        <v>637</v>
      </c>
      <c r="C26" s="223">
        <f ca="1">IFERROR(Calc_Mercado!C89,0)</f>
        <v>1255483.8065595005</v>
      </c>
      <c r="D26" s="1747">
        <f>'Rede Básica + Ajuste'!E9+'Rede Básica + Ajuste'!E10</f>
        <v>1309770</v>
      </c>
      <c r="E26" s="221">
        <f t="shared" ca="1" si="2"/>
        <v>4.1817208424598347E-4</v>
      </c>
      <c r="F26" s="254">
        <f t="shared" ca="1" si="1"/>
        <v>4.3239262152862112E-2</v>
      </c>
      <c r="G26" s="287"/>
      <c r="J26" s="196"/>
      <c r="K26" s="196"/>
      <c r="L26" s="196"/>
    </row>
    <row r="27" spans="2:14" ht="14.25">
      <c r="B27" s="1778" t="s">
        <v>718</v>
      </c>
      <c r="D27" s="1748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1778" t="s">
        <v>719</v>
      </c>
      <c r="D28" s="1748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720</v>
      </c>
      <c r="C29" s="223"/>
      <c r="D29" s="1748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721</v>
      </c>
      <c r="C30" s="223"/>
      <c r="D30" s="1748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638</v>
      </c>
      <c r="C31" s="223">
        <f ca="1">IFERROR(Calc_Mercado!C95,0)</f>
        <v>0</v>
      </c>
      <c r="D31" s="1747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0</v>
      </c>
      <c r="D32" s="1747">
        <f>CUSD!C3</f>
        <v>0</v>
      </c>
      <c r="E32" s="221">
        <f t="shared" ca="1" si="2"/>
        <v>0</v>
      </c>
      <c r="F32" s="254" t="str">
        <f t="shared" ca="1" si="1"/>
        <v>-</v>
      </c>
      <c r="G32" s="287"/>
    </row>
    <row r="33" spans="2:8" ht="14.25">
      <c r="B33" s="1038" t="s">
        <v>108</v>
      </c>
      <c r="C33" s="1034">
        <f ca="1">SUM(Calc_Mercado!C79:C84)</f>
        <v>45112111.140504189</v>
      </c>
      <c r="D33" s="1035">
        <f ca="1">Energia!F24</f>
        <v>41017982.991093092</v>
      </c>
      <c r="E33" s="1036">
        <f t="shared" ca="1" si="0"/>
        <v>-3.1537486659216338E-2</v>
      </c>
      <c r="F33" s="1037">
        <f ca="1">IF(ISERROR(D33/C33-1),"-",D33/C33-1)</f>
        <v>-9.0754523472858728E-2</v>
      </c>
      <c r="G33" s="287"/>
    </row>
    <row r="34" spans="2:8" ht="14.25">
      <c r="B34" s="1039" t="s">
        <v>722</v>
      </c>
      <c r="C34" s="1040">
        <f ca="1">C14+C24+C33</f>
        <v>84212317.667886451</v>
      </c>
      <c r="D34" s="1041">
        <f ca="1">D33+D24+D14</f>
        <v>92435121.03379333</v>
      </c>
      <c r="E34" s="1042">
        <f t="shared" ca="1" si="0"/>
        <v>6.3341092899339049E-2</v>
      </c>
      <c r="F34" s="1043">
        <f ca="1">IF(ISERROR(D34/C34-1),"-",D34/C34-1)</f>
        <v>9.7643712863190402E-2</v>
      </c>
      <c r="G34" s="287"/>
    </row>
    <row r="35" spans="2:8" ht="14.25">
      <c r="G35" s="69"/>
      <c r="H35" s="107"/>
    </row>
    <row r="36" spans="2:8" ht="14.25">
      <c r="B36" s="936" t="s">
        <v>104</v>
      </c>
      <c r="C36" s="785"/>
      <c r="D36" s="785"/>
      <c r="E36" s="1028"/>
      <c r="F36" s="1028"/>
      <c r="G36" s="69"/>
    </row>
    <row r="37" spans="2:8" ht="8.25" customHeight="1">
      <c r="G37" s="69"/>
      <c r="H37" s="140"/>
    </row>
    <row r="38" spans="2:8" ht="15.75" customHeight="1">
      <c r="B38" s="659"/>
      <c r="C38" s="659" t="s">
        <v>695</v>
      </c>
      <c r="D38" s="659" t="s">
        <v>696</v>
      </c>
      <c r="E38" s="1044" t="s">
        <v>703</v>
      </c>
      <c r="F38" s="659" t="s">
        <v>704</v>
      </c>
      <c r="G38" s="69"/>
      <c r="H38" s="141"/>
    </row>
    <row r="39" spans="2:8" ht="15.75" customHeight="1">
      <c r="B39" s="1045" t="s">
        <v>723</v>
      </c>
      <c r="C39" s="1046">
        <f ca="1">LnkTXTRA0-C34</f>
        <v>45605514.477423474</v>
      </c>
      <c r="D39" s="1047">
        <f>IFERROR(SMALL(IF(LnkTXTPBReq=0,CAPA!K29,LnkTXTPBReq):LNKTXTLImPB,1),0)</f>
        <v>39323417.770000003</v>
      </c>
      <c r="E39" s="1048">
        <f ca="1">(D39-C39)/LnkTXTRA0</f>
        <v>-4.8391631593352184E-2</v>
      </c>
      <c r="F39" s="1049">
        <f ca="1">IF(ISERROR(D39/C39-1),"-",D39/C39-1)</f>
        <v>-0.13774862052117309</v>
      </c>
      <c r="G39" s="69"/>
      <c r="H39" s="140"/>
    </row>
    <row r="40" spans="2:8" ht="14.25">
      <c r="B40" s="703"/>
      <c r="C40" s="704"/>
      <c r="D40" s="705"/>
      <c r="E40" s="703"/>
      <c r="F40" s="703"/>
    </row>
    <row r="41" spans="2:8" ht="14.25">
      <c r="B41" s="936" t="s">
        <v>724</v>
      </c>
      <c r="C41" s="785"/>
      <c r="D41" s="785"/>
      <c r="E41" s="1028"/>
      <c r="F41" s="1028"/>
    </row>
    <row r="42" spans="2:8" ht="9" customHeight="1">
      <c r="E42" s="75"/>
      <c r="F42" s="75"/>
    </row>
    <row r="43" spans="2:8" ht="15.75" customHeight="1">
      <c r="B43" s="703"/>
      <c r="C43" s="1030" t="s">
        <v>725</v>
      </c>
      <c r="D43" s="1030" t="s">
        <v>703</v>
      </c>
      <c r="E43" s="461" t="s">
        <v>726</v>
      </c>
      <c r="F43" s="461"/>
      <c r="G43" s="461"/>
    </row>
    <row r="44" spans="2:8" ht="15.75" hidden="1" customHeight="1">
      <c r="B44" s="1050" t="s">
        <v>727</v>
      </c>
      <c r="C44" s="1051">
        <f ca="1">SUM(C45:C85)</f>
        <v>-1152068.9616255416</v>
      </c>
      <c r="D44" s="1756">
        <f ca="1">C44/Financeiros!D4</f>
        <v>-8.8745047008333029E-3</v>
      </c>
      <c r="E44" s="461">
        <f t="shared" ref="E44:E101" ca="1" si="3">IF(D44=0,0,1)</f>
        <v>1</v>
      </c>
      <c r="F44" s="461"/>
      <c r="G44" s="461"/>
    </row>
    <row r="45" spans="2:8" ht="15.75" hidden="1" customHeight="1">
      <c r="B45" s="82" t="str">
        <f>'Tabelas e Gráficos'!AM167</f>
        <v>Repasse de PIS COFINS</v>
      </c>
      <c r="C45" s="447">
        <f ca="1">'Tabelas e Gráficos'!AN167</f>
        <v>1573300.264313475</v>
      </c>
      <c r="D45" s="466">
        <f ca="1">C45/Financeiros!$D$4</f>
        <v>1.2119292383132863E-2</v>
      </c>
      <c r="E45" s="461">
        <f t="shared" ca="1" si="3"/>
        <v>1</v>
      </c>
      <c r="F45" s="461"/>
      <c r="G45" s="461"/>
    </row>
    <row r="46" spans="2:8" ht="15.75" hidden="1" customHeight="1">
      <c r="B46" s="82" t="str">
        <f>'Tabelas e Gráficos'!AM168</f>
        <v>Neutralidade Encargos Setoriais</v>
      </c>
      <c r="C46" s="447">
        <f ca="1">'Tabelas e Gráficos'!AN168</f>
        <v>-286619.25449683348</v>
      </c>
      <c r="D46" s="466">
        <f ca="1">C46/Financeiros!$D$4</f>
        <v>-2.2078573471786983E-3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410797.79847803223</v>
      </c>
      <c r="D47" s="466">
        <f ca="1">C47/Financeiros!$D$4</f>
        <v>3.1644173353488985E-3</v>
      </c>
      <c r="E47" s="461">
        <f t="shared" ca="1" si="3"/>
        <v>1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1114298.4896059355</v>
      </c>
      <c r="D49" s="466">
        <f ca="1">C49/Financeiros!$D$4</f>
        <v>8.5835549029863612E-3</v>
      </c>
      <c r="E49" s="461">
        <f t="shared" ca="1" si="3"/>
        <v>1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hidden="1" customHeight="1">
      <c r="B55" s="82" t="str">
        <f>'Tabelas e Gráficos'!AM177</f>
        <v>Compensação DIC FIC</v>
      </c>
      <c r="C55" s="447">
        <f>'Tabelas e Gráficos'!AN177</f>
        <v>0</v>
      </c>
      <c r="D55" s="466">
        <f ca="1">C55/Financeiros!$D$4</f>
        <v>0</v>
      </c>
      <c r="E55" s="461">
        <f t="shared" ca="1" si="3"/>
        <v>0</v>
      </c>
    </row>
    <row r="56" spans="2:7" ht="15.75" hidden="1" customHeight="1">
      <c r="B56" s="82" t="str">
        <f>'Tabelas e Gráficos'!AM178</f>
        <v>Subvenção CDE</v>
      </c>
      <c r="C56" s="447">
        <f ca="1">'Tabelas e Gráficos'!AN178</f>
        <v>0</v>
      </c>
      <c r="D56" s="466">
        <f ca="1">C56/Financeiros!$D$4</f>
        <v>0</v>
      </c>
      <c r="E56" s="461">
        <f t="shared" ca="1" si="3"/>
        <v>0</v>
      </c>
    </row>
    <row r="57" spans="2:7" ht="15.75" hidden="1" customHeight="1">
      <c r="B57" s="82" t="str">
        <f>'Tabelas e Gráficos'!AM179</f>
        <v>Retenção de Adicionais de Bandeiras Tarifárias</v>
      </c>
      <c r="C57" s="447">
        <f>'Tabelas e Gráficos'!AN179</f>
        <v>-2216127.4281564346</v>
      </c>
      <c r="D57" s="466">
        <f ca="1">C57/Financeiros!$D$4</f>
        <v>-1.7071055582532305E-2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de PIS COFINS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-301.06</v>
      </c>
      <c r="D68" s="466">
        <f ca="1">C68/Financeiros!$D$4</f>
        <v>-2.3190958824748539E-6</v>
      </c>
      <c r="E68" s="461">
        <f t="shared" ca="1" si="3"/>
        <v>1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-1747417.7713697162</v>
      </c>
      <c r="D69" s="466">
        <f ca="1">C69/Financeiros!$D$4</f>
        <v>-1.3460537296707948E-2</v>
      </c>
      <c r="E69" s="461">
        <f t="shared" ca="1" si="3"/>
        <v>1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hidden="1" customHeight="1">
      <c r="B73" s="82" t="str">
        <f>'Tabelas e Gráficos'!AM195</f>
        <v>Reversão do Diferimento de Pis Cofins</v>
      </c>
      <c r="C73" s="447">
        <f>'Tabelas e Gráficos'!AN195</f>
        <v>0</v>
      </c>
      <c r="D73" s="466">
        <f ca="1">C73/Financeiros!$D$4</f>
        <v>0</v>
      </c>
      <c r="E73" s="461">
        <f t="shared" ca="1" si="3"/>
        <v>0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53"/>
      <c r="C86" s="1754"/>
      <c r="D86" s="1755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3"/>
      <c r="B102" s="1753"/>
      <c r="C102" s="1754"/>
      <c r="D102" s="1755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Normal="100" workbookViewId="0"/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5.8554687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2" t="s">
        <v>872</v>
      </c>
      <c r="C1" s="1021"/>
      <c r="D1" s="933"/>
      <c r="E1" s="933"/>
      <c r="F1" s="933"/>
      <c r="G1" s="1131" t="s">
        <v>873</v>
      </c>
      <c r="H1" s="1132">
        <f ca="1">LnkTXTIRTEco</f>
        <v>1.49E-2</v>
      </c>
      <c r="I1" s="70"/>
      <c r="J1" s="70"/>
      <c r="P1" s="1133" t="s">
        <v>874</v>
      </c>
      <c r="Q1" s="1134"/>
      <c r="S1" s="1135" t="s">
        <v>875</v>
      </c>
      <c r="T1" s="1134" t="s">
        <v>876</v>
      </c>
      <c r="W1" s="1133" t="s">
        <v>875</v>
      </c>
      <c r="X1" s="1134" t="s">
        <v>876</v>
      </c>
    </row>
    <row r="2" spans="2:24" ht="14.25">
      <c r="B2" s="136" t="str">
        <f>CAPA!C9</f>
        <v>Coopera</v>
      </c>
      <c r="C2" s="70"/>
      <c r="D2" s="70"/>
      <c r="G2" s="120" t="s">
        <v>877</v>
      </c>
      <c r="H2" s="121">
        <f ca="1">LnkTXTIRTTotal</f>
        <v>6.0000000000000001E-3</v>
      </c>
      <c r="P2" s="1136">
        <f>DATE(YEAR(P4),MONTH(P4)-1,1)</f>
        <v>44440</v>
      </c>
      <c r="Q2" s="661"/>
      <c r="S2" s="660" t="s">
        <v>878</v>
      </c>
      <c r="T2" s="661" t="s">
        <v>879</v>
      </c>
      <c r="W2" s="660" t="s">
        <v>880</v>
      </c>
      <c r="X2" s="661" t="s">
        <v>879</v>
      </c>
    </row>
    <row r="3" spans="2:24" ht="14.25">
      <c r="P3" s="1133" t="s">
        <v>874</v>
      </c>
      <c r="Q3" s="1134"/>
      <c r="S3" s="1135" t="s">
        <v>875</v>
      </c>
      <c r="T3" s="1134" t="s">
        <v>876</v>
      </c>
      <c r="W3" s="1133" t="s">
        <v>875</v>
      </c>
      <c r="X3" s="1134" t="s">
        <v>876</v>
      </c>
    </row>
    <row r="4" spans="2:24" ht="14.25">
      <c r="P4" s="1136">
        <f>DATE(YEAR(P6),MONTH(P6)-1,1)</f>
        <v>44470</v>
      </c>
      <c r="Q4" s="661"/>
      <c r="S4" s="660" t="s">
        <v>538</v>
      </c>
      <c r="T4" s="661" t="s">
        <v>879</v>
      </c>
      <c r="W4" s="660" t="s">
        <v>880</v>
      </c>
      <c r="X4" s="661" t="s">
        <v>879</v>
      </c>
    </row>
    <row r="5" spans="2:24" ht="14.25">
      <c r="P5" s="1133" t="s">
        <v>874</v>
      </c>
      <c r="Q5" s="1134"/>
      <c r="S5" s="1133" t="s">
        <v>875</v>
      </c>
      <c r="T5" s="1134" t="s">
        <v>876</v>
      </c>
      <c r="V5" s="95"/>
      <c r="W5" s="1133" t="s">
        <v>875</v>
      </c>
      <c r="X5" s="1134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6">
        <f>DATE(YEAR(P8),MONTH(P8)-1,1)</f>
        <v>44501</v>
      </c>
      <c r="Q6" s="661"/>
      <c r="S6" s="660" t="str">
        <f>"=A3"</f>
        <v>=A3</v>
      </c>
      <c r="T6" s="661" t="s">
        <v>879</v>
      </c>
      <c r="W6" s="660" t="s">
        <v>880</v>
      </c>
      <c r="X6" s="661" t="s">
        <v>879</v>
      </c>
    </row>
    <row r="7" spans="2:24" ht="14.25">
      <c r="B7" s="1137" t="s">
        <v>778</v>
      </c>
      <c r="C7" s="1137" t="s">
        <v>108</v>
      </c>
      <c r="D7" s="1137" t="s">
        <v>884</v>
      </c>
      <c r="E7" s="96"/>
      <c r="F7" s="1137" t="s">
        <v>778</v>
      </c>
      <c r="G7" s="1137" t="s">
        <v>884</v>
      </c>
      <c r="I7" s="1138" t="s">
        <v>778</v>
      </c>
      <c r="J7" s="1138" t="s">
        <v>885</v>
      </c>
      <c r="L7" s="416" t="s">
        <v>886</v>
      </c>
      <c r="M7" s="416"/>
      <c r="N7" s="416" t="s">
        <v>725</v>
      </c>
      <c r="P7" s="1133" t="s">
        <v>874</v>
      </c>
      <c r="Q7" s="1134"/>
      <c r="S7" s="1133" t="s">
        <v>875</v>
      </c>
      <c r="T7" s="1134" t="s">
        <v>876</v>
      </c>
      <c r="W7" s="1133" t="s">
        <v>875</v>
      </c>
      <c r="X7" s="1134" t="s">
        <v>876</v>
      </c>
    </row>
    <row r="8" spans="2:24" ht="14.25">
      <c r="B8" s="1139" t="s">
        <v>887</v>
      </c>
      <c r="C8" s="1140">
        <f ca="1">SUM(C9:C15)</f>
        <v>336793.47300000006</v>
      </c>
      <c r="D8" s="1141">
        <f ca="1">SUM(D9:D15)</f>
        <v>129817832.14530993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0.22678003881022252</v>
      </c>
      <c r="L8" s="1142" t="s">
        <v>889</v>
      </c>
      <c r="M8" s="1143"/>
      <c r="N8" s="1144">
        <f>DSUM('BD MERCADO'!A2:AAA999998,"Total",S27:S28)</f>
        <v>27552142.364150017</v>
      </c>
      <c r="P8" s="1136">
        <f>DATE(YEAR(P10),MONTH(P10)-1,1)</f>
        <v>44531</v>
      </c>
      <c r="Q8" s="661"/>
      <c r="S8" s="660" t="str">
        <f>"=A3a"</f>
        <v>=A3a</v>
      </c>
      <c r="T8" s="661" t="s">
        <v>879</v>
      </c>
      <c r="W8" s="660" t="s">
        <v>880</v>
      </c>
      <c r="X8" s="661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5" t="s">
        <v>755</v>
      </c>
      <c r="J9" s="1146">
        <f ca="1">SUM(INDIRECT("dados_MercadoBase[[PisPasep]:[Cofins]]"))/SUM(INDIRECT("dados_MercadoBase[[PisPasep]:[ICMS]]"),INDIRECT("dados_MercadoBase[FinTotAj]"))</f>
        <v>0</v>
      </c>
      <c r="L9" s="96" t="s">
        <v>890</v>
      </c>
      <c r="M9" s="415"/>
      <c r="N9" s="115">
        <f>DSUM('BD MERCADO'!A2:AAA999998,"Total",S29:S30)</f>
        <v>81304075.108709991</v>
      </c>
      <c r="P9" s="1133" t="s">
        <v>874</v>
      </c>
      <c r="Q9" s="1134"/>
      <c r="S9" s="1133" t="s">
        <v>875</v>
      </c>
      <c r="T9" s="1134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8432502.8035600018</v>
      </c>
      <c r="P10" s="1136">
        <f>DATE(YEAR(P12),MONTH(P12)-1,1)</f>
        <v>44562</v>
      </c>
      <c r="Q10" s="661"/>
      <c r="S10" s="660" t="s">
        <v>533</v>
      </c>
      <c r="T10" s="661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13359.382000000001</v>
      </c>
      <c r="D11" s="113">
        <f t="shared" ca="1" si="1"/>
        <v>3841060.2238600003</v>
      </c>
      <c r="E11" s="96"/>
      <c r="F11" s="96" t="s">
        <v>47</v>
      </c>
      <c r="G11" s="115">
        <f t="shared" ca="1" si="0"/>
        <v>3125679.5755183678</v>
      </c>
      <c r="L11" s="96" t="s">
        <v>894</v>
      </c>
      <c r="M11" s="415"/>
      <c r="N11" s="115">
        <f>DSUM('BD MERCADO'!A2:AAA999998,"Total",S33:S34)</f>
        <v>7384014.1600400023</v>
      </c>
      <c r="P11" s="1133" t="s">
        <v>874</v>
      </c>
      <c r="Q11" s="1134"/>
      <c r="S11" s="1133" t="s">
        <v>875</v>
      </c>
      <c r="T11" s="1134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18254999.720994737</v>
      </c>
      <c r="I12" s="111" t="s">
        <v>895</v>
      </c>
      <c r="L12" s="96" t="s">
        <v>896</v>
      </c>
      <c r="M12" s="415"/>
      <c r="N12" s="115">
        <f>DSUM('BD MERCADO'!A2:AAA999998,"Total",S35:S36)</f>
        <v>2661578.3361</v>
      </c>
      <c r="P12" s="1136">
        <f>DATE(YEAR(P14),MONTH(P14)-1,1)</f>
        <v>44593</v>
      </c>
      <c r="Q12" s="661"/>
      <c r="S12" s="660" t="s">
        <v>897</v>
      </c>
      <c r="T12" s="661" t="s">
        <v>879</v>
      </c>
      <c r="X12" s="97"/>
    </row>
    <row r="13" spans="2:24" ht="14.25">
      <c r="B13" s="112" t="s">
        <v>533</v>
      </c>
      <c r="C13" s="98">
        <f t="shared" ca="1" si="2"/>
        <v>215464.09899999999</v>
      </c>
      <c r="D13" s="113">
        <f t="shared" ca="1" si="1"/>
        <v>78451561.635600001</v>
      </c>
      <c r="E13" s="96"/>
      <c r="F13" s="96" t="s">
        <v>40</v>
      </c>
      <c r="G13" s="115">
        <f t="shared" ca="1" si="0"/>
        <v>198030.28859802141</v>
      </c>
      <c r="I13" s="1138" t="s">
        <v>778</v>
      </c>
      <c r="J13" s="1138" t="s">
        <v>898</v>
      </c>
      <c r="L13" s="96" t="s">
        <v>899</v>
      </c>
      <c r="M13" s="415"/>
      <c r="N13" s="115">
        <f>DSUM('BD MERCADO'!A2:AAA999998,"Total",S37:S38)</f>
        <v>1165334.8402300004</v>
      </c>
      <c r="P13" s="1133" t="s">
        <v>874</v>
      </c>
      <c r="Q13" s="1134"/>
      <c r="S13" s="1133" t="s">
        <v>875</v>
      </c>
      <c r="T13" s="1134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7" t="s">
        <v>901</v>
      </c>
      <c r="J14" s="1148">
        <f>CAPA!D41</f>
        <v>332449.01199999999</v>
      </c>
      <c r="L14" s="96" t="s">
        <v>902</v>
      </c>
      <c r="M14" s="415"/>
      <c r="N14" s="115">
        <f>DSUM('BD MERCADO'!A2:AAA999998,"Total",S39:S40)</f>
        <v>1235750.41335</v>
      </c>
      <c r="P14" s="1136">
        <f>DATE(YEAR(P16),MONTH(P16)-1,1)</f>
        <v>44621</v>
      </c>
      <c r="Q14" s="661"/>
      <c r="S14" s="660" t="s">
        <v>880</v>
      </c>
      <c r="T14" s="661" t="s">
        <v>879</v>
      </c>
      <c r="X14" s="97"/>
    </row>
    <row r="15" spans="2:24" ht="14.25">
      <c r="B15" s="112" t="s">
        <v>540</v>
      </c>
      <c r="C15" s="98">
        <f t="shared" ca="1" si="2"/>
        <v>107969.99200000004</v>
      </c>
      <c r="D15" s="113">
        <f t="shared" ca="1" si="1"/>
        <v>47525210.285849936</v>
      </c>
      <c r="E15" s="96"/>
      <c r="F15" s="96" t="s">
        <v>108</v>
      </c>
      <c r="G15" s="115">
        <f ca="1">SUM(C79:C84)</f>
        <v>45112111.140504189</v>
      </c>
      <c r="I15" s="1149" t="s">
        <v>831</v>
      </c>
      <c r="J15" s="1150">
        <f ca="1">IFERROR(Mercado_RA0_MWh/J14-1,0)</f>
        <v>1.306805207169659E-2</v>
      </c>
      <c r="L15" s="1151" t="s">
        <v>903</v>
      </c>
      <c r="M15" s="1152"/>
      <c r="N15" s="1153">
        <f ca="1">D25-SUM(N8:N14)</f>
        <v>82434.119169905782</v>
      </c>
      <c r="P15" s="1133" t="s">
        <v>874</v>
      </c>
      <c r="Q15" s="1134"/>
      <c r="S15" s="1133" t="s">
        <v>904</v>
      </c>
      <c r="T15" s="1134" t="s">
        <v>876</v>
      </c>
      <c r="X15" s="97"/>
    </row>
    <row r="16" spans="2:24" ht="14.25">
      <c r="B16" s="1139" t="s">
        <v>905</v>
      </c>
      <c r="C16" s="1154">
        <f ca="1">DSUM(MercadoBase,"TUSD_E",INDIRECT("Mercado_CriterioResBr"))</f>
        <v>1452.12</v>
      </c>
      <c r="D16" s="1155">
        <f ca="1">DSUM(MercadoBase,"Total",INDIRECT("Mercado_CriterioResBr"))</f>
        <v>521383.68599999993</v>
      </c>
      <c r="E16" s="96"/>
      <c r="F16" s="96" t="s">
        <v>906</v>
      </c>
      <c r="G16" s="115">
        <f ca="1">SUM(C87:C97)</f>
        <v>53581979.341992266</v>
      </c>
      <c r="P16" s="1136">
        <f>DATE(YEAR(P18),MONTH(P18)-1,1)</f>
        <v>44652</v>
      </c>
      <c r="Q16" s="661"/>
      <c r="S16" s="660" t="s">
        <v>907</v>
      </c>
      <c r="T16" s="661" t="s">
        <v>879</v>
      </c>
      <c r="X16" s="97"/>
    </row>
    <row r="17" spans="2:24" ht="14.25">
      <c r="B17" s="1139" t="s">
        <v>908</v>
      </c>
      <c r="C17" s="1154">
        <f ca="1">DSUM(MercadoBase,"TUSD_E",INDIRECT("Mercado_Criterio"&amp;$B17))</f>
        <v>0</v>
      </c>
      <c r="D17" s="1155">
        <f ca="1">DSUM(MercadoBase,"Total",INDIRECT("Mercado_Criterio"&amp;$B17))</f>
        <v>0</v>
      </c>
      <c r="E17" s="96"/>
      <c r="F17" s="1156" t="s">
        <v>760</v>
      </c>
      <c r="G17" s="1157">
        <f ca="1">SUM(G8:G16)</f>
        <v>120272800.06760758</v>
      </c>
      <c r="I17" s="226" t="str">
        <f>"Dado referente à "&amp;TEXT(P20,"mmmm/aaaa")</f>
        <v>Dado referente à junho/2022</v>
      </c>
      <c r="L17" s="79"/>
      <c r="P17" s="1133" t="s">
        <v>874</v>
      </c>
      <c r="Q17" s="1134"/>
      <c r="S17" s="1133" t="s">
        <v>876</v>
      </c>
      <c r="T17" s="1134"/>
      <c r="X17" s="97"/>
    </row>
    <row r="18" spans="2:24" ht="14.25">
      <c r="B18" s="1139" t="s">
        <v>909</v>
      </c>
      <c r="C18" s="1154">
        <f ca="1">DSUM(MercadoBase,"TUSD_E",INDIRECT("Mercado_Criterio"&amp;$B18))</f>
        <v>0</v>
      </c>
      <c r="D18" s="1155">
        <f ca="1">DSUM(MercadoBase,"Total",INDIRECT("Mercado_Criterio"&amp;$B18))</f>
        <v>0</v>
      </c>
      <c r="E18" s="96"/>
      <c r="I18" s="1158" t="s">
        <v>910</v>
      </c>
      <c r="J18" s="1159">
        <f>DSUM('BD MERCADO'!B2:BU724,"UC",C101:C102)</f>
        <v>26218</v>
      </c>
      <c r="L18" s="79"/>
      <c r="P18" s="1136">
        <f>DATE(YEAR(P20),MONTH(P20)-1,1)</f>
        <v>44682</v>
      </c>
      <c r="Q18" s="661"/>
      <c r="S18" s="660" t="s">
        <v>790</v>
      </c>
      <c r="T18" s="661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3" t="s">
        <v>874</v>
      </c>
      <c r="Q19" s="1134"/>
      <c r="S19" s="1133" t="s">
        <v>876</v>
      </c>
      <c r="T19" s="1134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6">
        <f>DATE(YEAR(P22),MONTH(P22)-1,1)</f>
        <v>44713</v>
      </c>
      <c r="Q20" s="661"/>
      <c r="S20" s="660" t="s">
        <v>909</v>
      </c>
      <c r="T20" s="661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4"/>
      <c r="F21" s="615"/>
      <c r="G21" s="613"/>
      <c r="L21" s="79"/>
      <c r="P21" s="1133" t="s">
        <v>874</v>
      </c>
      <c r="Q21" s="1134"/>
      <c r="S21" s="1133" t="s">
        <v>876</v>
      </c>
      <c r="T21" s="1134"/>
    </row>
    <row r="22" spans="2:24" ht="14.25">
      <c r="B22" s="114" t="s">
        <v>914</v>
      </c>
      <c r="C22" s="98">
        <f ca="1">C18-C19</f>
        <v>0</v>
      </c>
      <c r="D22" s="113">
        <f ca="1">D18-D19</f>
        <v>0</v>
      </c>
      <c r="F22" s="616"/>
      <c r="G22" s="617"/>
      <c r="L22" s="79"/>
      <c r="M22" s="100"/>
      <c r="N22" s="97"/>
      <c r="O22" s="97"/>
      <c r="P22" s="1136">
        <f>DATE(YEAR(P24),MONTH(P24)-1,1)</f>
        <v>44743</v>
      </c>
      <c r="Q22" s="661"/>
      <c r="S22" s="660" t="s">
        <v>752</v>
      </c>
      <c r="T22" s="661"/>
      <c r="X22" s="97"/>
    </row>
    <row r="23" spans="2:24" ht="14.25">
      <c r="B23" s="1139" t="s">
        <v>915</v>
      </c>
      <c r="C23" s="1154">
        <v>0</v>
      </c>
      <c r="D23" s="1155">
        <v>0</v>
      </c>
      <c r="E23" s="614"/>
      <c r="F23" s="616"/>
      <c r="G23" s="617"/>
      <c r="L23" s="79"/>
      <c r="M23" s="100"/>
      <c r="N23" s="97"/>
      <c r="O23" s="97"/>
      <c r="P23" s="1133" t="s">
        <v>874</v>
      </c>
      <c r="Q23" s="1134"/>
      <c r="S23" s="1133" t="s">
        <v>876</v>
      </c>
      <c r="T23" s="1134"/>
      <c r="X23" s="97"/>
    </row>
    <row r="24" spans="2:24" ht="14.25">
      <c r="B24" s="1139" t="s">
        <v>916</v>
      </c>
      <c r="C24" s="1160"/>
      <c r="D24" s="1161"/>
      <c r="E24" s="614"/>
      <c r="F24" s="616"/>
      <c r="G24" s="617"/>
      <c r="L24" s="79"/>
      <c r="P24" s="1136">
        <f>SAS_RA0_DataFim</f>
        <v>44774</v>
      </c>
      <c r="Q24" s="661"/>
      <c r="S24" s="660" t="s">
        <v>913</v>
      </c>
      <c r="T24" s="661"/>
      <c r="X24" s="97"/>
    </row>
    <row r="25" spans="2:24" ht="14.25">
      <c r="B25" s="1162" t="s">
        <v>760</v>
      </c>
      <c r="C25" s="1163">
        <f ca="1">C18+C8+C24+C20+C21+SuprimentoE</f>
        <v>336793.47300000006</v>
      </c>
      <c r="D25" s="1164">
        <f ca="1">D18+D8+D24+D20+D21+D17</f>
        <v>129817832.14530993</v>
      </c>
      <c r="E25" s="614"/>
      <c r="N25" s="69">
        <f>SUMIFS('BD MERCADO'!$P$3:$P$6000,'BD MERCADO'!$D$3:$D$6000,"A4",'BD MERCADO'!$I$3:$I$6000,U10)</f>
        <v>14718.999</v>
      </c>
      <c r="S25" s="101" t="s">
        <v>876</v>
      </c>
      <c r="T25" s="102"/>
      <c r="X25" s="97"/>
    </row>
    <row r="26" spans="2:24" ht="14.25">
      <c r="F26" s="616"/>
      <c r="G26" s="617"/>
      <c r="S26" s="660" t="s">
        <v>917</v>
      </c>
      <c r="T26" s="661"/>
      <c r="X26" s="97"/>
    </row>
    <row r="27" spans="2:24" ht="14.25">
      <c r="F27" s="616"/>
      <c r="G27" s="617"/>
      <c r="I27" s="97"/>
      <c r="S27" s="1165" t="s">
        <v>524</v>
      </c>
      <c r="T27" s="1166"/>
      <c r="X27" s="97"/>
    </row>
    <row r="28" spans="2:24" ht="14.25">
      <c r="F28" s="226"/>
      <c r="G28" s="618"/>
      <c r="I28" s="97"/>
      <c r="S28" s="1167" t="s">
        <v>889</v>
      </c>
      <c r="T28" s="1168"/>
      <c r="X28" s="97"/>
    </row>
    <row r="29" spans="2:24" ht="14.25">
      <c r="I29" s="97"/>
      <c r="S29" s="1165" t="s">
        <v>524</v>
      </c>
      <c r="T29" s="1166"/>
    </row>
    <row r="30" spans="2:24" ht="14.25">
      <c r="I30" s="97"/>
      <c r="S30" s="1167" t="s">
        <v>890</v>
      </c>
      <c r="T30" s="1168"/>
    </row>
    <row r="31" spans="2:24" ht="16.5">
      <c r="B31"/>
      <c r="C31"/>
      <c r="H31" s="97"/>
      <c r="I31" s="97"/>
      <c r="S31" s="1165" t="s">
        <v>524</v>
      </c>
      <c r="T31" s="1166"/>
      <c r="X31" s="97"/>
    </row>
    <row r="32" spans="2:24" ht="14.25">
      <c r="H32" s="97"/>
      <c r="I32" s="97"/>
      <c r="S32" s="1167" t="s">
        <v>918</v>
      </c>
      <c r="T32" s="1168"/>
      <c r="X32" s="97"/>
    </row>
    <row r="33" spans="2:24" ht="16.5">
      <c r="B33" s="1758" t="s">
        <v>919</v>
      </c>
      <c r="C33" s="1759" t="s">
        <v>920</v>
      </c>
      <c r="D33"/>
      <c r="S33" s="1165" t="s">
        <v>524</v>
      </c>
      <c r="T33" s="1166"/>
      <c r="X33" s="97"/>
    </row>
    <row r="34" spans="2:24" ht="16.5">
      <c r="B34" s="1760">
        <v>44440</v>
      </c>
      <c r="C34" s="1761">
        <v>27449.428999999989</v>
      </c>
      <c r="D34"/>
      <c r="S34" s="1167" t="s">
        <v>894</v>
      </c>
      <c r="T34" s="1168"/>
      <c r="X34" s="97"/>
    </row>
    <row r="35" spans="2:24" ht="16.5">
      <c r="B35" s="1760">
        <v>44470</v>
      </c>
      <c r="C35" s="1761">
        <v>27436.698999999993</v>
      </c>
      <c r="D35"/>
      <c r="S35" s="1165" t="s">
        <v>524</v>
      </c>
      <c r="T35" s="1166"/>
    </row>
    <row r="36" spans="2:24" ht="16.5">
      <c r="B36" s="1760">
        <v>44501</v>
      </c>
      <c r="C36" s="1761">
        <v>27773.555000000011</v>
      </c>
      <c r="D36"/>
      <c r="M36" s="97"/>
      <c r="S36" s="1167" t="s">
        <v>896</v>
      </c>
      <c r="T36" s="1168"/>
    </row>
    <row r="37" spans="2:24" ht="16.5">
      <c r="B37" s="1760">
        <v>44531</v>
      </c>
      <c r="C37" s="1761">
        <v>27149.897000000008</v>
      </c>
      <c r="D37"/>
      <c r="M37" s="97"/>
      <c r="S37" s="1165" t="s">
        <v>524</v>
      </c>
      <c r="T37" s="1166"/>
    </row>
    <row r="38" spans="2:24" ht="16.5">
      <c r="B38" s="1760">
        <v>44562</v>
      </c>
      <c r="C38" s="1761">
        <v>29351.427000000003</v>
      </c>
      <c r="D38"/>
      <c r="M38" s="97"/>
      <c r="S38" s="1167" t="s">
        <v>899</v>
      </c>
      <c r="T38" s="1168"/>
    </row>
    <row r="39" spans="2:24" ht="16.5">
      <c r="B39" s="1760">
        <v>44593</v>
      </c>
      <c r="C39" s="1761">
        <v>29390.044999999998</v>
      </c>
      <c r="D39"/>
      <c r="S39" s="1165" t="s">
        <v>524</v>
      </c>
      <c r="T39" s="1166"/>
    </row>
    <row r="40" spans="2:24" ht="16.5">
      <c r="B40" s="1760">
        <v>44621</v>
      </c>
      <c r="C40" s="1761">
        <v>31334.365999999998</v>
      </c>
      <c r="D40"/>
      <c r="S40" s="1167" t="s">
        <v>921</v>
      </c>
      <c r="T40" s="1168"/>
    </row>
    <row r="41" spans="2:24" ht="16.5">
      <c r="B41" s="1760">
        <v>44652</v>
      </c>
      <c r="C41" s="1761">
        <v>27796.749999999996</v>
      </c>
      <c r="D41"/>
      <c r="N41" s="97"/>
      <c r="O41" s="97"/>
      <c r="P41" s="97"/>
      <c r="Q41" s="97"/>
      <c r="R41" s="97"/>
      <c r="S41" s="1165" t="s">
        <v>524</v>
      </c>
      <c r="T41" s="1166"/>
    </row>
    <row r="42" spans="2:24" ht="16.5">
      <c r="B42" s="1760">
        <v>44682</v>
      </c>
      <c r="C42" s="1761">
        <v>27971.403999999995</v>
      </c>
      <c r="D42"/>
      <c r="N42" s="97"/>
      <c r="O42" s="97"/>
      <c r="P42" s="97"/>
      <c r="Q42" s="97"/>
      <c r="R42" s="97"/>
      <c r="S42" s="1167" t="s">
        <v>922</v>
      </c>
      <c r="T42" s="1168"/>
    </row>
    <row r="43" spans="2:24" ht="16.5">
      <c r="B43" s="1760">
        <v>44713</v>
      </c>
      <c r="C43" s="1761">
        <v>26739.928999999993</v>
      </c>
      <c r="D43"/>
      <c r="N43" s="97"/>
      <c r="O43" s="97"/>
      <c r="P43" s="97"/>
      <c r="Q43" s="97"/>
      <c r="R43" s="97"/>
      <c r="S43" s="1133" t="s">
        <v>875</v>
      </c>
      <c r="T43" s="1134" t="s">
        <v>876</v>
      </c>
    </row>
    <row r="44" spans="2:24" ht="16.5">
      <c r="B44" s="1760">
        <v>44743</v>
      </c>
      <c r="C44" s="1761">
        <v>27199.986000000001</v>
      </c>
      <c r="D44"/>
      <c r="S44" s="660" t="s">
        <v>538</v>
      </c>
      <c r="T44" s="661" t="s">
        <v>909</v>
      </c>
    </row>
    <row r="45" spans="2:24" ht="16.5">
      <c r="B45" s="1760">
        <v>44774</v>
      </c>
      <c r="C45" s="1761">
        <v>27199.986000000001</v>
      </c>
      <c r="D45"/>
      <c r="S45" s="1133" t="s">
        <v>875</v>
      </c>
      <c r="T45" s="1134" t="s">
        <v>876</v>
      </c>
    </row>
    <row r="46" spans="2:24" ht="16.5">
      <c r="B46" s="1760" t="s">
        <v>923</v>
      </c>
      <c r="C46" s="1761">
        <v>336793.473</v>
      </c>
      <c r="D46"/>
      <c r="S46" s="660" t="s">
        <v>535</v>
      </c>
      <c r="T46" s="661" t="s">
        <v>909</v>
      </c>
    </row>
    <row r="47" spans="2:24" ht="16.5">
      <c r="B47"/>
      <c r="C47"/>
      <c r="D47"/>
      <c r="S47" s="1133" t="s">
        <v>875</v>
      </c>
      <c r="T47" s="1134" t="s">
        <v>876</v>
      </c>
    </row>
    <row r="48" spans="2:24" ht="16.5">
      <c r="B48"/>
      <c r="C48"/>
      <c r="D48"/>
      <c r="S48" s="660" t="s">
        <v>537</v>
      </c>
      <c r="T48" s="661" t="s">
        <v>909</v>
      </c>
    </row>
    <row r="49" spans="2:21" ht="16.5">
      <c r="B49"/>
      <c r="C49"/>
      <c r="D49"/>
      <c r="S49" s="1133" t="s">
        <v>875</v>
      </c>
      <c r="T49" s="1134" t="s">
        <v>876</v>
      </c>
    </row>
    <row r="50" spans="2:21" ht="16.5">
      <c r="B50"/>
      <c r="C50"/>
      <c r="D50"/>
      <c r="S50" s="660" t="s">
        <v>533</v>
      </c>
      <c r="T50" s="661" t="s">
        <v>909</v>
      </c>
    </row>
    <row r="51" spans="2:21" ht="16.5">
      <c r="B51"/>
      <c r="C51"/>
      <c r="S51" s="1133" t="s">
        <v>875</v>
      </c>
      <c r="T51" s="1134" t="s">
        <v>876</v>
      </c>
    </row>
    <row r="52" spans="2:21" ht="16.5">
      <c r="B52"/>
      <c r="C52"/>
      <c r="S52" s="660" t="s">
        <v>880</v>
      </c>
      <c r="T52" s="661" t="s">
        <v>909</v>
      </c>
    </row>
    <row r="53" spans="2:21" ht="16.5">
      <c r="B53"/>
      <c r="C53"/>
      <c r="S53" s="1133" t="s">
        <v>875</v>
      </c>
      <c r="T53" s="1134" t="s">
        <v>876</v>
      </c>
    </row>
    <row r="54" spans="2:21" ht="14.25">
      <c r="S54" s="660" t="s">
        <v>897</v>
      </c>
      <c r="T54" s="661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9" t="s">
        <v>925</v>
      </c>
      <c r="C62" s="1169"/>
      <c r="D62" s="1169" t="s">
        <v>888</v>
      </c>
      <c r="E62" s="1169" t="s">
        <v>49</v>
      </c>
      <c r="F62" s="1169" t="s">
        <v>891</v>
      </c>
      <c r="G62" s="1169" t="s">
        <v>47</v>
      </c>
      <c r="H62" s="1169" t="s">
        <v>41</v>
      </c>
      <c r="I62" s="1169" t="s">
        <v>40</v>
      </c>
      <c r="J62" s="1169" t="s">
        <v>112</v>
      </c>
      <c r="K62" s="1169" t="s">
        <v>926</v>
      </c>
      <c r="L62" s="1169" t="s">
        <v>927</v>
      </c>
      <c r="M62" s="1169" t="s">
        <v>928</v>
      </c>
      <c r="N62" s="1169" t="s">
        <v>929</v>
      </c>
      <c r="O62" s="1169" t="s">
        <v>930</v>
      </c>
      <c r="P62" s="1169" t="s">
        <v>931</v>
      </c>
      <c r="Q62" s="1169" t="s">
        <v>932</v>
      </c>
      <c r="R62" s="1169" t="s">
        <v>933</v>
      </c>
      <c r="S62" s="1169" t="s">
        <v>2029</v>
      </c>
      <c r="T62" s="1169" t="s">
        <v>1053</v>
      </c>
      <c r="U62" s="1169" t="s">
        <v>2083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255059.6197702268</v>
      </c>
      <c r="H63" s="103">
        <f t="shared" ca="1" si="4"/>
        <v>1489015.9837962596</v>
      </c>
      <c r="I63" s="103">
        <f t="shared" ca="1" si="4"/>
        <v>16105.488164861597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5658.6478410000082</v>
      </c>
      <c r="O63" s="103">
        <f t="shared" ca="1" si="4"/>
        <v>66176.302989999982</v>
      </c>
      <c r="P63" s="103">
        <f t="shared" ca="1" si="4"/>
        <v>26948.936041999994</v>
      </c>
      <c r="Q63" s="103">
        <f t="shared" ca="1" si="4"/>
        <v>6848.8093200000003</v>
      </c>
      <c r="R63" s="103">
        <f t="shared" ca="1" si="4"/>
        <v>3709289.2233011439</v>
      </c>
      <c r="S63" s="103">
        <f ca="1">DSUM(MercadoBase,S$62,INDIRECT("P"&amp;5+2*(ROW()-65)&amp;":P"&amp;6+2*(ROW()-65)))</f>
        <v>778330.18819466128</v>
      </c>
      <c r="T63" s="103">
        <f t="shared" ca="1" si="4"/>
        <v>-1146915.6586148157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255112.46443057375</v>
      </c>
      <c r="H64" s="103">
        <f t="shared" ca="1" si="4"/>
        <v>1487875.1620922643</v>
      </c>
      <c r="I64" s="103">
        <f t="shared" ca="1" si="4"/>
        <v>16037.786401297402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5394.247179</v>
      </c>
      <c r="O64" s="103">
        <f t="shared" ca="1" si="4"/>
        <v>63517.887789999986</v>
      </c>
      <c r="P64" s="103">
        <f t="shared" ca="1" si="4"/>
        <v>20784.896110000001</v>
      </c>
      <c r="Q64" s="103">
        <f t="shared" ca="1" si="4"/>
        <v>6949.7473800000007</v>
      </c>
      <c r="R64" s="103">
        <f t="shared" ca="1" si="4"/>
        <v>3650634.1202096217</v>
      </c>
      <c r="S64" s="103">
        <f t="shared" ca="1" si="4"/>
        <v>777733.86419194378</v>
      </c>
      <c r="T64" s="103">
        <f t="shared" ca="1" si="4"/>
        <v>-1128779.4464880452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258631.34117941797</v>
      </c>
      <c r="H65" s="103">
        <f t="shared" ca="1" si="4"/>
        <v>1506644.5026827096</v>
      </c>
      <c r="I65" s="103">
        <f t="shared" ca="1" si="4"/>
        <v>16199.080597820628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5311.6919964000026</v>
      </c>
      <c r="O65" s="103">
        <f t="shared" ca="1" si="4"/>
        <v>69026.069909999991</v>
      </c>
      <c r="P65" s="103">
        <f t="shared" ca="1" si="4"/>
        <v>28403.108330000003</v>
      </c>
      <c r="Q65" s="103">
        <f t="shared" ca="1" si="4"/>
        <v>7094.5876100000005</v>
      </c>
      <c r="R65" s="103">
        <f t="shared" ca="1" si="4"/>
        <v>3671574.7406668835</v>
      </c>
      <c r="S65" s="103">
        <f t="shared" ca="1" si="4"/>
        <v>787544.86995214119</v>
      </c>
      <c r="T65" s="103">
        <f t="shared" ca="1" si="4"/>
        <v>-1135254.3057016847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252646.13259017019</v>
      </c>
      <c r="H66" s="103">
        <f t="shared" ca="1" si="4"/>
        <v>1476140.8783717561</v>
      </c>
      <c r="I66" s="103">
        <f t="shared" ca="1" si="4"/>
        <v>16027.86622715822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5290.8127140000051</v>
      </c>
      <c r="O66" s="103">
        <f t="shared" ca="1" si="4"/>
        <v>68519.200679999994</v>
      </c>
      <c r="P66" s="103">
        <f t="shared" ca="1" si="4"/>
        <v>33652.806096000008</v>
      </c>
      <c r="Q66" s="103">
        <f t="shared" ca="1" si="4"/>
        <v>7244.5221300000003</v>
      </c>
      <c r="R66" s="103">
        <f t="shared" ca="1" si="4"/>
        <v>3759842.2067782138</v>
      </c>
      <c r="S66" s="103">
        <f t="shared" ca="1" si="4"/>
        <v>771600.18439541943</v>
      </c>
      <c r="T66" s="103">
        <f t="shared" ca="1" si="4"/>
        <v>-1162546.6878630416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273146.34397241921</v>
      </c>
      <c r="H67" s="103">
        <f t="shared" ca="1" si="4"/>
        <v>1599951.668791903</v>
      </c>
      <c r="I67" s="103">
        <f t="shared" ca="1" si="4"/>
        <v>17619.805367673347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5421.1422125999998</v>
      </c>
      <c r="O67" s="103">
        <f t="shared" ca="1" si="4"/>
        <v>82053.948969999983</v>
      </c>
      <c r="P67" s="103">
        <f t="shared" ca="1" si="4"/>
        <v>38459.305159999996</v>
      </c>
      <c r="Q67" s="103">
        <f t="shared" ca="1" si="4"/>
        <v>7563.5442300000013</v>
      </c>
      <c r="R67" s="103">
        <f t="shared" ca="1" si="4"/>
        <v>4041061.2884861832</v>
      </c>
      <c r="S67" s="103">
        <f t="shared" ca="1" si="4"/>
        <v>836317.87504274095</v>
      </c>
      <c r="T67" s="103">
        <f t="shared" ca="1" si="4"/>
        <v>-1249499.8880303518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273517.48748617136</v>
      </c>
      <c r="H68" s="103">
        <f t="shared" ca="1" si="4"/>
        <v>1604699.8972543762</v>
      </c>
      <c r="I68" s="103">
        <f t="shared" ca="1" si="4"/>
        <v>17730.218324189907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5257.2582042000004</v>
      </c>
      <c r="O68" s="103">
        <f t="shared" ca="1" si="4"/>
        <v>72306.233089999994</v>
      </c>
      <c r="P68" s="103">
        <f t="shared" ca="1" si="4"/>
        <v>11404.858054</v>
      </c>
      <c r="Q68" s="103">
        <f t="shared" ca="1" si="4"/>
        <v>8352.2393400000019</v>
      </c>
      <c r="R68" s="103">
        <f t="shared" ca="1" si="4"/>
        <v>4074368.701068786</v>
      </c>
      <c r="S68" s="103">
        <f t="shared" ca="1" si="4"/>
        <v>838799.84272677219</v>
      </c>
      <c r="T68" s="103">
        <f t="shared" ca="1" si="4"/>
        <v>-1259798.5708073534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291003.99192525045</v>
      </c>
      <c r="H69" s="103">
        <f t="shared" ca="1" si="4"/>
        <v>1704329.6229493758</v>
      </c>
      <c r="I69" s="103">
        <f t="shared" ca="1" si="4"/>
        <v>18614.645340743438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5570.4291563999959</v>
      </c>
      <c r="O69" s="103">
        <f t="shared" ca="1" si="4"/>
        <v>71836.560389999984</v>
      </c>
      <c r="P69" s="103">
        <f t="shared" ca="1" si="4"/>
        <v>4585.5526279999995</v>
      </c>
      <c r="Q69" s="103">
        <f t="shared" ca="1" si="4"/>
        <v>10765.003410000001</v>
      </c>
      <c r="R69" s="103">
        <f t="shared" ca="1" si="4"/>
        <v>4118150.5625507971</v>
      </c>
      <c r="S69" s="103">
        <f t="shared" ca="1" si="4"/>
        <v>890877.7411468206</v>
      </c>
      <c r="T69" s="103">
        <f t="shared" ca="1" si="4"/>
        <v>-1273335.9628720076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257443.93236790839</v>
      </c>
      <c r="H70" s="103">
        <f t="shared" ca="1" si="4"/>
        <v>1505164.9058460887</v>
      </c>
      <c r="I70" s="103">
        <f t="shared" ca="1" si="4"/>
        <v>16369.268425018228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5178.7169477999969</v>
      </c>
      <c r="O70" s="103">
        <f t="shared" ca="1" si="4"/>
        <v>57948.372509999987</v>
      </c>
      <c r="P70" s="103">
        <f t="shared" ca="1" si="4"/>
        <v>1199.2742720000001</v>
      </c>
      <c r="Q70" s="103">
        <f t="shared" ca="1" si="4"/>
        <v>11930.59686</v>
      </c>
      <c r="R70" s="103">
        <f t="shared" ca="1" si="4"/>
        <v>3724331.0809868248</v>
      </c>
      <c r="S70" s="103">
        <f t="shared" ca="1" si="4"/>
        <v>786771.46328839054</v>
      </c>
      <c r="T70" s="103">
        <f t="shared" ca="1" si="4"/>
        <v>-1151566.6149236399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258868.52505089334</v>
      </c>
      <c r="H71" s="103">
        <f t="shared" ca="1" si="4"/>
        <v>1503132.1020102068</v>
      </c>
      <c r="I71" s="103">
        <f t="shared" ca="1" si="4"/>
        <v>16038.755236958255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5286.5733545999965</v>
      </c>
      <c r="O71" s="103">
        <f t="shared" ca="1" si="4"/>
        <v>48318.631059999985</v>
      </c>
      <c r="P71" s="103">
        <f t="shared" ca="1" si="4"/>
        <v>851.9234919999999</v>
      </c>
      <c r="Q71" s="103">
        <f t="shared" ca="1" si="4"/>
        <v>11936.362680000002</v>
      </c>
      <c r="R71" s="103">
        <f t="shared" ca="1" si="4"/>
        <v>3673115.6405758555</v>
      </c>
      <c r="S71" s="103">
        <f t="shared" ca="1" si="4"/>
        <v>785708.88732590096</v>
      </c>
      <c r="T71" s="103">
        <f t="shared" ca="1" si="4"/>
        <v>-1135730.7533787368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247199.5334935858</v>
      </c>
      <c r="H72" s="103">
        <f t="shared" ca="1" si="4"/>
        <v>1443380.1668592882</v>
      </c>
      <c r="I72" s="103">
        <f t="shared" ca="1" si="4"/>
        <v>15609.019150499864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5454.1795121999976</v>
      </c>
      <c r="O72" s="103">
        <f t="shared" ca="1" si="4"/>
        <v>47116.684929999996</v>
      </c>
      <c r="P72" s="103">
        <f t="shared" ca="1" si="4"/>
        <v>457.30166600000007</v>
      </c>
      <c r="Q72" s="103">
        <f t="shared" ca="1" si="4"/>
        <v>11794.944810000003</v>
      </c>
      <c r="R72" s="103">
        <f t="shared" ca="1" si="4"/>
        <v>3684936.9738431522</v>
      </c>
      <c r="S72" s="103">
        <f t="shared" ca="1" si="4"/>
        <v>754475.68671750952</v>
      </c>
      <c r="T72" s="103">
        <f t="shared" ca="1" si="4"/>
        <v>-1139385.920558691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251525.101625874</v>
      </c>
      <c r="H73" s="103">
        <f t="shared" ca="1" si="4"/>
        <v>1467332.4151702675</v>
      </c>
      <c r="I73" s="103">
        <f t="shared" ca="1" si="4"/>
        <v>15839.17768090024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5767.5203495999958</v>
      </c>
      <c r="O73" s="103">
        <f t="shared" ca="1" si="4"/>
        <v>47751.25095999999</v>
      </c>
      <c r="P73" s="103">
        <f t="shared" ca="1" si="4"/>
        <v>937.58593999999982</v>
      </c>
      <c r="Q73" s="103">
        <f t="shared" ca="1" si="4"/>
        <v>11183.177100000001</v>
      </c>
      <c r="R73" s="103">
        <f t="shared" ca="1" si="4"/>
        <v>3747665.1054140581</v>
      </c>
      <c r="S73" s="103">
        <f t="shared" ca="1" si="4"/>
        <v>766995.87329605792</v>
      </c>
      <c r="T73" s="103">
        <f t="shared" ca="1" si="4"/>
        <v>-1158781.5168584841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251525.101625874</v>
      </c>
      <c r="H74" s="103">
        <f t="shared" ca="1" si="4"/>
        <v>1467332.4151702675</v>
      </c>
      <c r="I74" s="103">
        <f t="shared" ca="1" si="4"/>
        <v>15839.17768090024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5767.5203495999958</v>
      </c>
      <c r="O74" s="103">
        <f t="shared" ca="1" si="4"/>
        <v>47751.25095999999</v>
      </c>
      <c r="P74" s="103">
        <f t="shared" ca="1" si="4"/>
        <v>937.58593999999982</v>
      </c>
      <c r="Q74" s="103">
        <f t="shared" ca="1" si="4"/>
        <v>11183.177100000001</v>
      </c>
      <c r="R74" s="103">
        <f t="shared" ca="1" si="4"/>
        <v>3747665.1054140581</v>
      </c>
      <c r="S74" s="103">
        <f t="shared" ca="1" si="4"/>
        <v>766995.87329605792</v>
      </c>
      <c r="T74" s="103">
        <f t="shared" ca="1" si="4"/>
        <v>-1158781.5168584841</v>
      </c>
      <c r="U74" s="103">
        <f t="shared" ca="1" si="4"/>
        <v>0</v>
      </c>
    </row>
    <row r="75" spans="2:21" ht="14.25">
      <c r="B75" s="1170" t="s">
        <v>934</v>
      </c>
      <c r="C75" s="1171"/>
      <c r="D75" s="1171">
        <f t="shared" ref="D75:Q75" ca="1" si="5">SUM(D63:D74)</f>
        <v>0</v>
      </c>
      <c r="E75" s="1171">
        <f t="shared" ca="1" si="5"/>
        <v>0</v>
      </c>
      <c r="F75" s="1171">
        <f t="shared" ca="1" si="5"/>
        <v>0</v>
      </c>
      <c r="G75" s="1171">
        <f t="shared" ca="1" si="5"/>
        <v>3125679.5755183659</v>
      </c>
      <c r="H75" s="1171">
        <f t="shared" ca="1" si="5"/>
        <v>18254999.720994767</v>
      </c>
      <c r="I75" s="1171">
        <f t="shared" ca="1" si="5"/>
        <v>198030.28859802135</v>
      </c>
      <c r="J75" s="1171">
        <f t="shared" ca="1" si="5"/>
        <v>0</v>
      </c>
      <c r="K75" s="1171">
        <f t="shared" ca="1" si="5"/>
        <v>0</v>
      </c>
      <c r="L75" s="1171">
        <f t="shared" ca="1" si="5"/>
        <v>0</v>
      </c>
      <c r="M75" s="1171">
        <f t="shared" ca="1" si="5"/>
        <v>0</v>
      </c>
      <c r="N75" s="1171">
        <f t="shared" ca="1" si="5"/>
        <v>65358.739817399997</v>
      </c>
      <c r="O75" s="1171">
        <f t="shared" ca="1" si="5"/>
        <v>742322.39423999982</v>
      </c>
      <c r="P75" s="1171">
        <f t="shared" ca="1" si="5"/>
        <v>168623.13373000003</v>
      </c>
      <c r="Q75" s="1171">
        <f t="shared" ca="1" si="5"/>
        <v>112846.71197000002</v>
      </c>
      <c r="R75" s="1171">
        <f t="shared" ref="R75:S75" ca="1" si="6">SUM(R63:R74)</f>
        <v>45602634.74929557</v>
      </c>
      <c r="S75" s="1171">
        <f t="shared" ca="1" si="6"/>
        <v>9542152.349574415</v>
      </c>
      <c r="T75" s="1171">
        <f t="shared" ref="T75:U75" ca="1" si="7">SUM(T63:T74)</f>
        <v>-14100376.842955336</v>
      </c>
      <c r="U75" s="1171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2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3" t="s">
        <v>937</v>
      </c>
      <c r="C79" s="1174">
        <f t="shared" ref="C79:C84" ca="1" si="8">SUM(INDIRECT("dados_MercadoBase["&amp;B79&amp;"]"))</f>
        <v>42542751.167581305</v>
      </c>
      <c r="J79" s="94" t="s">
        <v>938</v>
      </c>
      <c r="K79" s="1175"/>
      <c r="L79" s="1175"/>
      <c r="M79" s="1175">
        <f>SUMIFS(M63:M74,$B$63:$B$74,42826)</f>
        <v>0</v>
      </c>
      <c r="N79" s="1175">
        <f>SUMIFS(N63:N74,$B$63:$B$74,42826)</f>
        <v>0</v>
      </c>
      <c r="O79" s="1175">
        <f>SUMIFS(O63:O74,$B$63:$B$74,42826)</f>
        <v>0</v>
      </c>
      <c r="P79" s="1175">
        <f>SUMIFS(P63:P74,$B$63:$B$74,42826)</f>
        <v>0</v>
      </c>
      <c r="Q79" s="1175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2569359.9729228858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6"/>
      <c r="C85" s="1177"/>
    </row>
    <row r="86" spans="2:13" ht="14.25"/>
    <row r="87" spans="2:13" ht="14.25">
      <c r="B87" s="1173" t="s">
        <v>943</v>
      </c>
      <c r="C87" s="1174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1255483.8065595005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6723860.7861371934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0</v>
      </c>
      <c r="E96" s="105"/>
      <c r="G96" s="105"/>
    </row>
    <row r="97" spans="1:7" ht="14.25">
      <c r="B97" s="1176" t="s">
        <v>953</v>
      </c>
      <c r="C97" s="1177">
        <f t="shared" ca="1" si="9"/>
        <v>45602634.74929557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5" t="s">
        <v>955</v>
      </c>
      <c r="C101" s="1166" t="s">
        <v>874</v>
      </c>
      <c r="D101" s="230"/>
    </row>
    <row r="102" spans="1:7" ht="12.75" customHeight="1">
      <c r="A102" s="230"/>
      <c r="B102" s="1167" t="s">
        <v>956</v>
      </c>
      <c r="C102" s="1178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7" t="s">
        <v>778</v>
      </c>
      <c r="C111" s="1137" t="s">
        <v>108</v>
      </c>
      <c r="D111" s="1137" t="s">
        <v>884</v>
      </c>
    </row>
    <row r="112" spans="1:7" ht="12.75" customHeight="1">
      <c r="B112" s="1139" t="s">
        <v>909</v>
      </c>
      <c r="C112" s="1140"/>
      <c r="D112" s="1141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2" t="s">
        <v>769</v>
      </c>
      <c r="C120" s="1163">
        <f ca="1">SUM(C114:C119)</f>
        <v>0</v>
      </c>
      <c r="D120" s="1164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A3" sqref="A3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89"/>
      <c r="S1" s="489"/>
      <c r="T1" s="489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2083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2029</v>
      </c>
      <c r="EQ2" s="261" t="s">
        <v>2030</v>
      </c>
      <c r="ER2" s="261" t="s">
        <v>2031</v>
      </c>
      <c r="ES2" s="261" t="s">
        <v>2032</v>
      </c>
      <c r="ET2" s="261" t="s">
        <v>2033</v>
      </c>
      <c r="EU2" s="261" t="s">
        <v>2034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2328</v>
      </c>
      <c r="D3" s="399" t="s">
        <v>1823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2329</v>
      </c>
      <c r="K3" s="789">
        <v>44440</v>
      </c>
      <c r="L3" s="399">
        <v>0</v>
      </c>
      <c r="M3" s="399">
        <v>0</v>
      </c>
      <c r="N3" s="399">
        <v>4595.1440000000002</v>
      </c>
      <c r="O3" s="399">
        <v>4595.1440000000002</v>
      </c>
      <c r="P3" s="399">
        <v>4595.1440000000002</v>
      </c>
      <c r="Q3" s="399">
        <v>4595.1440000000002</v>
      </c>
      <c r="R3" s="399"/>
      <c r="S3" s="399">
        <v>333.61</v>
      </c>
      <c r="T3" s="399">
        <v>128.11000000000001</v>
      </c>
      <c r="U3" s="399"/>
      <c r="V3" s="399">
        <v>2121669.8876800002</v>
      </c>
      <c r="W3" s="399">
        <v>2121669.8876800002</v>
      </c>
      <c r="X3" s="399">
        <v>1851980.88632</v>
      </c>
      <c r="Y3" s="399">
        <v>0</v>
      </c>
      <c r="Z3" s="399">
        <v>281296.56692157895</v>
      </c>
      <c r="AA3" s="399">
        <v>0</v>
      </c>
      <c r="AB3" s="399">
        <v>0</v>
      </c>
      <c r="AC3" s="399">
        <v>0</v>
      </c>
      <c r="AD3" s="399">
        <v>0</v>
      </c>
      <c r="AE3" s="399">
        <v>893738.03847710509</v>
      </c>
      <c r="AF3" s="399">
        <v>588688.70631440112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43441.804002890967</v>
      </c>
      <c r="AM3" s="399"/>
      <c r="AN3" s="399">
        <v>3953.6063251432042</v>
      </c>
      <c r="AO3" s="399">
        <v>15972.81322077876</v>
      </c>
      <c r="AP3" s="399">
        <v>85206.080637767969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62348.617841262516</v>
      </c>
      <c r="BH3" s="399">
        <v>0</v>
      </c>
      <c r="BI3" s="399">
        <v>0</v>
      </c>
      <c r="BJ3" s="399">
        <v>0</v>
      </c>
      <c r="BK3" s="399">
        <v>511157.95</v>
      </c>
      <c r="BL3" s="399">
        <v>20586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651037.32415566361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1851979.2742000001</v>
      </c>
      <c r="CJ3" s="399">
        <v>-269690.64347999985</v>
      </c>
      <c r="CK3" s="399"/>
      <c r="CL3" s="399"/>
      <c r="CM3" s="399"/>
      <c r="CN3" s="399"/>
      <c r="CO3" s="399">
        <v>-296616.54520000005</v>
      </c>
      <c r="CP3" s="399">
        <v>26927.543839999933</v>
      </c>
      <c r="CQ3" s="399">
        <v>30</v>
      </c>
      <c r="CR3" s="399">
        <v>6622.1396541711874</v>
      </c>
      <c r="CS3" s="399">
        <v>1165.9484412543316</v>
      </c>
      <c r="CT3" s="399">
        <v>6219.6868849479943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0</v>
      </c>
      <c r="DA3" s="399">
        <v>0</v>
      </c>
      <c r="DB3" s="399">
        <v>0</v>
      </c>
      <c r="DC3" s="399">
        <v>26924.944171952433</v>
      </c>
      <c r="DD3" s="399">
        <v>0</v>
      </c>
      <c r="DE3" s="399">
        <v>0</v>
      </c>
      <c r="DF3" s="399">
        <v>0</v>
      </c>
      <c r="DG3" s="399">
        <v>2851.6481402948993</v>
      </c>
      <c r="DH3" s="399">
        <v>0</v>
      </c>
      <c r="DI3" s="399">
        <v>-26608.174909688445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-3468.6795165211515</v>
      </c>
      <c r="DP3" s="399">
        <v>-463.23355806865402</v>
      </c>
      <c r="DQ3" s="399">
        <v>0</v>
      </c>
      <c r="DR3" s="399">
        <v>0</v>
      </c>
      <c r="DS3" s="399"/>
      <c r="DT3" s="399"/>
      <c r="DU3" s="399"/>
      <c r="DV3" s="399">
        <v>893738.03847710509</v>
      </c>
      <c r="DW3" s="399">
        <v>0</v>
      </c>
      <c r="DX3" s="399">
        <v>0</v>
      </c>
      <c r="DY3" s="399">
        <v>-296616.54520000005</v>
      </c>
      <c r="DZ3" s="399">
        <v>26927.54383999994</v>
      </c>
      <c r="EA3" s="399">
        <v>0</v>
      </c>
      <c r="EB3" s="399">
        <v>0</v>
      </c>
      <c r="EC3" s="399">
        <v>-276344.62812711892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147037.78351149143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230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2330</v>
      </c>
      <c r="C4" s="399" t="s">
        <v>2328</v>
      </c>
      <c r="D4" s="399" t="s">
        <v>1823</v>
      </c>
      <c r="E4" s="399" t="s">
        <v>889</v>
      </c>
      <c r="F4" s="399" t="s">
        <v>889</v>
      </c>
      <c r="G4" s="399" t="s">
        <v>1239</v>
      </c>
      <c r="H4" s="399" t="s">
        <v>1239</v>
      </c>
      <c r="I4" s="399" t="s">
        <v>1239</v>
      </c>
      <c r="J4" s="399" t="s">
        <v>2329</v>
      </c>
      <c r="K4" s="789">
        <v>44440</v>
      </c>
      <c r="L4" s="399">
        <v>0</v>
      </c>
      <c r="M4" s="399">
        <v>0</v>
      </c>
      <c r="N4" s="399">
        <v>-2.5339999999999998</v>
      </c>
      <c r="O4" s="399">
        <v>-2.5339999999999998</v>
      </c>
      <c r="P4" s="399">
        <v>-2.5339999999999998</v>
      </c>
      <c r="Q4" s="399">
        <v>-2.5339999999999998</v>
      </c>
      <c r="R4" s="399"/>
      <c r="S4" s="399">
        <v>333.61</v>
      </c>
      <c r="T4" s="399">
        <v>128.11000000000001</v>
      </c>
      <c r="U4" s="399"/>
      <c r="V4" s="399">
        <v>-1169.99848</v>
      </c>
      <c r="W4" s="399">
        <v>-1169.99848</v>
      </c>
      <c r="X4" s="399">
        <v>-1021.2780199999999</v>
      </c>
      <c r="Y4" s="399">
        <v>0</v>
      </c>
      <c r="Z4" s="399">
        <v>-155.12147183619948</v>
      </c>
      <c r="AA4" s="399">
        <v>0</v>
      </c>
      <c r="AB4" s="399">
        <v>0</v>
      </c>
      <c r="AC4" s="399">
        <v>0</v>
      </c>
      <c r="AD4" s="399">
        <v>0</v>
      </c>
      <c r="AE4" s="399">
        <v>-492.8533664017894</v>
      </c>
      <c r="AF4" s="399">
        <v>-324.63339164141365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-23.956056946926079</v>
      </c>
      <c r="AM4" s="399"/>
      <c r="AN4" s="399">
        <v>-2.1802229544738703</v>
      </c>
      <c r="AO4" s="399">
        <v>-8.8082351067677909</v>
      </c>
      <c r="AP4" s="399">
        <v>-46.987038564211261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-34.382251700873617</v>
      </c>
      <c r="BH4" s="399">
        <v>0</v>
      </c>
      <c r="BI4" s="399">
        <v>0</v>
      </c>
      <c r="BJ4" s="399">
        <v>0</v>
      </c>
      <c r="BK4" s="399">
        <v>-384.51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-359.01564334228726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-1019.6659</v>
      </c>
      <c r="CJ4" s="399">
        <v>150.30258000000003</v>
      </c>
      <c r="CK4" s="399"/>
      <c r="CL4" s="399"/>
      <c r="CM4" s="399"/>
      <c r="CN4" s="399"/>
      <c r="CO4" s="399">
        <v>163.56970000000001</v>
      </c>
      <c r="CP4" s="399">
        <v>-14.849239999999961</v>
      </c>
      <c r="CQ4" s="399">
        <v>30</v>
      </c>
      <c r="CR4" s="399">
        <v>-3.6517902123785007</v>
      </c>
      <c r="CS4" s="399">
        <v>-0.64296425751586384</v>
      </c>
      <c r="CT4" s="399">
        <v>-3.4298569460409141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0</v>
      </c>
      <c r="DA4" s="399">
        <v>0</v>
      </c>
      <c r="DB4" s="399">
        <v>0</v>
      </c>
      <c r="DC4" s="399">
        <v>-14.847806408619078</v>
      </c>
      <c r="DD4" s="399">
        <v>0</v>
      </c>
      <c r="DE4" s="399">
        <v>0</v>
      </c>
      <c r="DF4" s="399">
        <v>0</v>
      </c>
      <c r="DG4" s="399">
        <v>-1.5725462330467295</v>
      </c>
      <c r="DH4" s="399">
        <v>0</v>
      </c>
      <c r="DI4" s="399">
        <v>14.673123458405342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1.912809238375246</v>
      </c>
      <c r="DP4" s="399">
        <v>0.25545093606336788</v>
      </c>
      <c r="DQ4" s="399">
        <v>0</v>
      </c>
      <c r="DR4" s="399">
        <v>0</v>
      </c>
      <c r="DS4" s="399"/>
      <c r="DT4" s="399"/>
      <c r="DU4" s="399"/>
      <c r="DV4" s="399">
        <v>-492.8533664017894</v>
      </c>
      <c r="DW4" s="399">
        <v>0</v>
      </c>
      <c r="DX4" s="399">
        <v>0</v>
      </c>
      <c r="DY4" s="399">
        <v>163.56970000000013</v>
      </c>
      <c r="DZ4" s="399">
        <v>-14.849239999999952</v>
      </c>
      <c r="EA4" s="399">
        <v>0</v>
      </c>
      <c r="EB4" s="399">
        <v>0</v>
      </c>
      <c r="EC4" s="399">
        <v>152.39071673795632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-81.084236624166564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230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2331</v>
      </c>
      <c r="C5" s="399" t="s">
        <v>2328</v>
      </c>
      <c r="D5" s="399" t="s">
        <v>1823</v>
      </c>
      <c r="E5" s="399" t="s">
        <v>889</v>
      </c>
      <c r="F5" s="399" t="s">
        <v>889</v>
      </c>
      <c r="G5" s="399" t="s">
        <v>1239</v>
      </c>
      <c r="H5" s="399" t="s">
        <v>1239</v>
      </c>
      <c r="I5" s="399" t="s">
        <v>1239</v>
      </c>
      <c r="J5" s="399" t="s">
        <v>2329</v>
      </c>
      <c r="K5" s="789">
        <v>44440</v>
      </c>
      <c r="L5" s="399">
        <v>0</v>
      </c>
      <c r="M5" s="399">
        <v>0</v>
      </c>
      <c r="N5" s="399">
        <v>20.265999999999998</v>
      </c>
      <c r="O5" s="399">
        <v>20.265999999999998</v>
      </c>
      <c r="P5" s="399">
        <v>20.265999999999998</v>
      </c>
      <c r="Q5" s="399">
        <v>20.265999999999998</v>
      </c>
      <c r="R5" s="399"/>
      <c r="S5" s="399">
        <v>333.61</v>
      </c>
      <c r="T5" s="399">
        <v>128.11000000000001</v>
      </c>
      <c r="U5" s="399"/>
      <c r="V5" s="399">
        <v>9357.2175199999983</v>
      </c>
      <c r="W5" s="399">
        <v>9357.2175199999983</v>
      </c>
      <c r="X5" s="399">
        <v>8167.8059799999992</v>
      </c>
      <c r="Y5" s="399">
        <v>0</v>
      </c>
      <c r="Z5" s="399">
        <v>1240.6044783869054</v>
      </c>
      <c r="AA5" s="399">
        <v>0</v>
      </c>
      <c r="AB5" s="399">
        <v>0</v>
      </c>
      <c r="AC5" s="399">
        <v>0</v>
      </c>
      <c r="AD5" s="399">
        <v>0</v>
      </c>
      <c r="AE5" s="399">
        <v>3941.6599540247294</v>
      </c>
      <c r="AF5" s="399">
        <v>2596.2984668527583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191.59173247292972</v>
      </c>
      <c r="AM5" s="399"/>
      <c r="AN5" s="399">
        <v>17.436621308353377</v>
      </c>
      <c r="AO5" s="399">
        <v>70.445024733131831</v>
      </c>
      <c r="AP5" s="399">
        <v>375.78505270019946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274.9766033819671</v>
      </c>
      <c r="BH5" s="399">
        <v>0</v>
      </c>
      <c r="BI5" s="399">
        <v>0</v>
      </c>
      <c r="BJ5" s="399">
        <v>0</v>
      </c>
      <c r="BK5" s="399">
        <v>4272.21</v>
      </c>
      <c r="BL5" s="399">
        <v>41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2871.2750702347253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8169.4180999999999</v>
      </c>
      <c r="CJ5" s="399">
        <v>-1187.8294199999991</v>
      </c>
      <c r="CK5" s="399"/>
      <c r="CL5" s="399"/>
      <c r="CM5" s="399"/>
      <c r="CN5" s="399"/>
      <c r="CO5" s="399">
        <v>-1308.1703000000002</v>
      </c>
      <c r="CP5" s="399">
        <v>118.7587599999997</v>
      </c>
      <c r="CQ5" s="399">
        <v>30</v>
      </c>
      <c r="CR5" s="399">
        <v>29.205674997659116</v>
      </c>
      <c r="CS5" s="399">
        <v>5.1421916506773755</v>
      </c>
      <c r="CT5" s="399">
        <v>27.43073436008882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0</v>
      </c>
      <c r="DA5" s="399">
        <v>0</v>
      </c>
      <c r="DB5" s="399">
        <v>0</v>
      </c>
      <c r="DC5" s="399">
        <v>118.74729466340705</v>
      </c>
      <c r="DD5" s="399">
        <v>0</v>
      </c>
      <c r="DE5" s="399">
        <v>0</v>
      </c>
      <c r="DF5" s="399">
        <v>0</v>
      </c>
      <c r="DG5" s="399">
        <v>12.576646392630266</v>
      </c>
      <c r="DH5" s="399">
        <v>0</v>
      </c>
      <c r="DI5" s="399">
        <v>-117.35024467562835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-15.297944761212619</v>
      </c>
      <c r="DP5" s="399">
        <v>-2.0430026323047414</v>
      </c>
      <c r="DQ5" s="399">
        <v>0</v>
      </c>
      <c r="DR5" s="399">
        <v>0</v>
      </c>
      <c r="DS5" s="399"/>
      <c r="DT5" s="399"/>
      <c r="DU5" s="399"/>
      <c r="DV5" s="399">
        <v>3941.6599540247294</v>
      </c>
      <c r="DW5" s="399">
        <v>0</v>
      </c>
      <c r="DX5" s="399">
        <v>0</v>
      </c>
      <c r="DY5" s="399">
        <v>-1308.1702999999998</v>
      </c>
      <c r="DZ5" s="399">
        <v>118.75875999999971</v>
      </c>
      <c r="EA5" s="399">
        <v>0</v>
      </c>
      <c r="EB5" s="399">
        <v>0</v>
      </c>
      <c r="EC5" s="399">
        <v>-1218.764903477278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648.48190190424612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230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2328</v>
      </c>
      <c r="D6" s="399" t="s">
        <v>1823</v>
      </c>
      <c r="E6" s="399" t="s">
        <v>889</v>
      </c>
      <c r="F6" s="399" t="s">
        <v>2332</v>
      </c>
      <c r="G6" s="399" t="s">
        <v>1239</v>
      </c>
      <c r="H6" s="399" t="s">
        <v>1239</v>
      </c>
      <c r="I6" s="399" t="s">
        <v>1239</v>
      </c>
      <c r="J6" s="399" t="s">
        <v>2329</v>
      </c>
      <c r="K6" s="789">
        <v>44440</v>
      </c>
      <c r="L6" s="399">
        <v>0</v>
      </c>
      <c r="M6" s="399">
        <v>0</v>
      </c>
      <c r="N6" s="399">
        <v>12.63</v>
      </c>
      <c r="O6" s="399">
        <v>12.63</v>
      </c>
      <c r="P6" s="399">
        <v>12.63</v>
      </c>
      <c r="Q6" s="399">
        <v>12.63</v>
      </c>
      <c r="R6" s="399"/>
      <c r="S6" s="399">
        <v>230.94</v>
      </c>
      <c r="T6" s="399">
        <v>128.11000000000001</v>
      </c>
      <c r="U6" s="399"/>
      <c r="V6" s="399">
        <v>4534.8015000000005</v>
      </c>
      <c r="W6" s="399">
        <v>4534.8015000000005</v>
      </c>
      <c r="X6" s="399">
        <v>3876.1469999999999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0</v>
      </c>
      <c r="AE6" s="399">
        <v>2456.4869840783745</v>
      </c>
      <c r="AF6" s="399">
        <v>1618.0425163500613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10.86669925611878</v>
      </c>
      <c r="AO6" s="399">
        <v>43.902134727102293</v>
      </c>
      <c r="AP6" s="399">
        <v>234.19348739778545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171.36852367088943</v>
      </c>
      <c r="BH6" s="399">
        <v>0</v>
      </c>
      <c r="BI6" s="399">
        <v>0</v>
      </c>
      <c r="BJ6" s="399">
        <v>0</v>
      </c>
      <c r="BK6" s="399">
        <v>199.17</v>
      </c>
      <c r="BL6" s="399">
        <v>10</v>
      </c>
      <c r="BM6" s="399"/>
      <c r="BN6" s="399"/>
      <c r="BO6" s="399"/>
      <c r="BP6" s="399"/>
      <c r="BQ6" s="399"/>
      <c r="BR6" s="399"/>
      <c r="BS6" s="399"/>
      <c r="BT6" s="399">
        <v>2519.4324000000001</v>
      </c>
      <c r="BU6" s="399"/>
      <c r="BV6" s="399">
        <v>1789.4110400209506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1356.7146000000002</v>
      </c>
      <c r="CJ6" s="399">
        <v>-230.52749999999992</v>
      </c>
      <c r="CK6" s="399"/>
      <c r="CL6" s="399"/>
      <c r="CM6" s="399"/>
      <c r="CN6" s="399"/>
      <c r="CO6" s="399">
        <v>-732.66629999999998</v>
      </c>
      <c r="CP6" s="399">
        <v>74.011799999999823</v>
      </c>
      <c r="CQ6" s="399">
        <v>30</v>
      </c>
      <c r="CR6" s="399">
        <v>100.86915562063177</v>
      </c>
      <c r="CS6" s="399">
        <v>3.2046718912491556</v>
      </c>
      <c r="CT6" s="399">
        <v>17.095143341948187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0</v>
      </c>
      <c r="DA6" s="399">
        <v>0</v>
      </c>
      <c r="DB6" s="399">
        <v>0</v>
      </c>
      <c r="DC6" s="399">
        <v>74.004654672793549</v>
      </c>
      <c r="DD6" s="399">
        <v>0</v>
      </c>
      <c r="DE6" s="399">
        <v>0</v>
      </c>
      <c r="DF6" s="399">
        <v>0</v>
      </c>
      <c r="DG6" s="399">
        <v>7.8379080202763305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-1.2732223056354925</v>
      </c>
      <c r="DQ6" s="399">
        <v>0</v>
      </c>
      <c r="DR6" s="399">
        <v>0</v>
      </c>
      <c r="DS6" s="399"/>
      <c r="DT6" s="399"/>
      <c r="DU6" s="399"/>
      <c r="DV6" s="399">
        <v>2456.4869840783745</v>
      </c>
      <c r="DW6" s="399">
        <v>0</v>
      </c>
      <c r="DX6" s="399">
        <v>0</v>
      </c>
      <c r="DY6" s="399">
        <v>-732.66630000000032</v>
      </c>
      <c r="DZ6" s="399">
        <v>74.011799999999766</v>
      </c>
      <c r="EA6" s="399">
        <v>0</v>
      </c>
      <c r="EB6" s="399">
        <v>0</v>
      </c>
      <c r="EC6" s="399">
        <v>-759.54804751396546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230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2328</v>
      </c>
      <c r="D7" s="399" t="s">
        <v>1823</v>
      </c>
      <c r="E7" s="399" t="s">
        <v>889</v>
      </c>
      <c r="F7" s="399" t="s">
        <v>2333</v>
      </c>
      <c r="G7" s="399" t="s">
        <v>1239</v>
      </c>
      <c r="H7" s="399" t="s">
        <v>1239</v>
      </c>
      <c r="I7" s="399" t="s">
        <v>1239</v>
      </c>
      <c r="J7" s="399" t="s">
        <v>2329</v>
      </c>
      <c r="K7" s="789">
        <v>44440</v>
      </c>
      <c r="L7" s="399">
        <v>0</v>
      </c>
      <c r="M7" s="399">
        <v>0</v>
      </c>
      <c r="N7" s="399">
        <v>27.273</v>
      </c>
      <c r="O7" s="399">
        <v>27.273</v>
      </c>
      <c r="P7" s="399">
        <v>27.273</v>
      </c>
      <c r="Q7" s="399">
        <v>27.273</v>
      </c>
      <c r="R7" s="399"/>
      <c r="S7" s="399">
        <v>230.94</v>
      </c>
      <c r="T7" s="399">
        <v>128.11000000000001</v>
      </c>
      <c r="U7" s="399"/>
      <c r="V7" s="399">
        <v>9792.3706500000008</v>
      </c>
      <c r="W7" s="399">
        <v>9792.3706500000008</v>
      </c>
      <c r="X7" s="399">
        <v>8370.0836999999992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0</v>
      </c>
      <c r="AE7" s="399">
        <v>5304.4948152628267</v>
      </c>
      <c r="AF7" s="399">
        <v>3493.9725691540157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23.465359367547698</v>
      </c>
      <c r="AO7" s="399">
        <v>94.801498053227292</v>
      </c>
      <c r="AP7" s="399">
        <v>505.71330022167871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370.05017783659281</v>
      </c>
      <c r="BH7" s="399">
        <v>0</v>
      </c>
      <c r="BI7" s="399">
        <v>0</v>
      </c>
      <c r="BJ7" s="399">
        <v>0</v>
      </c>
      <c r="BK7" s="399">
        <v>758.44</v>
      </c>
      <c r="BL7" s="399">
        <v>56</v>
      </c>
      <c r="BM7" s="399"/>
      <c r="BN7" s="399"/>
      <c r="BO7" s="399"/>
      <c r="BP7" s="399"/>
      <c r="BQ7" s="399"/>
      <c r="BR7" s="399"/>
      <c r="BS7" s="399"/>
      <c r="BT7" s="399">
        <v>3348.0334800000001</v>
      </c>
      <c r="BU7" s="399"/>
      <c r="BV7" s="399">
        <v>3864.0227469906085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5021.4978000000001</v>
      </c>
      <c r="CJ7" s="399">
        <v>-854.22732000000087</v>
      </c>
      <c r="CK7" s="399"/>
      <c r="CL7" s="399"/>
      <c r="CM7" s="399"/>
      <c r="CN7" s="399"/>
      <c r="CO7" s="399">
        <v>-1582.1067299999997</v>
      </c>
      <c r="CP7" s="399">
        <v>159.81977999999958</v>
      </c>
      <c r="CQ7" s="399">
        <v>30</v>
      </c>
      <c r="CR7" s="399">
        <v>217.81508165015748</v>
      </c>
      <c r="CS7" s="399">
        <v>6.9201121528138003</v>
      </c>
      <c r="CT7" s="399">
        <v>36.914952047898112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0</v>
      </c>
      <c r="DA7" s="399">
        <v>0</v>
      </c>
      <c r="DB7" s="399">
        <v>0</v>
      </c>
      <c r="DC7" s="399">
        <v>159.80435050602546</v>
      </c>
      <c r="DD7" s="399">
        <v>0</v>
      </c>
      <c r="DE7" s="399">
        <v>0</v>
      </c>
      <c r="DF7" s="399">
        <v>0</v>
      </c>
      <c r="DG7" s="399">
        <v>16.925040810530163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-2.7493738671097994</v>
      </c>
      <c r="DQ7" s="399">
        <v>0</v>
      </c>
      <c r="DR7" s="399">
        <v>0</v>
      </c>
      <c r="DS7" s="399"/>
      <c r="DT7" s="399"/>
      <c r="DU7" s="399"/>
      <c r="DV7" s="399">
        <v>5304.4948152628267</v>
      </c>
      <c r="DW7" s="399">
        <v>0</v>
      </c>
      <c r="DX7" s="399">
        <v>0</v>
      </c>
      <c r="DY7" s="399">
        <v>-1582.1067300000004</v>
      </c>
      <c r="DZ7" s="399">
        <v>159.81977999999981</v>
      </c>
      <c r="EA7" s="399">
        <v>0</v>
      </c>
      <c r="EB7" s="399">
        <v>0</v>
      </c>
      <c r="EC7" s="399">
        <v>-1640.1547030758811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230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2328</v>
      </c>
      <c r="D8" s="399" t="s">
        <v>1823</v>
      </c>
      <c r="E8" s="399" t="s">
        <v>889</v>
      </c>
      <c r="F8" s="399" t="s">
        <v>2334</v>
      </c>
      <c r="G8" s="399" t="s">
        <v>1239</v>
      </c>
      <c r="H8" s="399" t="s">
        <v>1239</v>
      </c>
      <c r="I8" s="399" t="s">
        <v>1239</v>
      </c>
      <c r="J8" s="399" t="s">
        <v>2329</v>
      </c>
      <c r="K8" s="789">
        <v>44440</v>
      </c>
      <c r="L8" s="399">
        <v>0</v>
      </c>
      <c r="M8" s="399">
        <v>0</v>
      </c>
      <c r="N8" s="399">
        <v>31.975999999999999</v>
      </c>
      <c r="O8" s="399">
        <v>31.975999999999999</v>
      </c>
      <c r="P8" s="399">
        <v>31.975999999999999</v>
      </c>
      <c r="Q8" s="399">
        <v>31.975999999999999</v>
      </c>
      <c r="R8" s="399"/>
      <c r="S8" s="399">
        <v>230.94</v>
      </c>
      <c r="T8" s="399">
        <v>128.11000000000001</v>
      </c>
      <c r="U8" s="399"/>
      <c r="V8" s="399">
        <v>11480.982800000002</v>
      </c>
      <c r="W8" s="399">
        <v>11480.982800000002</v>
      </c>
      <c r="X8" s="399">
        <v>9813.4344000000001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0</v>
      </c>
      <c r="AE8" s="399">
        <v>6219.210435699928</v>
      </c>
      <c r="AF8" s="399">
        <v>4096.4788204916513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27.51176369070895</v>
      </c>
      <c r="AO8" s="399">
        <v>111.1492209052908</v>
      </c>
      <c r="AP8" s="399">
        <v>592.91931536275433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433.86222588284721</v>
      </c>
      <c r="BH8" s="399">
        <v>0</v>
      </c>
      <c r="BI8" s="399">
        <v>0</v>
      </c>
      <c r="BJ8" s="399">
        <v>0</v>
      </c>
      <c r="BK8" s="399">
        <v>2522.31</v>
      </c>
      <c r="BL8" s="399">
        <v>186</v>
      </c>
      <c r="BM8" s="399"/>
      <c r="BN8" s="399"/>
      <c r="BO8" s="399"/>
      <c r="BP8" s="399"/>
      <c r="BQ8" s="399"/>
      <c r="BR8" s="399"/>
      <c r="BS8" s="399"/>
      <c r="BT8" s="399">
        <v>981.34344000000078</v>
      </c>
      <c r="BU8" s="399"/>
      <c r="BV8" s="399">
        <v>4530.3410463744985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8833.1957999999995</v>
      </c>
      <c r="CJ8" s="399">
        <v>-1499.8786</v>
      </c>
      <c r="CK8" s="399"/>
      <c r="CL8" s="399"/>
      <c r="CM8" s="399"/>
      <c r="CN8" s="399"/>
      <c r="CO8" s="399">
        <v>-1854.9277599999996</v>
      </c>
      <c r="CP8" s="399">
        <v>187.37935999999951</v>
      </c>
      <c r="CQ8" s="399">
        <v>30</v>
      </c>
      <c r="CR8" s="399">
        <v>255.37546477635169</v>
      </c>
      <c r="CS8" s="399">
        <v>8.1134274263327768</v>
      </c>
      <c r="CT8" s="399">
        <v>43.280625772140525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0</v>
      </c>
      <c r="DA8" s="399">
        <v>0</v>
      </c>
      <c r="DB8" s="399">
        <v>0</v>
      </c>
      <c r="DC8" s="399">
        <v>187.36126981925918</v>
      </c>
      <c r="DD8" s="399">
        <v>0</v>
      </c>
      <c r="DE8" s="399">
        <v>0</v>
      </c>
      <c r="DF8" s="399">
        <v>0</v>
      </c>
      <c r="DG8" s="399">
        <v>19.843622078888018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-3.223480320269239</v>
      </c>
      <c r="DQ8" s="399">
        <v>0</v>
      </c>
      <c r="DR8" s="399">
        <v>0</v>
      </c>
      <c r="DS8" s="399"/>
      <c r="DT8" s="399"/>
      <c r="DU8" s="399"/>
      <c r="DV8" s="399">
        <v>6219.210435699928</v>
      </c>
      <c r="DW8" s="399">
        <v>0</v>
      </c>
      <c r="DX8" s="399">
        <v>0</v>
      </c>
      <c r="DY8" s="399">
        <v>-1854.9277599999996</v>
      </c>
      <c r="DZ8" s="399">
        <v>187.379359999999</v>
      </c>
      <c r="EA8" s="399">
        <v>0</v>
      </c>
      <c r="EB8" s="399">
        <v>0</v>
      </c>
      <c r="EC8" s="399">
        <v>-1922.9856189474704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230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2328</v>
      </c>
      <c r="D9" s="399" t="s">
        <v>1823</v>
      </c>
      <c r="E9" s="399" t="s">
        <v>889</v>
      </c>
      <c r="F9" s="399" t="s">
        <v>2335</v>
      </c>
      <c r="G9" s="399" t="s">
        <v>1239</v>
      </c>
      <c r="H9" s="399" t="s">
        <v>1239</v>
      </c>
      <c r="I9" s="399" t="s">
        <v>1239</v>
      </c>
      <c r="J9" s="399" t="s">
        <v>2329</v>
      </c>
      <c r="K9" s="789">
        <v>44440</v>
      </c>
      <c r="L9" s="399">
        <v>0</v>
      </c>
      <c r="M9" s="399">
        <v>0</v>
      </c>
      <c r="N9" s="399">
        <v>11.452</v>
      </c>
      <c r="O9" s="399">
        <v>11.452</v>
      </c>
      <c r="P9" s="399">
        <v>11.452</v>
      </c>
      <c r="Q9" s="399">
        <v>11.452</v>
      </c>
      <c r="R9" s="399"/>
      <c r="S9" s="399">
        <v>230.94</v>
      </c>
      <c r="T9" s="399">
        <v>128.11000000000001</v>
      </c>
      <c r="U9" s="399"/>
      <c r="V9" s="399">
        <v>4111.8405999999995</v>
      </c>
      <c r="W9" s="399">
        <v>4111.8405999999995</v>
      </c>
      <c r="X9" s="399">
        <v>3514.6188000000002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0</v>
      </c>
      <c r="AE9" s="399">
        <v>2227.3704625230043</v>
      </c>
      <c r="AF9" s="399">
        <v>1467.1277036611957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9.8531623025393706</v>
      </c>
      <c r="AO9" s="399">
        <v>39.807382968707479</v>
      </c>
      <c r="AP9" s="399">
        <v>212.35026268245755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155.38498282494265</v>
      </c>
      <c r="BH9" s="399">
        <v>0</v>
      </c>
      <c r="BI9" s="399">
        <v>0</v>
      </c>
      <c r="BJ9" s="399">
        <v>0</v>
      </c>
      <c r="BK9" s="399">
        <v>2100</v>
      </c>
      <c r="BL9" s="399">
        <v>169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1622.5126864861384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3514.0050000000001</v>
      </c>
      <c r="CJ9" s="399">
        <v>-597.86560000000009</v>
      </c>
      <c r="CK9" s="399"/>
      <c r="CL9" s="399"/>
      <c r="CM9" s="399"/>
      <c r="CN9" s="399"/>
      <c r="CO9" s="399">
        <v>-664.33051999999986</v>
      </c>
      <c r="CP9" s="399">
        <v>67.108719999999835</v>
      </c>
      <c r="CQ9" s="399">
        <v>30</v>
      </c>
      <c r="CR9" s="399">
        <v>91.461090274542357</v>
      </c>
      <c r="CS9" s="399">
        <v>2.9057721693258358</v>
      </c>
      <c r="CT9" s="399">
        <v>15.500679457798128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0</v>
      </c>
      <c r="DA9" s="399">
        <v>0</v>
      </c>
      <c r="DB9" s="399">
        <v>0</v>
      </c>
      <c r="DC9" s="399">
        <v>67.102241117405356</v>
      </c>
      <c r="DD9" s="399">
        <v>0</v>
      </c>
      <c r="DE9" s="399">
        <v>0</v>
      </c>
      <c r="DF9" s="399">
        <v>0</v>
      </c>
      <c r="DG9" s="399">
        <v>7.1068664012830141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-1.1544688712698061</v>
      </c>
      <c r="DQ9" s="399">
        <v>0</v>
      </c>
      <c r="DR9" s="399">
        <v>0</v>
      </c>
      <c r="DS9" s="399"/>
      <c r="DT9" s="399"/>
      <c r="DU9" s="399"/>
      <c r="DV9" s="399">
        <v>2227.3704625230043</v>
      </c>
      <c r="DW9" s="399">
        <v>0</v>
      </c>
      <c r="DX9" s="399">
        <v>0</v>
      </c>
      <c r="DY9" s="399">
        <v>-664.33051999999975</v>
      </c>
      <c r="DZ9" s="399">
        <v>67.108719999999721</v>
      </c>
      <c r="EA9" s="399">
        <v>0</v>
      </c>
      <c r="EB9" s="399">
        <v>0</v>
      </c>
      <c r="EC9" s="399">
        <v>-688.70500713617844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230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2328</v>
      </c>
      <c r="D10" s="399" t="s">
        <v>1826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1239</v>
      </c>
      <c r="J10" s="399" t="s">
        <v>2329</v>
      </c>
      <c r="K10" s="789">
        <v>44440</v>
      </c>
      <c r="L10" s="399">
        <v>0</v>
      </c>
      <c r="M10" s="399">
        <v>0</v>
      </c>
      <c r="N10" s="399">
        <v>421.32799999999997</v>
      </c>
      <c r="O10" s="399">
        <v>421.32799999999997</v>
      </c>
      <c r="P10" s="399">
        <v>421.32799999999997</v>
      </c>
      <c r="Q10" s="399">
        <v>421.32799999999997</v>
      </c>
      <c r="R10" s="399"/>
      <c r="S10" s="399">
        <v>333.61</v>
      </c>
      <c r="T10" s="399">
        <v>128.11000000000001</v>
      </c>
      <c r="U10" s="399"/>
      <c r="V10" s="399">
        <v>194535.56416000001</v>
      </c>
      <c r="W10" s="399">
        <v>194535.56416000001</v>
      </c>
      <c r="X10" s="399">
        <v>169807.82384</v>
      </c>
      <c r="Y10" s="399">
        <v>0</v>
      </c>
      <c r="Z10" s="399">
        <v>25792.036103315804</v>
      </c>
      <c r="AA10" s="399">
        <v>0</v>
      </c>
      <c r="AB10" s="399">
        <v>0</v>
      </c>
      <c r="AC10" s="399">
        <v>0</v>
      </c>
      <c r="AD10" s="399">
        <v>0</v>
      </c>
      <c r="AE10" s="399">
        <v>81946.69422230983</v>
      </c>
      <c r="AF10" s="399">
        <v>53976.770968229495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3983.1718868723246</v>
      </c>
      <c r="AM10" s="399"/>
      <c r="AN10" s="399">
        <v>362.50551577054733</v>
      </c>
      <c r="AO10" s="399">
        <v>1464.5446255186503</v>
      </c>
      <c r="AP10" s="399">
        <v>7812.5315643970016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5716.7345479975056</v>
      </c>
      <c r="BH10" s="399">
        <v>0</v>
      </c>
      <c r="BI10" s="399">
        <v>0</v>
      </c>
      <c r="BJ10" s="399">
        <v>0</v>
      </c>
      <c r="BK10" s="399">
        <v>71583.86</v>
      </c>
      <c r="BL10" s="399">
        <v>210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59693.505516227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169808.6299</v>
      </c>
      <c r="CJ10" s="399">
        <v>-24726.964260000037</v>
      </c>
      <c r="CK10" s="399"/>
      <c r="CL10" s="399"/>
      <c r="CM10" s="399"/>
      <c r="CN10" s="399"/>
      <c r="CO10" s="399">
        <v>-27196.722400000002</v>
      </c>
      <c r="CP10" s="399">
        <v>2468.9820799999934</v>
      </c>
      <c r="CQ10" s="399">
        <v>30</v>
      </c>
      <c r="CR10" s="399">
        <v>607.18289921112591</v>
      </c>
      <c r="CS10" s="399">
        <v>106.9056214248792</v>
      </c>
      <c r="CT10" s="399">
        <v>570.28207078197465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0</v>
      </c>
      <c r="DA10" s="399">
        <v>0</v>
      </c>
      <c r="DB10" s="399">
        <v>0</v>
      </c>
      <c r="DC10" s="399">
        <v>2468.7437168629258</v>
      </c>
      <c r="DD10" s="399">
        <v>0</v>
      </c>
      <c r="DE10" s="399">
        <v>0</v>
      </c>
      <c r="DF10" s="399">
        <v>0</v>
      </c>
      <c r="DG10" s="399">
        <v>261.46715046452755</v>
      </c>
      <c r="DH10" s="399">
        <v>0</v>
      </c>
      <c r="DI10" s="399">
        <v>-2439.6991951393029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-318.04265619027819</v>
      </c>
      <c r="DP10" s="399">
        <v>-42.473808993570174</v>
      </c>
      <c r="DQ10" s="399">
        <v>0</v>
      </c>
      <c r="DR10" s="399">
        <v>0</v>
      </c>
      <c r="DS10" s="399"/>
      <c r="DT10" s="399"/>
      <c r="DU10" s="399"/>
      <c r="DV10" s="399">
        <v>81946.69422230983</v>
      </c>
      <c r="DW10" s="399">
        <v>0</v>
      </c>
      <c r="DX10" s="399">
        <v>0</v>
      </c>
      <c r="DY10" s="399">
        <v>-27196.722399999999</v>
      </c>
      <c r="DZ10" s="399">
        <v>2468.9820799999943</v>
      </c>
      <c r="EA10" s="399">
        <v>0</v>
      </c>
      <c r="EB10" s="399">
        <v>0</v>
      </c>
      <c r="EC10" s="399">
        <v>-25337.9936471072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13481.870263767503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230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2331</v>
      </c>
      <c r="C11" s="399" t="s">
        <v>2328</v>
      </c>
      <c r="D11" s="399" t="s">
        <v>1826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2329</v>
      </c>
      <c r="K11" s="789">
        <v>44440</v>
      </c>
      <c r="L11" s="399">
        <v>0</v>
      </c>
      <c r="M11" s="399">
        <v>0</v>
      </c>
      <c r="N11" s="399">
        <v>8.4740000000000002</v>
      </c>
      <c r="O11" s="399">
        <v>8.4740000000000002</v>
      </c>
      <c r="P11" s="399">
        <v>8.4740000000000002</v>
      </c>
      <c r="Q11" s="399">
        <v>8.4740000000000002</v>
      </c>
      <c r="R11" s="399"/>
      <c r="S11" s="399">
        <v>333.61</v>
      </c>
      <c r="T11" s="399">
        <v>128.11000000000001</v>
      </c>
      <c r="U11" s="399"/>
      <c r="V11" s="399">
        <v>3912.61528</v>
      </c>
      <c r="W11" s="399">
        <v>3912.61528</v>
      </c>
      <c r="X11" s="399">
        <v>3415.2762199999997</v>
      </c>
      <c r="Y11" s="399">
        <v>0</v>
      </c>
      <c r="Z11" s="399">
        <v>518.7448114995874</v>
      </c>
      <c r="AA11" s="399">
        <v>0</v>
      </c>
      <c r="AB11" s="399">
        <v>0</v>
      </c>
      <c r="AC11" s="399">
        <v>0</v>
      </c>
      <c r="AD11" s="399">
        <v>0</v>
      </c>
      <c r="AE11" s="399">
        <v>1648.1607840918562</v>
      </c>
      <c r="AF11" s="399">
        <v>1085.6130074070006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80.111928401046413</v>
      </c>
      <c r="AM11" s="399"/>
      <c r="AN11" s="399">
        <v>7.2909271176841273</v>
      </c>
      <c r="AO11" s="399">
        <v>29.455794907162694</v>
      </c>
      <c r="AP11" s="399">
        <v>157.13029391993933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114.97837447245583</v>
      </c>
      <c r="BH11" s="399">
        <v>0</v>
      </c>
      <c r="BI11" s="399">
        <v>0</v>
      </c>
      <c r="BJ11" s="399">
        <v>0</v>
      </c>
      <c r="BK11" s="399">
        <v>1945.79</v>
      </c>
      <c r="BL11" s="399">
        <v>2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1200.5913818794565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3413.6641</v>
      </c>
      <c r="CJ11" s="399">
        <v>-498.98118000000068</v>
      </c>
      <c r="CK11" s="399"/>
      <c r="CL11" s="399"/>
      <c r="CM11" s="399"/>
      <c r="CN11" s="399"/>
      <c r="CO11" s="399">
        <v>-546.99670000000015</v>
      </c>
      <c r="CP11" s="399">
        <v>49.657639999999873</v>
      </c>
      <c r="CQ11" s="399">
        <v>30</v>
      </c>
      <c r="CR11" s="399">
        <v>12.212024569730147</v>
      </c>
      <c r="CS11" s="399">
        <v>2.1501496125451567</v>
      </c>
      <c r="CT11" s="399">
        <v>11.469853102111557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0</v>
      </c>
      <c r="DA11" s="399">
        <v>0</v>
      </c>
      <c r="DB11" s="399">
        <v>0</v>
      </c>
      <c r="DC11" s="399">
        <v>49.652845898436453</v>
      </c>
      <c r="DD11" s="399">
        <v>0</v>
      </c>
      <c r="DE11" s="399">
        <v>0</v>
      </c>
      <c r="DF11" s="399">
        <v>0</v>
      </c>
      <c r="DG11" s="399">
        <v>5.2587832592099346</v>
      </c>
      <c r="DH11" s="399">
        <v>0</v>
      </c>
      <c r="DI11" s="399">
        <v>-49.068685156482559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-6.3966635698468224</v>
      </c>
      <c r="DP11" s="399">
        <v>-0.85425857624348023</v>
      </c>
      <c r="DQ11" s="399">
        <v>0</v>
      </c>
      <c r="DR11" s="399">
        <v>0</v>
      </c>
      <c r="DS11" s="399"/>
      <c r="DT11" s="399"/>
      <c r="DU11" s="399"/>
      <c r="DV11" s="399">
        <v>1648.1607840918562</v>
      </c>
      <c r="DW11" s="399">
        <v>0</v>
      </c>
      <c r="DX11" s="399">
        <v>0</v>
      </c>
      <c r="DY11" s="399">
        <v>-546.99670000000015</v>
      </c>
      <c r="DZ11" s="399">
        <v>49.657639999999901</v>
      </c>
      <c r="EA11" s="399">
        <v>0</v>
      </c>
      <c r="EB11" s="399">
        <v>0</v>
      </c>
      <c r="EC11" s="399">
        <v>-509.61283884666204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271.15541481972673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230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2336</v>
      </c>
      <c r="D12" s="399" t="s">
        <v>535</v>
      </c>
      <c r="E12" s="399" t="s">
        <v>890</v>
      </c>
      <c r="F12" s="399" t="s">
        <v>1239</v>
      </c>
      <c r="G12" s="399" t="s">
        <v>1239</v>
      </c>
      <c r="H12" s="399" t="s">
        <v>1239</v>
      </c>
      <c r="I12" s="399" t="s">
        <v>893</v>
      </c>
      <c r="J12" s="399" t="s">
        <v>2329</v>
      </c>
      <c r="K12" s="789">
        <v>44440</v>
      </c>
      <c r="L12" s="399">
        <v>2386</v>
      </c>
      <c r="M12" s="399">
        <v>2386</v>
      </c>
      <c r="N12" s="399">
        <v>98.867000000000004</v>
      </c>
      <c r="O12" s="399">
        <v>98.867000000000004</v>
      </c>
      <c r="P12" s="399">
        <v>98.867000000000004</v>
      </c>
      <c r="Q12" s="399">
        <v>98.867000000000004</v>
      </c>
      <c r="R12" s="399">
        <v>28.46</v>
      </c>
      <c r="S12" s="399">
        <v>75.12</v>
      </c>
      <c r="T12" s="399">
        <v>128.11000000000001</v>
      </c>
      <c r="U12" s="399">
        <v>67905.56</v>
      </c>
      <c r="V12" s="399">
        <v>20092.740410000002</v>
      </c>
      <c r="W12" s="399">
        <v>87998.300409999996</v>
      </c>
      <c r="X12" s="399">
        <v>72119.733519999994</v>
      </c>
      <c r="Y12" s="399">
        <v>0</v>
      </c>
      <c r="Z12" s="399">
        <v>4055.0056639857089</v>
      </c>
      <c r="AA12" s="399">
        <v>0</v>
      </c>
      <c r="AB12" s="399">
        <v>0</v>
      </c>
      <c r="AC12" s="399">
        <v>0</v>
      </c>
      <c r="AD12" s="399">
        <v>0</v>
      </c>
      <c r="AE12" s="399">
        <v>54858.834331905069</v>
      </c>
      <c r="AF12" s="399">
        <v>12665.954826918567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934.67382879705644</v>
      </c>
      <c r="AM12" s="399"/>
      <c r="AN12" s="399">
        <v>24.198291438109582</v>
      </c>
      <c r="AO12" s="399">
        <v>1964.3245116731073</v>
      </c>
      <c r="AP12" s="399">
        <v>11073.278489010107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293.37604257436288</v>
      </c>
      <c r="BH12" s="399">
        <v>0</v>
      </c>
      <c r="BI12" s="399">
        <v>0</v>
      </c>
      <c r="BJ12" s="399">
        <v>0</v>
      </c>
      <c r="BK12" s="399">
        <v>0</v>
      </c>
      <c r="BL12" s="399">
        <v>0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12959.330869492929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72120.347200000004</v>
      </c>
      <c r="CJ12" s="399">
        <v>-15877.983209999977</v>
      </c>
      <c r="CK12" s="399"/>
      <c r="CL12" s="399"/>
      <c r="CM12" s="399"/>
      <c r="CN12" s="399"/>
      <c r="CO12" s="399">
        <v>-16457.927510000001</v>
      </c>
      <c r="CP12" s="399">
        <v>579.36061999999856</v>
      </c>
      <c r="CQ12" s="399">
        <v>30</v>
      </c>
      <c r="CR12" s="399">
        <v>1083.3797243722947</v>
      </c>
      <c r="CS12" s="399">
        <v>143.38745910604439</v>
      </c>
      <c r="CT12" s="399">
        <v>808.30293420326598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0</v>
      </c>
      <c r="DA12" s="399">
        <v>0</v>
      </c>
      <c r="DB12" s="399">
        <v>0</v>
      </c>
      <c r="DC12" s="399">
        <v>579.30468674070289</v>
      </c>
      <c r="DD12" s="399">
        <v>0</v>
      </c>
      <c r="DE12" s="399">
        <v>0</v>
      </c>
      <c r="DF12" s="399">
        <v>0</v>
      </c>
      <c r="DG12" s="399">
        <v>13.418184318767146</v>
      </c>
      <c r="DH12" s="399">
        <v>0</v>
      </c>
      <c r="DI12" s="399">
        <v>-383.56778096474454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-74.630509459528639</v>
      </c>
      <c r="DP12" s="399">
        <v>-2.8352495722121844</v>
      </c>
      <c r="DQ12" s="399">
        <v>0</v>
      </c>
      <c r="DR12" s="399">
        <v>0</v>
      </c>
      <c r="DS12" s="399"/>
      <c r="DT12" s="399"/>
      <c r="DU12" s="399">
        <v>54858.834331905069</v>
      </c>
      <c r="DV12" s="399">
        <v>0</v>
      </c>
      <c r="DW12" s="399">
        <v>0</v>
      </c>
      <c r="DX12" s="399">
        <v>0</v>
      </c>
      <c r="DY12" s="399">
        <v>-16457.927509999994</v>
      </c>
      <c r="DZ12" s="399">
        <v>579.36061999999765</v>
      </c>
      <c r="EA12" s="399">
        <v>0</v>
      </c>
      <c r="EB12" s="399">
        <v>0</v>
      </c>
      <c r="EC12" s="399">
        <v>-16962.402315078129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2119.6101021923441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230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956</v>
      </c>
      <c r="C13" s="399" t="s">
        <v>2336</v>
      </c>
      <c r="D13" s="399" t="s">
        <v>535</v>
      </c>
      <c r="E13" s="399" t="s">
        <v>890</v>
      </c>
      <c r="F13" s="399" t="s">
        <v>1239</v>
      </c>
      <c r="G13" s="399" t="s">
        <v>1239</v>
      </c>
      <c r="H13" s="399" t="s">
        <v>1239</v>
      </c>
      <c r="I13" s="399" t="s">
        <v>2326</v>
      </c>
      <c r="J13" s="399" t="s">
        <v>2329</v>
      </c>
      <c r="K13" s="789">
        <v>44440</v>
      </c>
      <c r="L13" s="399">
        <v>2438</v>
      </c>
      <c r="M13" s="399">
        <v>2438</v>
      </c>
      <c r="N13" s="399">
        <v>1006.154</v>
      </c>
      <c r="O13" s="399">
        <v>1006.154</v>
      </c>
      <c r="P13" s="399">
        <v>1006.154</v>
      </c>
      <c r="Q13" s="399">
        <v>1006.154</v>
      </c>
      <c r="R13" s="399">
        <v>9.92</v>
      </c>
      <c r="S13" s="399">
        <v>75.12</v>
      </c>
      <c r="T13" s="399">
        <v>128.11000000000001</v>
      </c>
      <c r="U13" s="399">
        <v>24184.959999999999</v>
      </c>
      <c r="V13" s="399">
        <v>204480.67742000002</v>
      </c>
      <c r="W13" s="399">
        <v>228665.63742000004</v>
      </c>
      <c r="X13" s="399">
        <v>227175.74223999999</v>
      </c>
      <c r="Y13" s="399">
        <v>0</v>
      </c>
      <c r="Z13" s="399">
        <v>41267.158595303554</v>
      </c>
      <c r="AA13" s="399">
        <v>0</v>
      </c>
      <c r="AB13" s="399">
        <v>0</v>
      </c>
      <c r="AC13" s="399">
        <v>0</v>
      </c>
      <c r="AD13" s="399">
        <v>0</v>
      </c>
      <c r="AE13" s="399">
        <v>11995.492622866426</v>
      </c>
      <c r="AF13" s="399">
        <v>128899.44180488357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9512.0294085941059</v>
      </c>
      <c r="AM13" s="399"/>
      <c r="AN13" s="399">
        <v>246.2622282826394</v>
      </c>
      <c r="AO13" s="399">
        <v>1812.0276626891971</v>
      </c>
      <c r="AP13" s="399">
        <v>10370.14357462607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2985.6421125387187</v>
      </c>
      <c r="BH13" s="399">
        <v>0</v>
      </c>
      <c r="BI13" s="399">
        <v>0</v>
      </c>
      <c r="BJ13" s="399">
        <v>0</v>
      </c>
      <c r="BK13" s="399">
        <v>0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131885.08391742228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227174.924</v>
      </c>
      <c r="CJ13" s="399">
        <v>-1490.7434200000134</v>
      </c>
      <c r="CK13" s="399"/>
      <c r="CL13" s="399"/>
      <c r="CM13" s="399"/>
      <c r="CN13" s="399"/>
      <c r="CO13" s="399">
        <v>-7385.957620000001</v>
      </c>
      <c r="CP13" s="399">
        <v>5896.0624399999851</v>
      </c>
      <c r="CQ13" s="399">
        <v>30</v>
      </c>
      <c r="CR13" s="399">
        <v>2229.4291897999647</v>
      </c>
      <c r="CS13" s="399">
        <v>132.27042723280147</v>
      </c>
      <c r="CT13" s="399">
        <v>756.97703149057634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</v>
      </c>
      <c r="DA13" s="399">
        <v>0</v>
      </c>
      <c r="DB13" s="399">
        <v>0</v>
      </c>
      <c r="DC13" s="399">
        <v>5895.4932159659511</v>
      </c>
      <c r="DD13" s="399">
        <v>0</v>
      </c>
      <c r="DE13" s="399">
        <v>0</v>
      </c>
      <c r="DF13" s="399">
        <v>0</v>
      </c>
      <c r="DG13" s="399">
        <v>136.55476372363728</v>
      </c>
      <c r="DH13" s="399">
        <v>0</v>
      </c>
      <c r="DI13" s="399">
        <v>-3903.5093316152124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-759.50302542549616</v>
      </c>
      <c r="DP13" s="399">
        <v>-28.85389157231009</v>
      </c>
      <c r="DQ13" s="399">
        <v>0</v>
      </c>
      <c r="DR13" s="399">
        <v>0</v>
      </c>
      <c r="DS13" s="399"/>
      <c r="DT13" s="399"/>
      <c r="DU13" s="399">
        <v>11995.492622866426</v>
      </c>
      <c r="DV13" s="399">
        <v>0</v>
      </c>
      <c r="DW13" s="399">
        <v>0</v>
      </c>
      <c r="DX13" s="399">
        <v>0</v>
      </c>
      <c r="DY13" s="399">
        <v>-7385.957620000001</v>
      </c>
      <c r="DZ13" s="399">
        <v>5896.0624399999651</v>
      </c>
      <c r="EA13" s="399">
        <v>0</v>
      </c>
      <c r="EB13" s="399">
        <v>0</v>
      </c>
      <c r="EC13" s="399">
        <v>-3709.0174137782669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21570.940584433993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230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2336</v>
      </c>
      <c r="D14" s="399" t="s">
        <v>535</v>
      </c>
      <c r="E14" s="399" t="s">
        <v>890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2329</v>
      </c>
      <c r="K14" s="789">
        <v>44440</v>
      </c>
      <c r="L14" s="399">
        <v>0</v>
      </c>
      <c r="M14" s="399">
        <v>0</v>
      </c>
      <c r="N14" s="399">
        <v>0</v>
      </c>
      <c r="O14" s="399">
        <v>0</v>
      </c>
      <c r="P14" s="399">
        <v>0</v>
      </c>
      <c r="Q14" s="399">
        <v>0</v>
      </c>
      <c r="R14" s="399"/>
      <c r="S14" s="399"/>
      <c r="T14" s="399"/>
      <c r="U14" s="399"/>
      <c r="V14" s="399"/>
      <c r="W14" s="399"/>
      <c r="X14" s="399"/>
      <c r="Y14" s="399"/>
      <c r="Z14" s="399"/>
      <c r="AA14" s="399">
        <v>0</v>
      </c>
      <c r="AB14" s="399"/>
      <c r="AC14" s="399"/>
      <c r="AD14" s="399"/>
      <c r="AE14" s="399"/>
      <c r="AF14" s="399"/>
      <c r="AG14" s="399"/>
      <c r="AH14" s="399"/>
      <c r="AI14" s="399"/>
      <c r="AJ14" s="399"/>
      <c r="AK14" s="399"/>
      <c r="AL14" s="399"/>
      <c r="AM14" s="399"/>
      <c r="AN14" s="399"/>
      <c r="AO14" s="399"/>
      <c r="AP14" s="399"/>
      <c r="AQ14" s="399"/>
      <c r="AR14" s="399"/>
      <c r="AS14" s="399"/>
      <c r="AT14" s="399"/>
      <c r="AU14" s="399"/>
      <c r="AV14" s="399"/>
      <c r="AW14" s="399"/>
      <c r="AX14" s="399"/>
      <c r="AY14" s="399"/>
      <c r="AZ14" s="399">
        <v>0</v>
      </c>
      <c r="BA14" s="399"/>
      <c r="BB14" s="399"/>
      <c r="BC14" s="399"/>
      <c r="BD14" s="399"/>
      <c r="BE14" s="399"/>
      <c r="BF14" s="399"/>
      <c r="BG14" s="399"/>
      <c r="BH14" s="399"/>
      <c r="BI14" s="399">
        <v>0</v>
      </c>
      <c r="BJ14" s="399">
        <v>0</v>
      </c>
      <c r="BK14" s="399">
        <v>142861.6</v>
      </c>
      <c r="BL14" s="399">
        <v>1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/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/>
      <c r="CJ14" s="399">
        <v>-0.03</v>
      </c>
      <c r="CK14" s="399"/>
      <c r="CL14" s="399"/>
      <c r="CM14" s="399"/>
      <c r="CN14" s="399"/>
      <c r="CO14" s="399">
        <v>0</v>
      </c>
      <c r="CP14" s="399">
        <v>0</v>
      </c>
      <c r="CQ14" s="399">
        <v>30</v>
      </c>
      <c r="CR14" s="399"/>
      <c r="CS14" s="399"/>
      <c r="CT14" s="399"/>
      <c r="CU14" s="399"/>
      <c r="CV14" s="399"/>
      <c r="CW14" s="399"/>
      <c r="CX14" s="399"/>
      <c r="CY14" s="399"/>
      <c r="CZ14" s="399"/>
      <c r="DA14" s="399"/>
      <c r="DB14" s="399"/>
      <c r="DC14" s="399"/>
      <c r="DD14" s="399"/>
      <c r="DE14" s="399"/>
      <c r="DF14" s="399"/>
      <c r="DG14" s="399"/>
      <c r="DH14" s="399"/>
      <c r="DI14" s="399"/>
      <c r="DJ14" s="399"/>
      <c r="DK14" s="399">
        <v>0</v>
      </c>
      <c r="DL14" s="399"/>
      <c r="DM14" s="399"/>
      <c r="DN14" s="399"/>
      <c r="DO14" s="399"/>
      <c r="DP14" s="399"/>
      <c r="DQ14" s="399"/>
      <c r="DR14" s="399"/>
      <c r="DS14" s="399"/>
      <c r="DT14" s="399"/>
      <c r="DU14" s="399"/>
      <c r="DV14" s="399"/>
      <c r="DW14" s="399"/>
      <c r="DX14" s="399"/>
      <c r="DY14" s="399"/>
      <c r="DZ14" s="399"/>
      <c r="EA14" s="399"/>
      <c r="EB14" s="399"/>
      <c r="EC14" s="399"/>
      <c r="ED14" s="399"/>
      <c r="EE14" s="399"/>
      <c r="EF14" s="399"/>
      <c r="EG14" s="399"/>
      <c r="EH14" s="399"/>
      <c r="EI14" s="399"/>
      <c r="EJ14" s="399"/>
      <c r="EK14" s="399"/>
      <c r="EL14" s="399"/>
      <c r="EM14" s="399"/>
      <c r="EN14" s="399"/>
      <c r="EO14" s="399"/>
      <c r="EP14" s="399"/>
      <c r="EQ14" s="399"/>
      <c r="ER14" s="399"/>
      <c r="ES14" s="399"/>
      <c r="ET14" s="399"/>
      <c r="EU14" s="399"/>
      <c r="EV14" s="399">
        <v>230</v>
      </c>
      <c r="EW14" s="399"/>
      <c r="EX14" s="399"/>
      <c r="EY14" s="399"/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2336</v>
      </c>
      <c r="D15" s="399" t="s">
        <v>533</v>
      </c>
      <c r="E15" s="399" t="s">
        <v>890</v>
      </c>
      <c r="F15" s="399" t="s">
        <v>1239</v>
      </c>
      <c r="G15" s="399" t="s">
        <v>1239</v>
      </c>
      <c r="H15" s="399" t="s">
        <v>1239</v>
      </c>
      <c r="I15" s="399" t="s">
        <v>893</v>
      </c>
      <c r="J15" s="399" t="s">
        <v>2329</v>
      </c>
      <c r="K15" s="789">
        <v>44440</v>
      </c>
      <c r="L15" s="399">
        <v>5950</v>
      </c>
      <c r="M15" s="399">
        <v>5950</v>
      </c>
      <c r="N15" s="399">
        <v>311.45</v>
      </c>
      <c r="O15" s="399">
        <v>311.45</v>
      </c>
      <c r="P15" s="399">
        <v>311.45</v>
      </c>
      <c r="Q15" s="399">
        <v>311.45</v>
      </c>
      <c r="R15" s="399">
        <v>52.19</v>
      </c>
      <c r="S15" s="399">
        <v>96.28</v>
      </c>
      <c r="T15" s="399">
        <v>128.11000000000001</v>
      </c>
      <c r="U15" s="399">
        <v>310530.5</v>
      </c>
      <c r="V15" s="399">
        <v>69886.265500000009</v>
      </c>
      <c r="W15" s="399">
        <v>380416.76550000004</v>
      </c>
      <c r="X15" s="399">
        <v>296897.12800000003</v>
      </c>
      <c r="Y15" s="399">
        <v>0</v>
      </c>
      <c r="Z15" s="399">
        <v>16587.192853569213</v>
      </c>
      <c r="AA15" s="399">
        <v>0</v>
      </c>
      <c r="AB15" s="399">
        <v>0</v>
      </c>
      <c r="AC15" s="399">
        <v>0</v>
      </c>
      <c r="AD15" s="399">
        <v>0</v>
      </c>
      <c r="AE15" s="399">
        <v>278065.19684509444</v>
      </c>
      <c r="AF15" s="399">
        <v>39900.185409123238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2944.4017111760568</v>
      </c>
      <c r="AM15" s="399"/>
      <c r="AN15" s="399">
        <v>153.10902328096512</v>
      </c>
      <c r="AO15" s="399">
        <v>5138.5963261425695</v>
      </c>
      <c r="AP15" s="399">
        <v>27335.990188088927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1631.5667396126667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41531.752148735904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296897.12800000003</v>
      </c>
      <c r="CJ15" s="399">
        <v>-83519.66750000004</v>
      </c>
      <c r="CK15" s="399"/>
      <c r="CL15" s="399"/>
      <c r="CM15" s="399"/>
      <c r="CN15" s="399"/>
      <c r="CO15" s="399">
        <v>-85344.734499999991</v>
      </c>
      <c r="CP15" s="399">
        <v>1825.0969999999954</v>
      </c>
      <c r="CQ15" s="399">
        <v>30</v>
      </c>
      <c r="CR15" s="399">
        <v>2448.0107909517537</v>
      </c>
      <c r="CS15" s="399">
        <v>375.09600180555663</v>
      </c>
      <c r="CT15" s="399">
        <v>1995.4127497392255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0</v>
      </c>
      <c r="DA15" s="399">
        <v>0</v>
      </c>
      <c r="DB15" s="399">
        <v>0</v>
      </c>
      <c r="DC15" s="399">
        <v>1824.9207995124016</v>
      </c>
      <c r="DD15" s="399">
        <v>0</v>
      </c>
      <c r="DE15" s="399">
        <v>0</v>
      </c>
      <c r="DF15" s="399">
        <v>0</v>
      </c>
      <c r="DG15" s="399">
        <v>74.623214112451933</v>
      </c>
      <c r="DH15" s="399">
        <v>0</v>
      </c>
      <c r="DI15" s="399">
        <v>-1569.0021870460769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-235.10040934963308</v>
      </c>
      <c r="DP15" s="399">
        <v>-17.939377822168041</v>
      </c>
      <c r="DQ15" s="399">
        <v>0</v>
      </c>
      <c r="DR15" s="399">
        <v>0</v>
      </c>
      <c r="DS15" s="399"/>
      <c r="DT15" s="399"/>
      <c r="DU15" s="399">
        <v>278065.19684509444</v>
      </c>
      <c r="DV15" s="399">
        <v>0</v>
      </c>
      <c r="DW15" s="399">
        <v>0</v>
      </c>
      <c r="DX15" s="399">
        <v>0</v>
      </c>
      <c r="DY15" s="399">
        <v>-85344.73450000002</v>
      </c>
      <c r="DZ15" s="399">
        <v>1825.0969999999943</v>
      </c>
      <c r="EA15" s="399">
        <v>0</v>
      </c>
      <c r="EB15" s="399">
        <v>0</v>
      </c>
      <c r="EC15" s="399">
        <v>-85978.016050639417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8670.365580915186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230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2336</v>
      </c>
      <c r="D16" s="399" t="s">
        <v>533</v>
      </c>
      <c r="E16" s="399" t="s">
        <v>890</v>
      </c>
      <c r="F16" s="399" t="s">
        <v>1239</v>
      </c>
      <c r="G16" s="399" t="s">
        <v>1239</v>
      </c>
      <c r="H16" s="399" t="s">
        <v>1239</v>
      </c>
      <c r="I16" s="399" t="s">
        <v>2326</v>
      </c>
      <c r="J16" s="399" t="s">
        <v>2329</v>
      </c>
      <c r="K16" s="789">
        <v>44440</v>
      </c>
      <c r="L16" s="399">
        <v>6050</v>
      </c>
      <c r="M16" s="399">
        <v>6050</v>
      </c>
      <c r="N16" s="399">
        <v>2995.3240000000001</v>
      </c>
      <c r="O16" s="399">
        <v>2995.3240000000001</v>
      </c>
      <c r="P16" s="399">
        <v>2995.3240000000001</v>
      </c>
      <c r="Q16" s="399">
        <v>2995.3240000000001</v>
      </c>
      <c r="R16" s="399">
        <v>18.12</v>
      </c>
      <c r="S16" s="399">
        <v>96.28</v>
      </c>
      <c r="T16" s="399">
        <v>128.11000000000001</v>
      </c>
      <c r="U16" s="399">
        <v>109626</v>
      </c>
      <c r="V16" s="399">
        <v>672120.75236000004</v>
      </c>
      <c r="W16" s="399">
        <v>781746.75236000004</v>
      </c>
      <c r="X16" s="399">
        <v>760292.08336000005</v>
      </c>
      <c r="Y16" s="399">
        <v>0</v>
      </c>
      <c r="Z16" s="399">
        <v>159524.85743112653</v>
      </c>
      <c r="AA16" s="399">
        <v>0</v>
      </c>
      <c r="AB16" s="399">
        <v>0</v>
      </c>
      <c r="AC16" s="399">
        <v>0</v>
      </c>
      <c r="AD16" s="399">
        <v>0</v>
      </c>
      <c r="AE16" s="399">
        <v>79006.576823820753</v>
      </c>
      <c r="AF16" s="399">
        <v>383734.09202246484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28317.345034922815</v>
      </c>
      <c r="AM16" s="399"/>
      <c r="AN16" s="399">
        <v>1472.5032334244136</v>
      </c>
      <c r="AO16" s="399">
        <v>4808.9659924183543</v>
      </c>
      <c r="AP16" s="399">
        <v>25780.992291091472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15691.350177439626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399425.44219990447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760291.18480000005</v>
      </c>
      <c r="CJ16" s="399">
        <v>-21455.597560000024</v>
      </c>
      <c r="CK16" s="399"/>
      <c r="CL16" s="399"/>
      <c r="CM16" s="399"/>
      <c r="CN16" s="399"/>
      <c r="CO16" s="399">
        <v>-39007.267640000005</v>
      </c>
      <c r="CP16" s="399">
        <v>17552.598639999957</v>
      </c>
      <c r="CQ16" s="399">
        <v>30</v>
      </c>
      <c r="CR16" s="399">
        <v>2978.3031109510921</v>
      </c>
      <c r="CS16" s="399">
        <v>351.03436854886968</v>
      </c>
      <c r="CT16" s="399">
        <v>1881.9044184830127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</v>
      </c>
      <c r="DA16" s="399">
        <v>0</v>
      </c>
      <c r="DB16" s="399">
        <v>0</v>
      </c>
      <c r="DC16" s="399">
        <v>17550.904058046755</v>
      </c>
      <c r="DD16" s="399">
        <v>0</v>
      </c>
      <c r="DE16" s="399">
        <v>0</v>
      </c>
      <c r="DF16" s="399">
        <v>0</v>
      </c>
      <c r="DG16" s="399">
        <v>717.67765030716146</v>
      </c>
      <c r="DH16" s="399">
        <v>0</v>
      </c>
      <c r="DI16" s="399">
        <v>-15089.644909011433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-2261.0431803974316</v>
      </c>
      <c r="DP16" s="399">
        <v>-172.52929502587153</v>
      </c>
      <c r="DQ16" s="399">
        <v>0</v>
      </c>
      <c r="DR16" s="399">
        <v>0</v>
      </c>
      <c r="DS16" s="399"/>
      <c r="DT16" s="399"/>
      <c r="DU16" s="399">
        <v>79006.576823820753</v>
      </c>
      <c r="DV16" s="399">
        <v>0</v>
      </c>
      <c r="DW16" s="399">
        <v>0</v>
      </c>
      <c r="DX16" s="399">
        <v>0</v>
      </c>
      <c r="DY16" s="399">
        <v>-39007.267639999976</v>
      </c>
      <c r="DZ16" s="399">
        <v>17552.598639999982</v>
      </c>
      <c r="EA16" s="399">
        <v>0</v>
      </c>
      <c r="EB16" s="399">
        <v>0</v>
      </c>
      <c r="EC16" s="399">
        <v>-24428.906628141383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83385.949954372132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230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2336</v>
      </c>
      <c r="D17" s="399" t="s">
        <v>533</v>
      </c>
      <c r="E17" s="399" t="s">
        <v>890</v>
      </c>
      <c r="F17" s="399" t="s">
        <v>1239</v>
      </c>
      <c r="G17" s="399" t="s">
        <v>1239</v>
      </c>
      <c r="H17" s="399" t="s">
        <v>1239</v>
      </c>
      <c r="I17" s="399" t="s">
        <v>1239</v>
      </c>
      <c r="J17" s="399" t="s">
        <v>2329</v>
      </c>
      <c r="K17" s="789">
        <v>44440</v>
      </c>
      <c r="L17" s="399">
        <v>0</v>
      </c>
      <c r="M17" s="399">
        <v>0</v>
      </c>
      <c r="N17" s="399">
        <v>0</v>
      </c>
      <c r="O17" s="399">
        <v>0</v>
      </c>
      <c r="P17" s="399">
        <v>0</v>
      </c>
      <c r="Q17" s="399">
        <v>0</v>
      </c>
      <c r="R17" s="399"/>
      <c r="S17" s="399"/>
      <c r="T17" s="399"/>
      <c r="U17" s="399"/>
      <c r="V17" s="399"/>
      <c r="W17" s="399"/>
      <c r="X17" s="399"/>
      <c r="Y17" s="399"/>
      <c r="Z17" s="399"/>
      <c r="AA17" s="399">
        <v>0</v>
      </c>
      <c r="AB17" s="399"/>
      <c r="AC17" s="399"/>
      <c r="AD17" s="399"/>
      <c r="AE17" s="399"/>
      <c r="AF17" s="399"/>
      <c r="AG17" s="399"/>
      <c r="AH17" s="399"/>
      <c r="AI17" s="399"/>
      <c r="AJ17" s="399"/>
      <c r="AK17" s="399"/>
      <c r="AL17" s="399"/>
      <c r="AM17" s="399"/>
      <c r="AN17" s="399"/>
      <c r="AO17" s="399"/>
      <c r="AP17" s="399"/>
      <c r="AQ17" s="399"/>
      <c r="AR17" s="399"/>
      <c r="AS17" s="399"/>
      <c r="AT17" s="399"/>
      <c r="AU17" s="399"/>
      <c r="AV17" s="399"/>
      <c r="AW17" s="399"/>
      <c r="AX17" s="399"/>
      <c r="AY17" s="399"/>
      <c r="AZ17" s="399">
        <v>0</v>
      </c>
      <c r="BA17" s="399"/>
      <c r="BB17" s="399"/>
      <c r="BC17" s="399"/>
      <c r="BD17" s="399"/>
      <c r="BE17" s="399"/>
      <c r="BF17" s="399"/>
      <c r="BG17" s="399"/>
      <c r="BH17" s="399"/>
      <c r="BI17" s="399">
        <v>0</v>
      </c>
      <c r="BJ17" s="399">
        <v>0</v>
      </c>
      <c r="BK17" s="399">
        <v>0</v>
      </c>
      <c r="BL17" s="399">
        <v>1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/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/>
      <c r="CJ17" s="399">
        <v>-0.03</v>
      </c>
      <c r="CK17" s="399"/>
      <c r="CL17" s="399"/>
      <c r="CM17" s="399"/>
      <c r="CN17" s="399"/>
      <c r="CO17" s="399">
        <v>0</v>
      </c>
      <c r="CP17" s="399">
        <v>0</v>
      </c>
      <c r="CQ17" s="399">
        <v>30</v>
      </c>
      <c r="CR17" s="399"/>
      <c r="CS17" s="399"/>
      <c r="CT17" s="399"/>
      <c r="CU17" s="399"/>
      <c r="CV17" s="399"/>
      <c r="CW17" s="399"/>
      <c r="CX17" s="399"/>
      <c r="CY17" s="399"/>
      <c r="CZ17" s="399"/>
      <c r="DA17" s="399"/>
      <c r="DB17" s="399"/>
      <c r="DC17" s="399"/>
      <c r="DD17" s="399"/>
      <c r="DE17" s="399"/>
      <c r="DF17" s="399"/>
      <c r="DG17" s="399"/>
      <c r="DH17" s="399"/>
      <c r="DI17" s="399"/>
      <c r="DJ17" s="399"/>
      <c r="DK17" s="399">
        <v>0</v>
      </c>
      <c r="DL17" s="399"/>
      <c r="DM17" s="399"/>
      <c r="DN17" s="399"/>
      <c r="DO17" s="399"/>
      <c r="DP17" s="399"/>
      <c r="DQ17" s="399"/>
      <c r="DR17" s="399"/>
      <c r="DS17" s="399"/>
      <c r="DT17" s="399"/>
      <c r="DU17" s="399"/>
      <c r="DV17" s="399"/>
      <c r="DW17" s="399"/>
      <c r="DX17" s="399"/>
      <c r="DY17" s="399"/>
      <c r="DZ17" s="399"/>
      <c r="EA17" s="399"/>
      <c r="EB17" s="399"/>
      <c r="EC17" s="399"/>
      <c r="ED17" s="399"/>
      <c r="EE17" s="399"/>
      <c r="EF17" s="399"/>
      <c r="EG17" s="399"/>
      <c r="EH17" s="399"/>
      <c r="EI17" s="399"/>
      <c r="EJ17" s="399"/>
      <c r="EK17" s="399"/>
      <c r="EL17" s="399"/>
      <c r="EM17" s="399"/>
      <c r="EN17" s="399"/>
      <c r="EO17" s="399"/>
      <c r="EP17" s="399"/>
      <c r="EQ17" s="399"/>
      <c r="ER17" s="399"/>
      <c r="ES17" s="399"/>
      <c r="ET17" s="399"/>
      <c r="EU17" s="399"/>
      <c r="EV17" s="399">
        <v>230</v>
      </c>
      <c r="EW17" s="399"/>
      <c r="EX17" s="399"/>
      <c r="EY17" s="399"/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2337</v>
      </c>
      <c r="D18" s="399" t="s">
        <v>533</v>
      </c>
      <c r="E18" s="399" t="s">
        <v>890</v>
      </c>
      <c r="F18" s="399" t="s">
        <v>1239</v>
      </c>
      <c r="G18" s="399" t="s">
        <v>1239</v>
      </c>
      <c r="H18" s="399" t="s">
        <v>1239</v>
      </c>
      <c r="I18" s="399" t="s">
        <v>893</v>
      </c>
      <c r="J18" s="399" t="s">
        <v>2329</v>
      </c>
      <c r="K18" s="789">
        <v>44440</v>
      </c>
      <c r="L18" s="399">
        <v>0</v>
      </c>
      <c r="M18" s="399">
        <v>0</v>
      </c>
      <c r="N18" s="399">
        <v>811.77</v>
      </c>
      <c r="O18" s="399">
        <v>811.77</v>
      </c>
      <c r="P18" s="399">
        <v>811.77</v>
      </c>
      <c r="Q18" s="399">
        <v>811.77</v>
      </c>
      <c r="R18" s="399"/>
      <c r="S18" s="399">
        <v>1351.49</v>
      </c>
      <c r="T18" s="399">
        <v>128.11000000000001</v>
      </c>
      <c r="U18" s="399"/>
      <c r="V18" s="399">
        <v>1201094.892</v>
      </c>
      <c r="W18" s="399">
        <v>1201094.892</v>
      </c>
      <c r="X18" s="399">
        <v>926968.2807</v>
      </c>
      <c r="Y18" s="399">
        <v>0</v>
      </c>
      <c r="Z18" s="399">
        <v>43233.217347060141</v>
      </c>
      <c r="AA18" s="399">
        <v>0</v>
      </c>
      <c r="AB18" s="399">
        <v>0</v>
      </c>
      <c r="AC18" s="399">
        <v>0</v>
      </c>
      <c r="AD18" s="399">
        <v>0</v>
      </c>
      <c r="AE18" s="399">
        <v>912384.53305954381</v>
      </c>
      <c r="AF18" s="399">
        <v>103996.70415657079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7674.35214988405</v>
      </c>
      <c r="AM18" s="399"/>
      <c r="AN18" s="399">
        <v>399.06666183589363</v>
      </c>
      <c r="AO18" s="399">
        <v>16862.51595781518</v>
      </c>
      <c r="AP18" s="399">
        <v>89694.153756190834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4252.5507536213663</v>
      </c>
      <c r="BH18" s="399">
        <v>0</v>
      </c>
      <c r="BI18" s="399">
        <v>0</v>
      </c>
      <c r="BJ18" s="399">
        <v>0</v>
      </c>
      <c r="BK18" s="399">
        <v>0</v>
      </c>
      <c r="BL18" s="399">
        <v>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108249.25491019216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926968.2807</v>
      </c>
      <c r="CJ18" s="399">
        <v>-274126.64130000002</v>
      </c>
      <c r="CK18" s="399"/>
      <c r="CL18" s="399"/>
      <c r="CM18" s="399"/>
      <c r="CN18" s="399"/>
      <c r="CO18" s="399">
        <v>-278883.58349999995</v>
      </c>
      <c r="CP18" s="399">
        <v>4756.9721999999883</v>
      </c>
      <c r="CQ18" s="399">
        <v>30</v>
      </c>
      <c r="CR18" s="399">
        <v>7980.1934192516492</v>
      </c>
      <c r="CS18" s="399">
        <v>1230.8930133274189</v>
      </c>
      <c r="CT18" s="399">
        <v>6547.297418191316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0</v>
      </c>
      <c r="DA18" s="399">
        <v>0</v>
      </c>
      <c r="DB18" s="399">
        <v>0</v>
      </c>
      <c r="DC18" s="399">
        <v>4756.51294724732</v>
      </c>
      <c r="DD18" s="399">
        <v>0</v>
      </c>
      <c r="DE18" s="399">
        <v>0</v>
      </c>
      <c r="DF18" s="399">
        <v>0</v>
      </c>
      <c r="DG18" s="399">
        <v>194.49955537025198</v>
      </c>
      <c r="DH18" s="399">
        <v>0</v>
      </c>
      <c r="DI18" s="399">
        <v>-4089.4811538879221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-612.77077957216716</v>
      </c>
      <c r="DP18" s="399">
        <v>-46.757581424631155</v>
      </c>
      <c r="DQ18" s="399">
        <v>0</v>
      </c>
      <c r="DR18" s="399">
        <v>0</v>
      </c>
      <c r="DS18" s="399"/>
      <c r="DT18" s="399"/>
      <c r="DU18" s="399"/>
      <c r="DV18" s="399">
        <v>912384.53305954381</v>
      </c>
      <c r="DW18" s="399">
        <v>0</v>
      </c>
      <c r="DX18" s="399">
        <v>0</v>
      </c>
      <c r="DY18" s="399">
        <v>-278883.58349999995</v>
      </c>
      <c r="DZ18" s="399">
        <v>4756.9721999999892</v>
      </c>
      <c r="EA18" s="399">
        <v>0</v>
      </c>
      <c r="EB18" s="399">
        <v>0</v>
      </c>
      <c r="EC18" s="399">
        <v>-282110.14149839384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22598.627926214547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230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2337</v>
      </c>
      <c r="D19" s="399" t="s">
        <v>533</v>
      </c>
      <c r="E19" s="399" t="s">
        <v>890</v>
      </c>
      <c r="F19" s="399" t="s">
        <v>1239</v>
      </c>
      <c r="G19" s="399" t="s">
        <v>1239</v>
      </c>
      <c r="H19" s="399" t="s">
        <v>1239</v>
      </c>
      <c r="I19" s="399" t="s">
        <v>2326</v>
      </c>
      <c r="J19" s="399" t="s">
        <v>2329</v>
      </c>
      <c r="K19" s="789">
        <v>44440</v>
      </c>
      <c r="L19" s="399">
        <v>0</v>
      </c>
      <c r="M19" s="399">
        <v>0</v>
      </c>
      <c r="N19" s="399">
        <v>12866.733</v>
      </c>
      <c r="O19" s="399">
        <v>12866.733</v>
      </c>
      <c r="P19" s="399">
        <v>12866.733</v>
      </c>
      <c r="Q19" s="399">
        <v>12866.733</v>
      </c>
      <c r="R19" s="399"/>
      <c r="S19" s="399">
        <v>96.28</v>
      </c>
      <c r="T19" s="399">
        <v>128.11000000000001</v>
      </c>
      <c r="U19" s="399"/>
      <c r="V19" s="399">
        <v>2887166.2178700003</v>
      </c>
      <c r="W19" s="399">
        <v>2887166.2178700003</v>
      </c>
      <c r="X19" s="399">
        <v>2890382.9011200001</v>
      </c>
      <c r="Y19" s="399">
        <v>0</v>
      </c>
      <c r="Z19" s="399">
        <v>685256.00149745774</v>
      </c>
      <c r="AA19" s="399">
        <v>0</v>
      </c>
      <c r="AB19" s="399">
        <v>0</v>
      </c>
      <c r="AC19" s="399">
        <v>0</v>
      </c>
      <c r="AD19" s="399">
        <v>0</v>
      </c>
      <c r="AE19" s="399">
        <v>0</v>
      </c>
      <c r="AF19" s="399">
        <v>1648370.628703434</v>
      </c>
      <c r="AG19" s="399">
        <v>0</v>
      </c>
      <c r="AH19" s="399">
        <v>0</v>
      </c>
      <c r="AI19" s="399">
        <v>0</v>
      </c>
      <c r="AJ19" s="399">
        <v>0</v>
      </c>
      <c r="AK19" s="399">
        <v>0</v>
      </c>
      <c r="AL19" s="399">
        <v>121640.16908796095</v>
      </c>
      <c r="AM19" s="399"/>
      <c r="AN19" s="399">
        <v>6325.2943408154197</v>
      </c>
      <c r="AO19" s="399">
        <v>0</v>
      </c>
      <c r="AP19" s="399">
        <v>0</v>
      </c>
      <c r="AQ19" s="399">
        <v>0</v>
      </c>
      <c r="AR19" s="399">
        <v>0</v>
      </c>
      <c r="AS19" s="399">
        <v>0</v>
      </c>
      <c r="AT19" s="399">
        <v>0</v>
      </c>
      <c r="AU19" s="399">
        <v>0</v>
      </c>
      <c r="AV19" s="399">
        <v>0</v>
      </c>
      <c r="AW19" s="399">
        <v>0</v>
      </c>
      <c r="AX19" s="399">
        <v>0</v>
      </c>
      <c r="AY19" s="399">
        <v>0</v>
      </c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>
        <v>0</v>
      </c>
      <c r="BG19" s="399">
        <v>67403.864537732239</v>
      </c>
      <c r="BH19" s="399">
        <v>0</v>
      </c>
      <c r="BI19" s="399">
        <v>0</v>
      </c>
      <c r="BJ19" s="399">
        <v>0</v>
      </c>
      <c r="BK19" s="399">
        <v>0</v>
      </c>
      <c r="BL19" s="399">
        <v>0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1715774.4932411662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2890382.2272000001</v>
      </c>
      <c r="CJ19" s="399">
        <v>3215.9793300000019</v>
      </c>
      <c r="CK19" s="399"/>
      <c r="CL19" s="399"/>
      <c r="CM19" s="399"/>
      <c r="CN19" s="399"/>
      <c r="CO19" s="399">
        <v>-72182.372129999989</v>
      </c>
      <c r="CP19" s="399">
        <v>75399.055379999816</v>
      </c>
      <c r="CQ19" s="399">
        <v>30</v>
      </c>
      <c r="CR19" s="399">
        <v>3201.7917739767581</v>
      </c>
      <c r="CS19" s="399">
        <v>0</v>
      </c>
      <c r="CT19" s="399">
        <v>0</v>
      </c>
      <c r="CU19" s="399">
        <v>0</v>
      </c>
      <c r="CV19" s="399">
        <v>0</v>
      </c>
      <c r="CW19" s="399">
        <v>0</v>
      </c>
      <c r="CX19" s="399">
        <v>0</v>
      </c>
      <c r="CY19" s="399">
        <v>0</v>
      </c>
      <c r="CZ19" s="399">
        <v>0</v>
      </c>
      <c r="DA19" s="399">
        <v>0</v>
      </c>
      <c r="DB19" s="399">
        <v>0</v>
      </c>
      <c r="DC19" s="399">
        <v>75391.776122885058</v>
      </c>
      <c r="DD19" s="399">
        <v>0</v>
      </c>
      <c r="DE19" s="399">
        <v>0</v>
      </c>
      <c r="DF19" s="399">
        <v>0</v>
      </c>
      <c r="DG19" s="399">
        <v>3082.8607211005001</v>
      </c>
      <c r="DH19" s="399">
        <v>0</v>
      </c>
      <c r="DI19" s="399">
        <v>-64819.175524604158</v>
      </c>
      <c r="DJ19" s="399"/>
      <c r="DK19" s="399">
        <v>0</v>
      </c>
      <c r="DL19" s="399">
        <v>0</v>
      </c>
      <c r="DM19" s="399">
        <v>0</v>
      </c>
      <c r="DN19" s="399">
        <v>0</v>
      </c>
      <c r="DO19" s="399">
        <v>-9712.5515983060905</v>
      </c>
      <c r="DP19" s="399">
        <v>-741.11794709891819</v>
      </c>
      <c r="DQ19" s="399">
        <v>0</v>
      </c>
      <c r="DR19" s="399">
        <v>0</v>
      </c>
      <c r="DS19" s="399"/>
      <c r="DT19" s="399"/>
      <c r="DU19" s="399"/>
      <c r="DV19" s="399">
        <v>0</v>
      </c>
      <c r="DW19" s="399">
        <v>0</v>
      </c>
      <c r="DX19" s="399">
        <v>0</v>
      </c>
      <c r="DY19" s="399">
        <v>-72182.372130000032</v>
      </c>
      <c r="DZ19" s="399">
        <v>75399.055379999802</v>
      </c>
      <c r="EA19" s="399">
        <v>0</v>
      </c>
      <c r="EB19" s="399">
        <v>0</v>
      </c>
      <c r="EC19" s="399">
        <v>0</v>
      </c>
      <c r="ED19" s="399">
        <v>0</v>
      </c>
      <c r="EE19" s="399">
        <v>0</v>
      </c>
      <c r="EF19" s="399">
        <v>0</v>
      </c>
      <c r="EG19" s="399">
        <v>0</v>
      </c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>
        <v>0</v>
      </c>
      <c r="EN19" s="399">
        <v>0</v>
      </c>
      <c r="EO19" s="399">
        <v>0</v>
      </c>
      <c r="EP19" s="399">
        <v>358193.22183986387</v>
      </c>
      <c r="EQ19" s="399">
        <v>0</v>
      </c>
      <c r="ER19" s="399">
        <v>0</v>
      </c>
      <c r="ES19" s="399">
        <v>0</v>
      </c>
      <c r="ET19" s="399">
        <v>0</v>
      </c>
      <c r="EU19" s="399">
        <v>0</v>
      </c>
      <c r="EV19" s="399">
        <v>230</v>
      </c>
      <c r="EW19" s="399">
        <v>0</v>
      </c>
      <c r="EX19" s="399">
        <v>0</v>
      </c>
      <c r="EY19" s="399">
        <v>0</v>
      </c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2337</v>
      </c>
      <c r="D20" s="399" t="s">
        <v>533</v>
      </c>
      <c r="E20" s="399" t="s">
        <v>890</v>
      </c>
      <c r="F20" s="399" t="s">
        <v>1239</v>
      </c>
      <c r="G20" s="399" t="s">
        <v>1239</v>
      </c>
      <c r="H20" s="399" t="s">
        <v>1239</v>
      </c>
      <c r="I20" s="399" t="s">
        <v>1239</v>
      </c>
      <c r="J20" s="399" t="s">
        <v>2329</v>
      </c>
      <c r="K20" s="789">
        <v>44440</v>
      </c>
      <c r="L20" s="399">
        <v>49987</v>
      </c>
      <c r="M20" s="399">
        <v>49987</v>
      </c>
      <c r="N20" s="399">
        <v>0</v>
      </c>
      <c r="O20" s="399">
        <v>0</v>
      </c>
      <c r="P20" s="399">
        <v>0</v>
      </c>
      <c r="Q20" s="399">
        <v>0</v>
      </c>
      <c r="R20" s="399">
        <v>18.12</v>
      </c>
      <c r="S20" s="399"/>
      <c r="T20" s="399"/>
      <c r="U20" s="399">
        <v>905764.44000000006</v>
      </c>
      <c r="V20" s="399"/>
      <c r="W20" s="399">
        <v>905764.44000000006</v>
      </c>
      <c r="X20" s="399">
        <v>722312.14999999991</v>
      </c>
      <c r="Y20" s="399">
        <v>0</v>
      </c>
      <c r="Z20" s="399">
        <v>0</v>
      </c>
      <c r="AA20" s="399">
        <v>0</v>
      </c>
      <c r="AB20" s="399">
        <v>0</v>
      </c>
      <c r="AC20" s="399">
        <v>0</v>
      </c>
      <c r="AD20" s="399">
        <v>0</v>
      </c>
      <c r="AE20" s="399">
        <v>652777.14970121114</v>
      </c>
      <c r="AF20" s="399"/>
      <c r="AG20" s="399"/>
      <c r="AH20" s="399"/>
      <c r="AI20" s="399">
        <v>0</v>
      </c>
      <c r="AJ20" s="399">
        <v>0</v>
      </c>
      <c r="AK20" s="399">
        <v>0</v>
      </c>
      <c r="AL20" s="399">
        <v>0</v>
      </c>
      <c r="AM20" s="399"/>
      <c r="AN20" s="399">
        <v>0</v>
      </c>
      <c r="AO20" s="399">
        <v>39733.18728314319</v>
      </c>
      <c r="AP20" s="399">
        <v>213010.65481897345</v>
      </c>
      <c r="AQ20" s="399">
        <v>0</v>
      </c>
      <c r="AR20" s="399">
        <v>0</v>
      </c>
      <c r="AS20" s="399"/>
      <c r="AT20" s="399"/>
      <c r="AU20" s="399">
        <v>0</v>
      </c>
      <c r="AV20" s="399">
        <v>0</v>
      </c>
      <c r="AW20" s="399">
        <v>0</v>
      </c>
      <c r="AX20" s="399"/>
      <c r="AY20" s="399"/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/>
      <c r="BG20" s="399">
        <v>0</v>
      </c>
      <c r="BH20" s="399">
        <v>0</v>
      </c>
      <c r="BI20" s="399">
        <v>0</v>
      </c>
      <c r="BJ20" s="399">
        <v>0</v>
      </c>
      <c r="BK20" s="399">
        <v>1818939.28</v>
      </c>
      <c r="BL20" s="399">
        <v>97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0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722312.14999999991</v>
      </c>
      <c r="CJ20" s="399">
        <v>-183452.32000000018</v>
      </c>
      <c r="CK20" s="399"/>
      <c r="CL20" s="399"/>
      <c r="CM20" s="399"/>
      <c r="CN20" s="399"/>
      <c r="CO20" s="399">
        <v>-183452.2900000001</v>
      </c>
      <c r="CP20" s="399">
        <v>0</v>
      </c>
      <c r="CQ20" s="399">
        <v>30</v>
      </c>
      <c r="CR20" s="399">
        <v>18449.241511960776</v>
      </c>
      <c r="CS20" s="399">
        <v>2900.3561951491429</v>
      </c>
      <c r="CT20" s="399">
        <v>15548.885316811647</v>
      </c>
      <c r="CU20" s="399">
        <v>0</v>
      </c>
      <c r="CV20" s="399">
        <v>0</v>
      </c>
      <c r="CW20" s="399"/>
      <c r="CX20" s="399"/>
      <c r="CY20" s="399"/>
      <c r="CZ20" s="399">
        <v>0</v>
      </c>
      <c r="DA20" s="399">
        <v>0</v>
      </c>
      <c r="DB20" s="399">
        <v>0</v>
      </c>
      <c r="DC20" s="399"/>
      <c r="DD20" s="399"/>
      <c r="DE20" s="399">
        <v>0</v>
      </c>
      <c r="DF20" s="399">
        <v>0</v>
      </c>
      <c r="DG20" s="399">
        <v>0</v>
      </c>
      <c r="DH20" s="399">
        <v>0</v>
      </c>
      <c r="DI20" s="399">
        <v>0</v>
      </c>
      <c r="DJ20" s="399"/>
      <c r="DK20" s="399">
        <v>0</v>
      </c>
      <c r="DL20" s="399">
        <v>0</v>
      </c>
      <c r="DM20" s="399"/>
      <c r="DN20" s="399">
        <v>0</v>
      </c>
      <c r="DO20" s="399">
        <v>0</v>
      </c>
      <c r="DP20" s="399">
        <v>0</v>
      </c>
      <c r="DQ20" s="399">
        <v>0</v>
      </c>
      <c r="DR20" s="399">
        <v>0</v>
      </c>
      <c r="DS20" s="399"/>
      <c r="DT20" s="399"/>
      <c r="DU20" s="399">
        <v>652777.14970121114</v>
      </c>
      <c r="DV20" s="399"/>
      <c r="DW20" s="399">
        <v>0</v>
      </c>
      <c r="DX20" s="399">
        <v>0</v>
      </c>
      <c r="DY20" s="399">
        <v>-183452.29000000015</v>
      </c>
      <c r="DZ20" s="399"/>
      <c r="EA20" s="399">
        <v>0</v>
      </c>
      <c r="EB20" s="399"/>
      <c r="EC20" s="399">
        <v>-201839.29844973597</v>
      </c>
      <c r="ED20" s="399"/>
      <c r="EE20" s="399">
        <v>0</v>
      </c>
      <c r="EF20" s="399">
        <v>0</v>
      </c>
      <c r="EG20" s="399"/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/>
      <c r="EN20" s="399"/>
      <c r="EO20" s="399">
        <v>0</v>
      </c>
      <c r="EP20" s="399">
        <v>0</v>
      </c>
      <c r="EQ20" s="399"/>
      <c r="ER20" s="399">
        <v>0</v>
      </c>
      <c r="ES20" s="399"/>
      <c r="ET20" s="399">
        <v>0</v>
      </c>
      <c r="EU20" s="399"/>
      <c r="EV20" s="399">
        <v>230</v>
      </c>
      <c r="EW20" s="399"/>
      <c r="EX20" s="399"/>
      <c r="EY20" s="399"/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2328</v>
      </c>
      <c r="D21" s="399" t="s">
        <v>1826</v>
      </c>
      <c r="E21" s="399" t="s">
        <v>918</v>
      </c>
      <c r="F21" s="399" t="s">
        <v>1239</v>
      </c>
      <c r="G21" s="399" t="s">
        <v>1239</v>
      </c>
      <c r="H21" s="399" t="s">
        <v>1239</v>
      </c>
      <c r="I21" s="399" t="s">
        <v>1239</v>
      </c>
      <c r="J21" s="399" t="s">
        <v>2329</v>
      </c>
      <c r="K21" s="789">
        <v>44440</v>
      </c>
      <c r="L21" s="399">
        <v>0</v>
      </c>
      <c r="M21" s="399">
        <v>0</v>
      </c>
      <c r="N21" s="399">
        <v>1024.357</v>
      </c>
      <c r="O21" s="399">
        <v>1024.357</v>
      </c>
      <c r="P21" s="399">
        <v>1024.357</v>
      </c>
      <c r="Q21" s="399">
        <v>1024.357</v>
      </c>
      <c r="R21" s="399"/>
      <c r="S21" s="399">
        <v>333.61</v>
      </c>
      <c r="T21" s="399">
        <v>128.11000000000001</v>
      </c>
      <c r="U21" s="399"/>
      <c r="V21" s="399">
        <v>472966.11404000001</v>
      </c>
      <c r="W21" s="399">
        <v>472966.11404000001</v>
      </c>
      <c r="X21" s="399">
        <v>412846.60170999996</v>
      </c>
      <c r="Y21" s="399">
        <v>0</v>
      </c>
      <c r="Z21" s="399">
        <v>62707.089789153033</v>
      </c>
      <c r="AA21" s="399">
        <v>0</v>
      </c>
      <c r="AB21" s="399">
        <v>0</v>
      </c>
      <c r="AC21" s="399">
        <v>0</v>
      </c>
      <c r="AD21" s="399">
        <v>0</v>
      </c>
      <c r="AE21" s="399">
        <v>199233.54216544508</v>
      </c>
      <c r="AF21" s="399">
        <v>131231.44718296116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9684.1178476647037</v>
      </c>
      <c r="AM21" s="399"/>
      <c r="AN21" s="399">
        <v>881.34437449723384</v>
      </c>
      <c r="AO21" s="399">
        <v>3560.6855916587742</v>
      </c>
      <c r="AP21" s="399">
        <v>18994.27855663763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13898.855645442698</v>
      </c>
      <c r="BH21" s="399">
        <v>0</v>
      </c>
      <c r="BI21" s="399">
        <v>0</v>
      </c>
      <c r="BJ21" s="399">
        <v>0</v>
      </c>
      <c r="BK21" s="399">
        <v>175010.36</v>
      </c>
      <c r="BL21" s="399">
        <v>1641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145130.30282840386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412847.81079999992</v>
      </c>
      <c r="CJ21" s="399">
        <v>-60118.333240000124</v>
      </c>
      <c r="CK21" s="399"/>
      <c r="CL21" s="399"/>
      <c r="CM21" s="399"/>
      <c r="CN21" s="399"/>
      <c r="CO21" s="399">
        <v>-66122.244350000008</v>
      </c>
      <c r="CP21" s="399">
        <v>6002.7320199999849</v>
      </c>
      <c r="CQ21" s="399">
        <v>30</v>
      </c>
      <c r="CR21" s="399">
        <v>1476.2181793928612</v>
      </c>
      <c r="CS21" s="399">
        <v>259.91512941443489</v>
      </c>
      <c r="CT21" s="399">
        <v>1386.5027512532106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0</v>
      </c>
      <c r="DA21" s="399">
        <v>0</v>
      </c>
      <c r="DB21" s="399">
        <v>0</v>
      </c>
      <c r="DC21" s="399">
        <v>6002.1524977560621</v>
      </c>
      <c r="DD21" s="399">
        <v>0</v>
      </c>
      <c r="DE21" s="399">
        <v>0</v>
      </c>
      <c r="DF21" s="399">
        <v>0</v>
      </c>
      <c r="DG21" s="399">
        <v>635.69405747634119</v>
      </c>
      <c r="DH21" s="399">
        <v>0</v>
      </c>
      <c r="DI21" s="399">
        <v>-5931.5377768278267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-773.24369889279842</v>
      </c>
      <c r="DP21" s="399">
        <v>-103.2647807865286</v>
      </c>
      <c r="DQ21" s="399">
        <v>0</v>
      </c>
      <c r="DR21" s="399">
        <v>0</v>
      </c>
      <c r="DS21" s="399"/>
      <c r="DT21" s="399"/>
      <c r="DU21" s="399"/>
      <c r="DV21" s="399">
        <v>199233.54216544508</v>
      </c>
      <c r="DW21" s="399">
        <v>0</v>
      </c>
      <c r="DX21" s="399">
        <v>0</v>
      </c>
      <c r="DY21" s="399">
        <v>-66122.244349999994</v>
      </c>
      <c r="DZ21" s="399">
        <v>6002.7320199999667</v>
      </c>
      <c r="EA21" s="399">
        <v>0</v>
      </c>
      <c r="EB21" s="399">
        <v>0</v>
      </c>
      <c r="EC21" s="399">
        <v>-61603.195511263912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32777.902673883742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230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2331</v>
      </c>
      <c r="C22" s="399" t="s">
        <v>2328</v>
      </c>
      <c r="D22" s="399" t="s">
        <v>1826</v>
      </c>
      <c r="E22" s="399" t="s">
        <v>918</v>
      </c>
      <c r="F22" s="399" t="s">
        <v>1239</v>
      </c>
      <c r="G22" s="399" t="s">
        <v>1239</v>
      </c>
      <c r="H22" s="399" t="s">
        <v>1239</v>
      </c>
      <c r="I22" s="399" t="s">
        <v>1239</v>
      </c>
      <c r="J22" s="399" t="s">
        <v>2329</v>
      </c>
      <c r="K22" s="789">
        <v>44440</v>
      </c>
      <c r="L22" s="399">
        <v>0</v>
      </c>
      <c r="M22" s="399">
        <v>0</v>
      </c>
      <c r="N22" s="399">
        <v>0.49</v>
      </c>
      <c r="O22" s="399">
        <v>0.49</v>
      </c>
      <c r="P22" s="399">
        <v>0.49</v>
      </c>
      <c r="Q22" s="399">
        <v>0.49</v>
      </c>
      <c r="R22" s="399"/>
      <c r="S22" s="399">
        <v>333.61</v>
      </c>
      <c r="T22" s="399">
        <v>128.11000000000001</v>
      </c>
      <c r="U22" s="399"/>
      <c r="V22" s="399">
        <v>226.24279999999999</v>
      </c>
      <c r="W22" s="399">
        <v>226.24279999999999</v>
      </c>
      <c r="X22" s="399">
        <v>197.4847</v>
      </c>
      <c r="Y22" s="399">
        <v>0</v>
      </c>
      <c r="Z22" s="399">
        <v>29.995864719707082</v>
      </c>
      <c r="AA22" s="399">
        <v>0</v>
      </c>
      <c r="AB22" s="399">
        <v>0</v>
      </c>
      <c r="AC22" s="399">
        <v>0</v>
      </c>
      <c r="AD22" s="399">
        <v>0</v>
      </c>
      <c r="AE22" s="399">
        <v>95.303137149517298</v>
      </c>
      <c r="AF22" s="399">
        <v>62.774412748339664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4.6323867024442693</v>
      </c>
      <c r="AM22" s="399"/>
      <c r="AN22" s="399">
        <v>0.42159007406953297</v>
      </c>
      <c r="AO22" s="399">
        <v>1.7032498825241584</v>
      </c>
      <c r="AP22" s="399">
        <v>9.0858914350684774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6.648501710113683</v>
      </c>
      <c r="BH22" s="399">
        <v>0</v>
      </c>
      <c r="BI22" s="399">
        <v>0</v>
      </c>
      <c r="BJ22" s="399">
        <v>0</v>
      </c>
      <c r="BK22" s="399">
        <v>1002.23</v>
      </c>
      <c r="BL22" s="399">
        <v>4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69.422914458453349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197.4847</v>
      </c>
      <c r="CJ22" s="399">
        <v>-28.788099999999957</v>
      </c>
      <c r="CK22" s="399"/>
      <c r="CL22" s="399"/>
      <c r="CM22" s="399"/>
      <c r="CN22" s="399"/>
      <c r="CO22" s="399">
        <v>-31.629500000000004</v>
      </c>
      <c r="CP22" s="399">
        <v>2.8713999999999928</v>
      </c>
      <c r="CQ22" s="399">
        <v>30</v>
      </c>
      <c r="CR22" s="399">
        <v>0.70614727863676308</v>
      </c>
      <c r="CS22" s="399">
        <v>0.12433010504450404</v>
      </c>
      <c r="CT22" s="399">
        <v>0.66323200614050748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0</v>
      </c>
      <c r="DA22" s="399">
        <v>0</v>
      </c>
      <c r="DB22" s="399">
        <v>0</v>
      </c>
      <c r="DC22" s="399">
        <v>2.8711227861970556</v>
      </c>
      <c r="DD22" s="399">
        <v>0</v>
      </c>
      <c r="DE22" s="399">
        <v>0</v>
      </c>
      <c r="DF22" s="399">
        <v>0</v>
      </c>
      <c r="DG22" s="399">
        <v>0.30408352572726827</v>
      </c>
      <c r="DH22" s="399">
        <v>0</v>
      </c>
      <c r="DI22" s="399">
        <v>-2.8373443151612534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-0.36988023946482596</v>
      </c>
      <c r="DP22" s="399">
        <v>-4.9396589846507633E-2</v>
      </c>
      <c r="DQ22" s="399">
        <v>0</v>
      </c>
      <c r="DR22" s="399">
        <v>0</v>
      </c>
      <c r="DS22" s="399"/>
      <c r="DT22" s="399"/>
      <c r="DU22" s="399"/>
      <c r="DV22" s="399">
        <v>95.303137149517298</v>
      </c>
      <c r="DW22" s="399">
        <v>0</v>
      </c>
      <c r="DX22" s="399">
        <v>0</v>
      </c>
      <c r="DY22" s="399">
        <v>-31.629499999999979</v>
      </c>
      <c r="DZ22" s="399">
        <v>2.8713999999999871</v>
      </c>
      <c r="EA22" s="399">
        <v>0</v>
      </c>
      <c r="EB22" s="399">
        <v>0</v>
      </c>
      <c r="EC22" s="399">
        <v>-29.467818153748468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15.679272275391327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230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2337</v>
      </c>
      <c r="D23" s="399" t="s">
        <v>533</v>
      </c>
      <c r="E23" s="399" t="s">
        <v>918</v>
      </c>
      <c r="F23" s="399" t="s">
        <v>1239</v>
      </c>
      <c r="G23" s="399" t="s">
        <v>1239</v>
      </c>
      <c r="H23" s="399" t="s">
        <v>1239</v>
      </c>
      <c r="I23" s="399" t="s">
        <v>893</v>
      </c>
      <c r="J23" s="399" t="s">
        <v>2329</v>
      </c>
      <c r="K23" s="789">
        <v>44440</v>
      </c>
      <c r="L23" s="399">
        <v>0</v>
      </c>
      <c r="M23" s="399">
        <v>0</v>
      </c>
      <c r="N23" s="399">
        <v>34.100999999999999</v>
      </c>
      <c r="O23" s="399">
        <v>34.100999999999999</v>
      </c>
      <c r="P23" s="399">
        <v>34.100999999999999</v>
      </c>
      <c r="Q23" s="399">
        <v>34.100999999999999</v>
      </c>
      <c r="R23" s="399"/>
      <c r="S23" s="399">
        <v>1351.49</v>
      </c>
      <c r="T23" s="399">
        <v>128.11000000000001</v>
      </c>
      <c r="U23" s="399"/>
      <c r="V23" s="399">
        <v>50455.839599999999</v>
      </c>
      <c r="W23" s="399">
        <v>50455.839599999999</v>
      </c>
      <c r="X23" s="399">
        <v>38940.272910000007</v>
      </c>
      <c r="Y23" s="399">
        <v>0</v>
      </c>
      <c r="Z23" s="399">
        <v>1816.149826616034</v>
      </c>
      <c r="AA23" s="399">
        <v>0</v>
      </c>
      <c r="AB23" s="399">
        <v>0</v>
      </c>
      <c r="AC23" s="399">
        <v>0</v>
      </c>
      <c r="AD23" s="399">
        <v>0</v>
      </c>
      <c r="AE23" s="399">
        <v>38327.635859742913</v>
      </c>
      <c r="AF23" s="399">
        <v>4368.7147941451649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322.38575293888169</v>
      </c>
      <c r="AM23" s="399"/>
      <c r="AN23" s="399">
        <v>16.764073857454459</v>
      </c>
      <c r="AO23" s="399">
        <v>708.36401527212809</v>
      </c>
      <c r="AP23" s="399">
        <v>3767.8903349961979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178.64202083009005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4547.3568149752546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38939.131000000001</v>
      </c>
      <c r="CJ23" s="399">
        <v>-11516.738600000004</v>
      </c>
      <c r="CK23" s="399"/>
      <c r="CL23" s="399"/>
      <c r="CM23" s="399"/>
      <c r="CN23" s="399"/>
      <c r="CO23" s="399">
        <v>-11715.398549999998</v>
      </c>
      <c r="CP23" s="399">
        <v>199.83185999999949</v>
      </c>
      <c r="CQ23" s="399">
        <v>30</v>
      </c>
      <c r="CR23" s="399">
        <v>335.23359546410575</v>
      </c>
      <c r="CS23" s="399">
        <v>51.707605168309215</v>
      </c>
      <c r="CT23" s="399">
        <v>275.04020751905364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0</v>
      </c>
      <c r="DA23" s="399">
        <v>0</v>
      </c>
      <c r="DB23" s="399">
        <v>0</v>
      </c>
      <c r="DC23" s="399">
        <v>199.81256761654276</v>
      </c>
      <c r="DD23" s="399">
        <v>0</v>
      </c>
      <c r="DE23" s="399">
        <v>0</v>
      </c>
      <c r="DF23" s="399">
        <v>0</v>
      </c>
      <c r="DG23" s="399">
        <v>8.1705770571479377</v>
      </c>
      <c r="DH23" s="399">
        <v>0</v>
      </c>
      <c r="DI23" s="399">
        <v>-171.7917597702949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-25.741400093857237</v>
      </c>
      <c r="DP23" s="399">
        <v>-1.964202032794196</v>
      </c>
      <c r="DQ23" s="399">
        <v>0</v>
      </c>
      <c r="DR23" s="399">
        <v>0</v>
      </c>
      <c r="DS23" s="399"/>
      <c r="DT23" s="399"/>
      <c r="DU23" s="399"/>
      <c r="DV23" s="399">
        <v>38327.635859742913</v>
      </c>
      <c r="DW23" s="399">
        <v>0</v>
      </c>
      <c r="DX23" s="399">
        <v>0</v>
      </c>
      <c r="DY23" s="399">
        <v>-11715.398549999998</v>
      </c>
      <c r="DZ23" s="399">
        <v>199.83186000000023</v>
      </c>
      <c r="EA23" s="399">
        <v>0</v>
      </c>
      <c r="EB23" s="399">
        <v>0</v>
      </c>
      <c r="EC23" s="399">
        <v>-11850.940457564004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949.3277786957417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230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2337</v>
      </c>
      <c r="D24" s="399" t="s">
        <v>533</v>
      </c>
      <c r="E24" s="399" t="s">
        <v>918</v>
      </c>
      <c r="F24" s="399" t="s">
        <v>1239</v>
      </c>
      <c r="G24" s="399" t="s">
        <v>1239</v>
      </c>
      <c r="H24" s="399" t="s">
        <v>1239</v>
      </c>
      <c r="I24" s="399" t="s">
        <v>2326</v>
      </c>
      <c r="J24" s="399" t="s">
        <v>2329</v>
      </c>
      <c r="K24" s="789">
        <v>44440</v>
      </c>
      <c r="L24" s="399">
        <v>0</v>
      </c>
      <c r="M24" s="399">
        <v>0</v>
      </c>
      <c r="N24" s="399">
        <v>402.84899999999999</v>
      </c>
      <c r="O24" s="399">
        <v>402.84899999999999</v>
      </c>
      <c r="P24" s="399">
        <v>402.84899999999999</v>
      </c>
      <c r="Q24" s="399">
        <v>402.84899999999999</v>
      </c>
      <c r="R24" s="399"/>
      <c r="S24" s="399">
        <v>96.28</v>
      </c>
      <c r="T24" s="399">
        <v>128.11000000000001</v>
      </c>
      <c r="U24" s="399"/>
      <c r="V24" s="399">
        <v>90395.287110000005</v>
      </c>
      <c r="W24" s="399">
        <v>90395.287110000005</v>
      </c>
      <c r="X24" s="399">
        <v>90495.999359999987</v>
      </c>
      <c r="Y24" s="399">
        <v>0</v>
      </c>
      <c r="Z24" s="399">
        <v>21454.917495159752</v>
      </c>
      <c r="AA24" s="399">
        <v>0</v>
      </c>
      <c r="AB24" s="399">
        <v>0</v>
      </c>
      <c r="AC24" s="399">
        <v>0</v>
      </c>
      <c r="AD24" s="399">
        <v>0</v>
      </c>
      <c r="AE24" s="399">
        <v>0</v>
      </c>
      <c r="AF24" s="399">
        <v>51609.406941338544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3808.4741850876972</v>
      </c>
      <c r="AM24" s="399"/>
      <c r="AN24" s="399">
        <v>198.04083133637349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2110.3709407167225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53719.777882055263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90496.224000000002</v>
      </c>
      <c r="CJ24" s="399">
        <v>100.90689000001294</v>
      </c>
      <c r="CK24" s="399"/>
      <c r="CL24" s="399"/>
      <c r="CM24" s="399"/>
      <c r="CN24" s="399"/>
      <c r="CO24" s="399">
        <v>-2259.9828899999998</v>
      </c>
      <c r="CP24" s="399">
        <v>2360.6951399999939</v>
      </c>
      <c r="CQ24" s="399">
        <v>30</v>
      </c>
      <c r="CR24" s="399">
        <v>100.246007619382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0</v>
      </c>
      <c r="DA24" s="399">
        <v>0</v>
      </c>
      <c r="DB24" s="399">
        <v>0</v>
      </c>
      <c r="DC24" s="399">
        <v>2360.4672312177499</v>
      </c>
      <c r="DD24" s="399">
        <v>0</v>
      </c>
      <c r="DE24" s="399">
        <v>0</v>
      </c>
      <c r="DF24" s="399">
        <v>0</v>
      </c>
      <c r="DG24" s="399">
        <v>96.522354092107889</v>
      </c>
      <c r="DH24" s="399">
        <v>0</v>
      </c>
      <c r="DI24" s="399">
        <v>-2029.4460171755527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-304.0936420166654</v>
      </c>
      <c r="DP24" s="399">
        <v>-23.203918498258417</v>
      </c>
      <c r="DQ24" s="399">
        <v>0</v>
      </c>
      <c r="DR24" s="399">
        <v>0</v>
      </c>
      <c r="DS24" s="399"/>
      <c r="DT24" s="399"/>
      <c r="DU24" s="399"/>
      <c r="DV24" s="399">
        <v>0</v>
      </c>
      <c r="DW24" s="399">
        <v>0</v>
      </c>
      <c r="DX24" s="399">
        <v>0</v>
      </c>
      <c r="DY24" s="399">
        <v>-2259.9828899999993</v>
      </c>
      <c r="DZ24" s="399">
        <v>2360.6951399999962</v>
      </c>
      <c r="EA24" s="399">
        <v>0</v>
      </c>
      <c r="EB24" s="399">
        <v>0</v>
      </c>
      <c r="EC24" s="399">
        <v>0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11214.795645869648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230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2337</v>
      </c>
      <c r="D25" s="399" t="s">
        <v>533</v>
      </c>
      <c r="E25" s="399" t="s">
        <v>918</v>
      </c>
      <c r="F25" s="399" t="s">
        <v>1239</v>
      </c>
      <c r="G25" s="399" t="s">
        <v>1239</v>
      </c>
      <c r="H25" s="399" t="s">
        <v>1239</v>
      </c>
      <c r="I25" s="399" t="s">
        <v>1239</v>
      </c>
      <c r="J25" s="399" t="s">
        <v>2329</v>
      </c>
      <c r="K25" s="789">
        <v>44440</v>
      </c>
      <c r="L25" s="399">
        <v>1642</v>
      </c>
      <c r="M25" s="399">
        <v>1642</v>
      </c>
      <c r="N25" s="399">
        <v>0</v>
      </c>
      <c r="O25" s="399">
        <v>0</v>
      </c>
      <c r="P25" s="399">
        <v>0</v>
      </c>
      <c r="Q25" s="399">
        <v>0</v>
      </c>
      <c r="R25" s="399">
        <v>18.12</v>
      </c>
      <c r="S25" s="399"/>
      <c r="T25" s="399"/>
      <c r="U25" s="399">
        <v>29753.040000000001</v>
      </c>
      <c r="V25" s="399"/>
      <c r="W25" s="399">
        <v>29753.040000000001</v>
      </c>
      <c r="X25" s="399">
        <v>23726.899999999998</v>
      </c>
      <c r="Y25" s="399">
        <v>0</v>
      </c>
      <c r="Z25" s="399">
        <v>0</v>
      </c>
      <c r="AA25" s="399">
        <v>0</v>
      </c>
      <c r="AB25" s="399">
        <v>0</v>
      </c>
      <c r="AC25" s="399">
        <v>0</v>
      </c>
      <c r="AD25" s="399">
        <v>0</v>
      </c>
      <c r="AE25" s="399">
        <v>21442.77671813449</v>
      </c>
      <c r="AF25" s="399"/>
      <c r="AG25" s="399"/>
      <c r="AH25" s="399"/>
      <c r="AI25" s="399">
        <v>0</v>
      </c>
      <c r="AJ25" s="399">
        <v>0</v>
      </c>
      <c r="AK25" s="399">
        <v>0</v>
      </c>
      <c r="AL25" s="399">
        <v>0</v>
      </c>
      <c r="AM25" s="399"/>
      <c r="AN25" s="399">
        <v>0</v>
      </c>
      <c r="AO25" s="399">
        <v>1305.1772164547006</v>
      </c>
      <c r="AP25" s="399">
        <v>6997.0891474334203</v>
      </c>
      <c r="AQ25" s="399">
        <v>0</v>
      </c>
      <c r="AR25" s="399">
        <v>0</v>
      </c>
      <c r="AS25" s="399"/>
      <c r="AT25" s="399"/>
      <c r="AU25" s="399">
        <v>0</v>
      </c>
      <c r="AV25" s="399">
        <v>0</v>
      </c>
      <c r="AW25" s="399">
        <v>0</v>
      </c>
      <c r="AX25" s="399"/>
      <c r="AY25" s="399"/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/>
      <c r="BG25" s="399">
        <v>0</v>
      </c>
      <c r="BH25" s="399">
        <v>0</v>
      </c>
      <c r="BI25" s="399">
        <v>0</v>
      </c>
      <c r="BJ25" s="399">
        <v>0</v>
      </c>
      <c r="BK25" s="399">
        <v>65984.350000000006</v>
      </c>
      <c r="BL25" s="399">
        <v>17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0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23726.899999999998</v>
      </c>
      <c r="CJ25" s="399">
        <v>-6026.1699999999983</v>
      </c>
      <c r="CK25" s="399"/>
      <c r="CL25" s="399"/>
      <c r="CM25" s="399"/>
      <c r="CN25" s="399"/>
      <c r="CO25" s="399">
        <v>-6026.1400000000031</v>
      </c>
      <c r="CP25" s="399">
        <v>0</v>
      </c>
      <c r="CQ25" s="399">
        <v>30</v>
      </c>
      <c r="CR25" s="399">
        <v>606.03065922419228</v>
      </c>
      <c r="CS25" s="399">
        <v>95.272468290453389</v>
      </c>
      <c r="CT25" s="399">
        <v>510.75819093373775</v>
      </c>
      <c r="CU25" s="399">
        <v>0</v>
      </c>
      <c r="CV25" s="399">
        <v>0</v>
      </c>
      <c r="CW25" s="399"/>
      <c r="CX25" s="399"/>
      <c r="CY25" s="399"/>
      <c r="CZ25" s="399">
        <v>0</v>
      </c>
      <c r="DA25" s="399">
        <v>0</v>
      </c>
      <c r="DB25" s="399">
        <v>0</v>
      </c>
      <c r="DC25" s="399"/>
      <c r="DD25" s="399"/>
      <c r="DE25" s="399">
        <v>0</v>
      </c>
      <c r="DF25" s="399">
        <v>0</v>
      </c>
      <c r="DG25" s="399">
        <v>0</v>
      </c>
      <c r="DH25" s="399">
        <v>0</v>
      </c>
      <c r="DI25" s="399">
        <v>0</v>
      </c>
      <c r="DJ25" s="399"/>
      <c r="DK25" s="399">
        <v>0</v>
      </c>
      <c r="DL25" s="399">
        <v>0</v>
      </c>
      <c r="DM25" s="399"/>
      <c r="DN25" s="399">
        <v>0</v>
      </c>
      <c r="DO25" s="399">
        <v>0</v>
      </c>
      <c r="DP25" s="399">
        <v>0</v>
      </c>
      <c r="DQ25" s="399">
        <v>0</v>
      </c>
      <c r="DR25" s="399">
        <v>0</v>
      </c>
      <c r="DS25" s="399"/>
      <c r="DT25" s="399"/>
      <c r="DU25" s="399">
        <v>21442.77671813449</v>
      </c>
      <c r="DV25" s="399"/>
      <c r="DW25" s="399">
        <v>0</v>
      </c>
      <c r="DX25" s="399">
        <v>0</v>
      </c>
      <c r="DY25" s="399">
        <v>-6026.1400000000031</v>
      </c>
      <c r="DZ25" s="399"/>
      <c r="EA25" s="399">
        <v>0</v>
      </c>
      <c r="EB25" s="399"/>
      <c r="EC25" s="399">
        <v>-6630.1263939517576</v>
      </c>
      <c r="ED25" s="399"/>
      <c r="EE25" s="399">
        <v>0</v>
      </c>
      <c r="EF25" s="399">
        <v>0</v>
      </c>
      <c r="EG25" s="399"/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/>
      <c r="EN25" s="399"/>
      <c r="EO25" s="399">
        <v>0</v>
      </c>
      <c r="EP25" s="399">
        <v>0</v>
      </c>
      <c r="EQ25" s="399"/>
      <c r="ER25" s="399">
        <v>0</v>
      </c>
      <c r="ES25" s="399"/>
      <c r="ET25" s="399">
        <v>0</v>
      </c>
      <c r="EU25" s="399"/>
      <c r="EV25" s="399">
        <v>230</v>
      </c>
      <c r="EW25" s="399"/>
      <c r="EX25" s="399"/>
      <c r="EY25" s="399"/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956</v>
      </c>
      <c r="C26" s="399" t="s">
        <v>2328</v>
      </c>
      <c r="D26" s="399" t="s">
        <v>2340</v>
      </c>
      <c r="E26" s="399" t="s">
        <v>894</v>
      </c>
      <c r="F26" s="399" t="s">
        <v>1239</v>
      </c>
      <c r="G26" s="399" t="s">
        <v>1239</v>
      </c>
      <c r="H26" s="399" t="s">
        <v>1239</v>
      </c>
      <c r="I26" s="399" t="s">
        <v>1239</v>
      </c>
      <c r="J26" s="399" t="s">
        <v>2329</v>
      </c>
      <c r="K26" s="789">
        <v>44440</v>
      </c>
      <c r="L26" s="399">
        <v>0</v>
      </c>
      <c r="M26" s="399">
        <v>0</v>
      </c>
      <c r="N26" s="399">
        <v>1132.354</v>
      </c>
      <c r="O26" s="399">
        <v>1132.354</v>
      </c>
      <c r="P26" s="399">
        <v>1132.354</v>
      </c>
      <c r="Q26" s="399">
        <v>1132.354</v>
      </c>
      <c r="R26" s="399"/>
      <c r="S26" s="399">
        <v>333.61</v>
      </c>
      <c r="T26" s="399">
        <v>128.11000000000001</v>
      </c>
      <c r="U26" s="399"/>
      <c r="V26" s="399">
        <v>522830.48888000008</v>
      </c>
      <c r="W26" s="399">
        <v>522830.48888000008</v>
      </c>
      <c r="X26" s="399">
        <v>456372.63262000005</v>
      </c>
      <c r="Y26" s="399">
        <v>0</v>
      </c>
      <c r="Z26" s="399">
        <v>69318.239589426928</v>
      </c>
      <c r="AA26" s="399">
        <v>0</v>
      </c>
      <c r="AB26" s="399">
        <v>0</v>
      </c>
      <c r="AC26" s="399">
        <v>0</v>
      </c>
      <c r="AD26" s="399">
        <v>0</v>
      </c>
      <c r="AE26" s="399">
        <v>220238.54808939697</v>
      </c>
      <c r="AF26" s="399">
        <v>145067.05586374167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10705.105330733833</v>
      </c>
      <c r="AM26" s="399"/>
      <c r="AN26" s="399">
        <v>974.2636872100652</v>
      </c>
      <c r="AO26" s="399">
        <v>3936.0853417872677</v>
      </c>
      <c r="AP26" s="399">
        <v>20996.827571562306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15364.198990722591</v>
      </c>
      <c r="BH26" s="399">
        <v>0</v>
      </c>
      <c r="BI26" s="399">
        <v>0</v>
      </c>
      <c r="BJ26" s="399">
        <v>0</v>
      </c>
      <c r="BK26" s="399">
        <v>104948.09</v>
      </c>
      <c r="BL26" s="399">
        <v>2356</v>
      </c>
      <c r="BM26" s="399"/>
      <c r="BN26" s="399"/>
      <c r="BO26" s="399"/>
      <c r="BP26" s="399"/>
      <c r="BQ26" s="399"/>
      <c r="BR26" s="399">
        <v>54771.962979999989</v>
      </c>
      <c r="BS26" s="399"/>
      <c r="BT26" s="399"/>
      <c r="BU26" s="399"/>
      <c r="BV26" s="399">
        <v>160431.25485446426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401599.25099999999</v>
      </c>
      <c r="CJ26" s="399">
        <v>-58498.856280000065</v>
      </c>
      <c r="CK26" s="399"/>
      <c r="CL26" s="399"/>
      <c r="CM26" s="399"/>
      <c r="CN26" s="399"/>
      <c r="CO26" s="399">
        <v>-73093.450700000016</v>
      </c>
      <c r="CP26" s="399">
        <v>6635.5944399999835</v>
      </c>
      <c r="CQ26" s="399">
        <v>30</v>
      </c>
      <c r="CR26" s="399">
        <v>1631.8544807213475</v>
      </c>
      <c r="CS26" s="399">
        <v>287.31773830115162</v>
      </c>
      <c r="CT26" s="399">
        <v>1532.6804389412828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0</v>
      </c>
      <c r="DA26" s="399">
        <v>0</v>
      </c>
      <c r="DB26" s="399">
        <v>0</v>
      </c>
      <c r="DC26" s="399">
        <v>6634.9538192681212</v>
      </c>
      <c r="DD26" s="399">
        <v>0</v>
      </c>
      <c r="DE26" s="399">
        <v>0</v>
      </c>
      <c r="DF26" s="399">
        <v>0</v>
      </c>
      <c r="DG26" s="399">
        <v>702.7146871252553</v>
      </c>
      <c r="DH26" s="399">
        <v>0</v>
      </c>
      <c r="DI26" s="399">
        <v>-6556.8942543879675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-854.76605852847752</v>
      </c>
      <c r="DP26" s="399">
        <v>-114.15188999806583</v>
      </c>
      <c r="DQ26" s="399">
        <v>0</v>
      </c>
      <c r="DR26" s="399">
        <v>0</v>
      </c>
      <c r="DS26" s="399"/>
      <c r="DT26" s="399"/>
      <c r="DU26" s="399"/>
      <c r="DV26" s="399">
        <v>220238.54808939697</v>
      </c>
      <c r="DW26" s="399">
        <v>0</v>
      </c>
      <c r="DX26" s="399">
        <v>0</v>
      </c>
      <c r="DY26" s="399">
        <v>-73093.450699999987</v>
      </c>
      <c r="DZ26" s="399">
        <v>6635.5944399999862</v>
      </c>
      <c r="EA26" s="399">
        <v>0</v>
      </c>
      <c r="EB26" s="399">
        <v>0</v>
      </c>
      <c r="EC26" s="399">
        <v>-68097.962770754471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36233.646281894835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230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2331</v>
      </c>
      <c r="C27" s="399" t="s">
        <v>2328</v>
      </c>
      <c r="D27" s="399" t="s">
        <v>2340</v>
      </c>
      <c r="E27" s="399" t="s">
        <v>894</v>
      </c>
      <c r="F27" s="399" t="s">
        <v>1239</v>
      </c>
      <c r="G27" s="399" t="s">
        <v>1239</v>
      </c>
      <c r="H27" s="399" t="s">
        <v>1239</v>
      </c>
      <c r="I27" s="399" t="s">
        <v>1239</v>
      </c>
      <c r="J27" s="399" t="s">
        <v>2329</v>
      </c>
      <c r="K27" s="789">
        <v>44440</v>
      </c>
      <c r="L27" s="399">
        <v>0</v>
      </c>
      <c r="M27" s="399">
        <v>0</v>
      </c>
      <c r="N27" s="399">
        <v>17.155000000000001</v>
      </c>
      <c r="O27" s="399">
        <v>17.155000000000001</v>
      </c>
      <c r="P27" s="399">
        <v>17.155000000000001</v>
      </c>
      <c r="Q27" s="399">
        <v>17.155000000000001</v>
      </c>
      <c r="R27" s="399"/>
      <c r="S27" s="399">
        <v>333.61</v>
      </c>
      <c r="T27" s="399">
        <v>128.11000000000001</v>
      </c>
      <c r="U27" s="399"/>
      <c r="V27" s="399">
        <v>7920.8066000000008</v>
      </c>
      <c r="W27" s="399">
        <v>7920.8066000000008</v>
      </c>
      <c r="X27" s="399">
        <v>6913.9796500000011</v>
      </c>
      <c r="Y27" s="399">
        <v>0</v>
      </c>
      <c r="Z27" s="399">
        <v>1050.1613454419899</v>
      </c>
      <c r="AA27" s="399">
        <v>0</v>
      </c>
      <c r="AB27" s="399">
        <v>0</v>
      </c>
      <c r="AC27" s="399">
        <v>0</v>
      </c>
      <c r="AD27" s="399">
        <v>0</v>
      </c>
      <c r="AE27" s="399">
        <v>3336.5822812244273</v>
      </c>
      <c r="AF27" s="399">
        <v>2197.7450014240144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162.1808038376152</v>
      </c>
      <c r="AM27" s="399"/>
      <c r="AN27" s="399">
        <v>14.759954531964977</v>
      </c>
      <c r="AO27" s="399">
        <v>59.631125989187638</v>
      </c>
      <c r="AP27" s="399">
        <v>318.09891340530555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232.76540170816375</v>
      </c>
      <c r="BH27" s="399">
        <v>0</v>
      </c>
      <c r="BI27" s="399">
        <v>0</v>
      </c>
      <c r="BJ27" s="399">
        <v>0</v>
      </c>
      <c r="BK27" s="399">
        <v>5260.69</v>
      </c>
      <c r="BL27" s="399">
        <v>16</v>
      </c>
      <c r="BM27" s="399"/>
      <c r="BN27" s="399"/>
      <c r="BO27" s="399"/>
      <c r="BP27" s="399"/>
      <c r="BQ27" s="399"/>
      <c r="BR27" s="399">
        <v>829.78734999999983</v>
      </c>
      <c r="BS27" s="399"/>
      <c r="BT27" s="399"/>
      <c r="BU27" s="399"/>
      <c r="BV27" s="399">
        <v>2430.510403132178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6085.9656000000004</v>
      </c>
      <c r="CJ27" s="399">
        <v>-884.48400000000129</v>
      </c>
      <c r="CK27" s="399"/>
      <c r="CL27" s="399"/>
      <c r="CM27" s="399"/>
      <c r="CN27" s="399"/>
      <c r="CO27" s="399">
        <v>-1107.3552500000003</v>
      </c>
      <c r="CP27" s="399">
        <v>100.52829999999976</v>
      </c>
      <c r="CQ27" s="399">
        <v>30</v>
      </c>
      <c r="CR27" s="399">
        <v>24.722360336761994</v>
      </c>
      <c r="CS27" s="399">
        <v>4.3528223510989079</v>
      </c>
      <c r="CT27" s="399">
        <v>23.219887888449819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0</v>
      </c>
      <c r="DA27" s="399">
        <v>0</v>
      </c>
      <c r="DB27" s="399">
        <v>0</v>
      </c>
      <c r="DC27" s="399">
        <v>100.51859468818475</v>
      </c>
      <c r="DD27" s="399">
        <v>0</v>
      </c>
      <c r="DE27" s="399">
        <v>0</v>
      </c>
      <c r="DF27" s="399">
        <v>0</v>
      </c>
      <c r="DG27" s="399">
        <v>10.646026293574067</v>
      </c>
      <c r="DH27" s="399">
        <v>0</v>
      </c>
      <c r="DI27" s="399">
        <v>-99.336003523655677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-12.949582669426718</v>
      </c>
      <c r="DP27" s="399">
        <v>-1.7293846914629363</v>
      </c>
      <c r="DQ27" s="399">
        <v>0</v>
      </c>
      <c r="DR27" s="399">
        <v>0</v>
      </c>
      <c r="DS27" s="399"/>
      <c r="DT27" s="399"/>
      <c r="DU27" s="399"/>
      <c r="DV27" s="399">
        <v>3336.5822812244273</v>
      </c>
      <c r="DW27" s="399">
        <v>0</v>
      </c>
      <c r="DX27" s="399">
        <v>0</v>
      </c>
      <c r="DY27" s="399">
        <v>-1107.3552499999996</v>
      </c>
      <c r="DZ27" s="399">
        <v>100.52829999999949</v>
      </c>
      <c r="EA27" s="399">
        <v>0</v>
      </c>
      <c r="EB27" s="399">
        <v>0</v>
      </c>
      <c r="EC27" s="399">
        <v>-1031.6743274031733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548.93452221293512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230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2328</v>
      </c>
      <c r="D28" s="399" t="s">
        <v>1826</v>
      </c>
      <c r="E28" s="399" t="s">
        <v>2341</v>
      </c>
      <c r="F28" s="399" t="s">
        <v>1239</v>
      </c>
      <c r="G28" s="399" t="s">
        <v>1239</v>
      </c>
      <c r="H28" s="399" t="s">
        <v>1239</v>
      </c>
      <c r="I28" s="399" t="s">
        <v>1239</v>
      </c>
      <c r="J28" s="399" t="s">
        <v>2329</v>
      </c>
      <c r="K28" s="789">
        <v>44440</v>
      </c>
      <c r="L28" s="399">
        <v>0</v>
      </c>
      <c r="M28" s="399">
        <v>0</v>
      </c>
      <c r="N28" s="399">
        <v>164.27799999999999</v>
      </c>
      <c r="O28" s="399">
        <v>164.27799999999999</v>
      </c>
      <c r="P28" s="399">
        <v>164.27799999999999</v>
      </c>
      <c r="Q28" s="399">
        <v>164.27799999999999</v>
      </c>
      <c r="R28" s="399"/>
      <c r="S28" s="399">
        <v>333.61</v>
      </c>
      <c r="T28" s="399">
        <v>128.11000000000001</v>
      </c>
      <c r="U28" s="399"/>
      <c r="V28" s="399">
        <v>75850.438160000005</v>
      </c>
      <c r="W28" s="399">
        <v>75850.438160000005</v>
      </c>
      <c r="X28" s="399">
        <v>66208.962339999998</v>
      </c>
      <c r="Y28" s="399">
        <v>0</v>
      </c>
      <c r="Z28" s="399">
        <v>10056.450335559264</v>
      </c>
      <c r="AA28" s="399">
        <v>0</v>
      </c>
      <c r="AB28" s="399">
        <v>0</v>
      </c>
      <c r="AC28" s="399">
        <v>0</v>
      </c>
      <c r="AD28" s="399">
        <v>0</v>
      </c>
      <c r="AE28" s="399">
        <v>31951.446458466125</v>
      </c>
      <c r="AF28" s="399">
        <v>21045.826484636211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1553.0596381717137</v>
      </c>
      <c r="AM28" s="399"/>
      <c r="AN28" s="399">
        <v>141.34280446529539</v>
      </c>
      <c r="AO28" s="399">
        <v>571.03364122715038</v>
      </c>
      <c r="AP28" s="399">
        <v>3046.1470881024065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2228.9848243552156</v>
      </c>
      <c r="BH28" s="399">
        <v>0</v>
      </c>
      <c r="BI28" s="399">
        <v>0</v>
      </c>
      <c r="BJ28" s="399">
        <v>0</v>
      </c>
      <c r="BK28" s="399">
        <v>23686.97</v>
      </c>
      <c r="BL28" s="399">
        <v>208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23274.811308991426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66209.768400000001</v>
      </c>
      <c r="CJ28" s="399">
        <v>-9640.6997600000032</v>
      </c>
      <c r="CK28" s="399"/>
      <c r="CL28" s="399"/>
      <c r="CM28" s="399"/>
      <c r="CN28" s="399"/>
      <c r="CO28" s="399">
        <v>-10604.144900000001</v>
      </c>
      <c r="CP28" s="399">
        <v>962.66907999999751</v>
      </c>
      <c r="CQ28" s="399">
        <v>30</v>
      </c>
      <c r="CR28" s="399">
        <v>236.7438013058927</v>
      </c>
      <c r="CS28" s="399">
        <v>41.683063258165362</v>
      </c>
      <c r="CT28" s="399">
        <v>222.35597449949046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0</v>
      </c>
      <c r="DA28" s="399">
        <v>0</v>
      </c>
      <c r="DB28" s="399">
        <v>0</v>
      </c>
      <c r="DC28" s="399">
        <v>962.57614096098041</v>
      </c>
      <c r="DD28" s="399">
        <v>0</v>
      </c>
      <c r="DE28" s="399">
        <v>0</v>
      </c>
      <c r="DF28" s="399">
        <v>0</v>
      </c>
      <c r="DG28" s="399">
        <v>101.94741518249839</v>
      </c>
      <c r="DH28" s="399">
        <v>0</v>
      </c>
      <c r="DI28" s="399">
        <v>-951.25152940012231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-124.0065019975566</v>
      </c>
      <c r="DP28" s="399">
        <v>-16.560761197560382</v>
      </c>
      <c r="DQ28" s="399">
        <v>0</v>
      </c>
      <c r="DR28" s="399">
        <v>0</v>
      </c>
      <c r="DS28" s="399"/>
      <c r="DT28" s="399"/>
      <c r="DU28" s="399"/>
      <c r="DV28" s="399">
        <v>31951.446458466125</v>
      </c>
      <c r="DW28" s="399">
        <v>0</v>
      </c>
      <c r="DX28" s="399">
        <v>0</v>
      </c>
      <c r="DY28" s="399">
        <v>-10604.144900000007</v>
      </c>
      <c r="DZ28" s="399">
        <v>962.66907999999603</v>
      </c>
      <c r="EA28" s="399">
        <v>0</v>
      </c>
      <c r="EB28" s="399">
        <v>0</v>
      </c>
      <c r="EC28" s="399">
        <v>-9879.4167972683463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5256.6520221566043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230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2337</v>
      </c>
      <c r="D29" s="399" t="s">
        <v>533</v>
      </c>
      <c r="E29" s="399" t="s">
        <v>2341</v>
      </c>
      <c r="F29" s="399" t="s">
        <v>1239</v>
      </c>
      <c r="G29" s="399" t="s">
        <v>1239</v>
      </c>
      <c r="H29" s="399" t="s">
        <v>1239</v>
      </c>
      <c r="I29" s="399" t="s">
        <v>893</v>
      </c>
      <c r="J29" s="399" t="s">
        <v>2329</v>
      </c>
      <c r="K29" s="789">
        <v>44440</v>
      </c>
      <c r="L29" s="399">
        <v>0</v>
      </c>
      <c r="M29" s="399">
        <v>0</v>
      </c>
      <c r="N29" s="399">
        <v>1.9390000000000001</v>
      </c>
      <c r="O29" s="399">
        <v>1.9390000000000001</v>
      </c>
      <c r="P29" s="399">
        <v>1.9390000000000001</v>
      </c>
      <c r="Q29" s="399">
        <v>1.9390000000000001</v>
      </c>
      <c r="R29" s="399"/>
      <c r="S29" s="399">
        <v>1351.49</v>
      </c>
      <c r="T29" s="399">
        <v>128.11000000000001</v>
      </c>
      <c r="U29" s="399"/>
      <c r="V29" s="399">
        <v>2868.9444000000003</v>
      </c>
      <c r="W29" s="399">
        <v>2868.9444000000003</v>
      </c>
      <c r="X29" s="399">
        <v>2214.1634899999999</v>
      </c>
      <c r="Y29" s="399">
        <v>0</v>
      </c>
      <c r="Z29" s="399">
        <v>103.26719198288878</v>
      </c>
      <c r="AA29" s="399">
        <v>0</v>
      </c>
      <c r="AB29" s="399">
        <v>0</v>
      </c>
      <c r="AC29" s="399">
        <v>0</v>
      </c>
      <c r="AD29" s="399">
        <v>0</v>
      </c>
      <c r="AE29" s="399">
        <v>2179.3286393959565</v>
      </c>
      <c r="AF29" s="399">
        <v>248.40731901842983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18.331015951100895</v>
      </c>
      <c r="AM29" s="399"/>
      <c r="AN29" s="399">
        <v>0.95321366557004783</v>
      </c>
      <c r="AO29" s="399">
        <v>40.2779339495222</v>
      </c>
      <c r="AP29" s="399">
        <v>214.24413828209225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10.157675094265407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258.56499411269522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2215.3054000000002</v>
      </c>
      <c r="CJ29" s="399">
        <v>-653.66900000000078</v>
      </c>
      <c r="CK29" s="399"/>
      <c r="CL29" s="399"/>
      <c r="CM29" s="399"/>
      <c r="CN29" s="399"/>
      <c r="CO29" s="399">
        <v>-666.14344999999992</v>
      </c>
      <c r="CP29" s="399">
        <v>11.362539999999973</v>
      </c>
      <c r="CQ29" s="399">
        <v>30</v>
      </c>
      <c r="CR29" s="399">
        <v>19.061550734726325</v>
      </c>
      <c r="CS29" s="399">
        <v>2.9401204193821684</v>
      </c>
      <c r="CT29" s="399">
        <v>15.638924441495732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0</v>
      </c>
      <c r="DA29" s="399">
        <v>0</v>
      </c>
      <c r="DB29" s="399">
        <v>0</v>
      </c>
      <c r="DC29" s="399">
        <v>11.361443025379771</v>
      </c>
      <c r="DD29" s="399">
        <v>0</v>
      </c>
      <c r="DE29" s="399">
        <v>0</v>
      </c>
      <c r="DF29" s="399">
        <v>0</v>
      </c>
      <c r="DG29" s="399">
        <v>0.46458311820209985</v>
      </c>
      <c r="DH29" s="399">
        <v>0</v>
      </c>
      <c r="DI29" s="399">
        <v>-9.7681658072960147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-1.4636689475965277</v>
      </c>
      <c r="DP29" s="399">
        <v>-0.11168551484085365</v>
      </c>
      <c r="DQ29" s="399">
        <v>0</v>
      </c>
      <c r="DR29" s="399">
        <v>0</v>
      </c>
      <c r="DS29" s="399"/>
      <c r="DT29" s="399"/>
      <c r="DU29" s="399"/>
      <c r="DV29" s="399">
        <v>2179.3286393959565</v>
      </c>
      <c r="DW29" s="399">
        <v>0</v>
      </c>
      <c r="DX29" s="399">
        <v>0</v>
      </c>
      <c r="DY29" s="399">
        <v>-666.14345000000003</v>
      </c>
      <c r="DZ29" s="399">
        <v>11.362539999999967</v>
      </c>
      <c r="EA29" s="399">
        <v>0</v>
      </c>
      <c r="EB29" s="399">
        <v>0</v>
      </c>
      <c r="EC29" s="399">
        <v>-673.85043099078052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53.97925465209358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230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2337</v>
      </c>
      <c r="D30" s="399" t="s">
        <v>533</v>
      </c>
      <c r="E30" s="399" t="s">
        <v>2341</v>
      </c>
      <c r="F30" s="399" t="s">
        <v>1239</v>
      </c>
      <c r="G30" s="399" t="s">
        <v>1239</v>
      </c>
      <c r="H30" s="399" t="s">
        <v>1239</v>
      </c>
      <c r="I30" s="399" t="s">
        <v>2326</v>
      </c>
      <c r="J30" s="399" t="s">
        <v>2329</v>
      </c>
      <c r="K30" s="789">
        <v>44440</v>
      </c>
      <c r="L30" s="399">
        <v>0</v>
      </c>
      <c r="M30" s="399">
        <v>0</v>
      </c>
      <c r="N30" s="399">
        <v>20.654</v>
      </c>
      <c r="O30" s="399">
        <v>20.654</v>
      </c>
      <c r="P30" s="399">
        <v>20.654</v>
      </c>
      <c r="Q30" s="399">
        <v>20.654</v>
      </c>
      <c r="R30" s="399"/>
      <c r="S30" s="399">
        <v>96.28</v>
      </c>
      <c r="T30" s="399">
        <v>128.11000000000001</v>
      </c>
      <c r="U30" s="399"/>
      <c r="V30" s="399">
        <v>4634.5510599999998</v>
      </c>
      <c r="W30" s="399">
        <v>4634.5510599999998</v>
      </c>
      <c r="X30" s="399">
        <v>4639.7145600000003</v>
      </c>
      <c r="Y30" s="399">
        <v>0</v>
      </c>
      <c r="Z30" s="399">
        <v>1099.9899861859642</v>
      </c>
      <c r="AA30" s="399">
        <v>0</v>
      </c>
      <c r="AB30" s="399">
        <v>0</v>
      </c>
      <c r="AC30" s="399">
        <v>0</v>
      </c>
      <c r="AD30" s="399">
        <v>0</v>
      </c>
      <c r="AE30" s="399">
        <v>0</v>
      </c>
      <c r="AF30" s="399">
        <v>2646.0055528657294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195.25982643323255</v>
      </c>
      <c r="AM30" s="399"/>
      <c r="AN30" s="399">
        <v>10.153519880703335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108.19836069982347</v>
      </c>
      <c r="BH30" s="399">
        <v>0</v>
      </c>
      <c r="BI30" s="399">
        <v>0</v>
      </c>
      <c r="BJ30" s="399">
        <v>0</v>
      </c>
      <c r="BK30" s="399">
        <v>0</v>
      </c>
      <c r="BL30" s="399">
        <v>0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2754.2039135655527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4638.8159999999998</v>
      </c>
      <c r="CJ30" s="399">
        <v>4.2349399999993693</v>
      </c>
      <c r="CK30" s="399"/>
      <c r="CL30" s="399"/>
      <c r="CM30" s="399"/>
      <c r="CN30" s="399"/>
      <c r="CO30" s="399">
        <v>-115.86893999999998</v>
      </c>
      <c r="CP30" s="399">
        <v>121.0324399999997</v>
      </c>
      <c r="CQ30" s="399">
        <v>30</v>
      </c>
      <c r="CR30" s="399">
        <v>5.1395958321136277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0</v>
      </c>
      <c r="DA30" s="399">
        <v>0</v>
      </c>
      <c r="DB30" s="399">
        <v>0</v>
      </c>
      <c r="DC30" s="399">
        <v>121.02075515533488</v>
      </c>
      <c r="DD30" s="399">
        <v>0</v>
      </c>
      <c r="DE30" s="399">
        <v>0</v>
      </c>
      <c r="DF30" s="399">
        <v>0</v>
      </c>
      <c r="DG30" s="399">
        <v>4.948684746439497</v>
      </c>
      <c r="DH30" s="399">
        <v>0</v>
      </c>
      <c r="DI30" s="399">
        <v>-104.04935357601437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-15.590829522258218</v>
      </c>
      <c r="DP30" s="399">
        <v>-1.1896609713888555</v>
      </c>
      <c r="DQ30" s="399">
        <v>0</v>
      </c>
      <c r="DR30" s="399">
        <v>0</v>
      </c>
      <c r="DS30" s="399"/>
      <c r="DT30" s="399"/>
      <c r="DU30" s="399"/>
      <c r="DV30" s="399">
        <v>0</v>
      </c>
      <c r="DW30" s="399">
        <v>0</v>
      </c>
      <c r="DX30" s="399">
        <v>0</v>
      </c>
      <c r="DY30" s="399">
        <v>-115.86893999999984</v>
      </c>
      <c r="DZ30" s="399">
        <v>121.03243999999995</v>
      </c>
      <c r="EA30" s="399">
        <v>0</v>
      </c>
      <c r="EB30" s="399">
        <v>0</v>
      </c>
      <c r="EC30" s="399">
        <v>0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574.98067332869562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230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2337</v>
      </c>
      <c r="D31" s="399" t="s">
        <v>533</v>
      </c>
      <c r="E31" s="399" t="s">
        <v>2341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2329</v>
      </c>
      <c r="K31" s="789">
        <v>44440</v>
      </c>
      <c r="L31" s="399">
        <v>320</v>
      </c>
      <c r="M31" s="399">
        <v>320</v>
      </c>
      <c r="N31" s="399">
        <v>0</v>
      </c>
      <c r="O31" s="399">
        <v>0</v>
      </c>
      <c r="P31" s="399">
        <v>0</v>
      </c>
      <c r="Q31" s="399">
        <v>0</v>
      </c>
      <c r="R31" s="399">
        <v>18.12</v>
      </c>
      <c r="S31" s="399"/>
      <c r="T31" s="399"/>
      <c r="U31" s="399">
        <v>5798.4000000000005</v>
      </c>
      <c r="V31" s="399"/>
      <c r="W31" s="399">
        <v>5798.4000000000005</v>
      </c>
      <c r="X31" s="399">
        <v>4624</v>
      </c>
      <c r="Y31" s="399">
        <v>0</v>
      </c>
      <c r="Z31" s="399">
        <v>0</v>
      </c>
      <c r="AA31" s="399">
        <v>0</v>
      </c>
      <c r="AB31" s="399">
        <v>0</v>
      </c>
      <c r="AC31" s="399">
        <v>0</v>
      </c>
      <c r="AD31" s="399">
        <v>0</v>
      </c>
      <c r="AE31" s="399">
        <v>4178.8602617558081</v>
      </c>
      <c r="AF31" s="399"/>
      <c r="AG31" s="399"/>
      <c r="AH31" s="399"/>
      <c r="AI31" s="399">
        <v>0</v>
      </c>
      <c r="AJ31" s="399">
        <v>0</v>
      </c>
      <c r="AK31" s="399">
        <v>0</v>
      </c>
      <c r="AL31" s="399">
        <v>0</v>
      </c>
      <c r="AM31" s="399"/>
      <c r="AN31" s="399">
        <v>0</v>
      </c>
      <c r="AO31" s="399">
        <v>254.35853183039231</v>
      </c>
      <c r="AP31" s="399">
        <v>1363.6227327519455</v>
      </c>
      <c r="AQ31" s="399">
        <v>0</v>
      </c>
      <c r="AR31" s="399">
        <v>0</v>
      </c>
      <c r="AS31" s="399"/>
      <c r="AT31" s="399"/>
      <c r="AU31" s="399">
        <v>0</v>
      </c>
      <c r="AV31" s="399">
        <v>0</v>
      </c>
      <c r="AW31" s="399">
        <v>0</v>
      </c>
      <c r="AX31" s="399"/>
      <c r="AY31" s="399"/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/>
      <c r="BG31" s="399">
        <v>0</v>
      </c>
      <c r="BH31" s="399">
        <v>0</v>
      </c>
      <c r="BI31" s="399">
        <v>0</v>
      </c>
      <c r="BJ31" s="399">
        <v>0</v>
      </c>
      <c r="BK31" s="399">
        <v>4446.43</v>
      </c>
      <c r="BL31" s="399">
        <v>3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0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4624</v>
      </c>
      <c r="CJ31" s="399">
        <v>-1174.4300000000012</v>
      </c>
      <c r="CK31" s="399"/>
      <c r="CL31" s="399"/>
      <c r="CM31" s="399"/>
      <c r="CN31" s="399"/>
      <c r="CO31" s="399">
        <v>-1174.4000000000005</v>
      </c>
      <c r="CP31" s="399">
        <v>0</v>
      </c>
      <c r="CQ31" s="399">
        <v>30</v>
      </c>
      <c r="CR31" s="399">
        <v>118.1058531983806</v>
      </c>
      <c r="CS31" s="399">
        <v>18.567107096799731</v>
      </c>
      <c r="CT31" s="399">
        <v>99.538746101580955</v>
      </c>
      <c r="CU31" s="399">
        <v>0</v>
      </c>
      <c r="CV31" s="399">
        <v>0</v>
      </c>
      <c r="CW31" s="399"/>
      <c r="CX31" s="399"/>
      <c r="CY31" s="399"/>
      <c r="CZ31" s="399">
        <v>0</v>
      </c>
      <c r="DA31" s="399">
        <v>0</v>
      </c>
      <c r="DB31" s="399">
        <v>0</v>
      </c>
      <c r="DC31" s="399"/>
      <c r="DD31" s="399"/>
      <c r="DE31" s="399">
        <v>0</v>
      </c>
      <c r="DF31" s="399">
        <v>0</v>
      </c>
      <c r="DG31" s="399">
        <v>0</v>
      </c>
      <c r="DH31" s="399">
        <v>0</v>
      </c>
      <c r="DI31" s="399">
        <v>0</v>
      </c>
      <c r="DJ31" s="399"/>
      <c r="DK31" s="399">
        <v>0</v>
      </c>
      <c r="DL31" s="399">
        <v>0</v>
      </c>
      <c r="DM31" s="399"/>
      <c r="DN31" s="399">
        <v>0</v>
      </c>
      <c r="DO31" s="399">
        <v>0</v>
      </c>
      <c r="DP31" s="399">
        <v>0</v>
      </c>
      <c r="DQ31" s="399">
        <v>0</v>
      </c>
      <c r="DR31" s="399">
        <v>0</v>
      </c>
      <c r="DS31" s="399"/>
      <c r="DT31" s="399"/>
      <c r="DU31" s="399">
        <v>4178.8602617558081</v>
      </c>
      <c r="DV31" s="399"/>
      <c r="DW31" s="399">
        <v>0</v>
      </c>
      <c r="DX31" s="399">
        <v>0</v>
      </c>
      <c r="DY31" s="399">
        <v>-1174.4000000000005</v>
      </c>
      <c r="DZ31" s="399"/>
      <c r="EA31" s="399">
        <v>0</v>
      </c>
      <c r="EB31" s="399"/>
      <c r="EC31" s="399">
        <v>-1292.1074580173949</v>
      </c>
      <c r="ED31" s="399"/>
      <c r="EE31" s="399">
        <v>0</v>
      </c>
      <c r="EF31" s="399">
        <v>0</v>
      </c>
      <c r="EG31" s="399"/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/>
      <c r="EN31" s="399"/>
      <c r="EO31" s="399">
        <v>0</v>
      </c>
      <c r="EP31" s="399">
        <v>0</v>
      </c>
      <c r="EQ31" s="399"/>
      <c r="ER31" s="399">
        <v>0</v>
      </c>
      <c r="ES31" s="399"/>
      <c r="ET31" s="399">
        <v>0</v>
      </c>
      <c r="EU31" s="399"/>
      <c r="EV31" s="399">
        <v>230</v>
      </c>
      <c r="EW31" s="399"/>
      <c r="EX31" s="399"/>
      <c r="EY31" s="399"/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2328</v>
      </c>
      <c r="D32" s="399" t="s">
        <v>2342</v>
      </c>
      <c r="E32" s="399" t="s">
        <v>2343</v>
      </c>
      <c r="F32" s="399" t="s">
        <v>2344</v>
      </c>
      <c r="G32" s="399" t="s">
        <v>1239</v>
      </c>
      <c r="H32" s="399" t="s">
        <v>1239</v>
      </c>
      <c r="I32" s="399" t="s">
        <v>1239</v>
      </c>
      <c r="J32" s="399" t="s">
        <v>2329</v>
      </c>
      <c r="K32" s="789">
        <v>44440</v>
      </c>
      <c r="L32" s="399">
        <v>0</v>
      </c>
      <c r="M32" s="399">
        <v>0</v>
      </c>
      <c r="N32" s="399">
        <v>859.23299999999995</v>
      </c>
      <c r="O32" s="399">
        <v>859.23299999999995</v>
      </c>
      <c r="P32" s="399">
        <v>859.23299999999995</v>
      </c>
      <c r="Q32" s="399">
        <v>859.23299999999995</v>
      </c>
      <c r="R32" s="399"/>
      <c r="S32" s="399">
        <v>183.49</v>
      </c>
      <c r="T32" s="399">
        <v>70.459999999999994</v>
      </c>
      <c r="U32" s="399"/>
      <c r="V32" s="399">
        <v>218202.22034999996</v>
      </c>
      <c r="W32" s="399">
        <v>218202.22034999996</v>
      </c>
      <c r="X32" s="399">
        <v>190457.58677999998</v>
      </c>
      <c r="Y32" s="399">
        <v>0</v>
      </c>
      <c r="Z32" s="399">
        <v>28929.367871202947</v>
      </c>
      <c r="AA32" s="399">
        <v>0</v>
      </c>
      <c r="AB32" s="399">
        <v>0</v>
      </c>
      <c r="AC32" s="399">
        <v>0</v>
      </c>
      <c r="AD32" s="399">
        <v>0</v>
      </c>
      <c r="AE32" s="399">
        <v>91914.653557786412</v>
      </c>
      <c r="AF32" s="399">
        <v>60542.481314177312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4467.683138623901</v>
      </c>
      <c r="AM32" s="399"/>
      <c r="AN32" s="399">
        <v>406.60052502478118</v>
      </c>
      <c r="AO32" s="399">
        <v>1642.691180553031</v>
      </c>
      <c r="AP32" s="399">
        <v>8762.8444193581563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6412.1155886476527</v>
      </c>
      <c r="BH32" s="399">
        <v>0</v>
      </c>
      <c r="BI32" s="399">
        <v>0</v>
      </c>
      <c r="BJ32" s="399">
        <v>0</v>
      </c>
      <c r="BK32" s="399">
        <v>102889.66</v>
      </c>
      <c r="BL32" s="399">
        <v>13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66954.596902824967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190456.92180000001</v>
      </c>
      <c r="CJ32" s="399">
        <v>-27745.328549999977</v>
      </c>
      <c r="CK32" s="399"/>
      <c r="CL32" s="399"/>
      <c r="CM32" s="399"/>
      <c r="CN32" s="399"/>
      <c r="CO32" s="399">
        <v>-30511.363830000013</v>
      </c>
      <c r="CP32" s="399">
        <v>2766.7302600000112</v>
      </c>
      <c r="CQ32" s="399">
        <v>30</v>
      </c>
      <c r="CR32" s="399">
        <v>681.04035625643155</v>
      </c>
      <c r="CS32" s="399">
        <v>119.90957353313797</v>
      </c>
      <c r="CT32" s="399">
        <v>639.65092751568773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0</v>
      </c>
      <c r="DA32" s="399">
        <v>0</v>
      </c>
      <c r="DB32" s="399">
        <v>0</v>
      </c>
      <c r="DC32" s="399">
        <v>2769.040601477107</v>
      </c>
      <c r="DD32" s="399">
        <v>0</v>
      </c>
      <c r="DE32" s="399">
        <v>0</v>
      </c>
      <c r="DF32" s="399">
        <v>0</v>
      </c>
      <c r="DG32" s="399">
        <v>293.27189802794055</v>
      </c>
      <c r="DH32" s="399">
        <v>0</v>
      </c>
      <c r="DI32" s="399">
        <v>-2736.463117085601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-356.72922303641008</v>
      </c>
      <c r="DP32" s="399">
        <v>-47.640304175451774</v>
      </c>
      <c r="DQ32" s="399">
        <v>0</v>
      </c>
      <c r="DR32" s="399">
        <v>0</v>
      </c>
      <c r="DS32" s="399"/>
      <c r="DT32" s="399"/>
      <c r="DU32" s="399"/>
      <c r="DV32" s="399">
        <v>91914.653557786412</v>
      </c>
      <c r="DW32" s="399">
        <v>0</v>
      </c>
      <c r="DX32" s="399">
        <v>0</v>
      </c>
      <c r="DY32" s="399">
        <v>-30511.363830000002</v>
      </c>
      <c r="DZ32" s="399">
        <v>2766.7302600000112</v>
      </c>
      <c r="EA32" s="399">
        <v>0</v>
      </c>
      <c r="EB32" s="399">
        <v>0</v>
      </c>
      <c r="EC32" s="399">
        <v>-28420.095893132573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15121.798949491296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230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2328</v>
      </c>
      <c r="D33" s="399" t="s">
        <v>1826</v>
      </c>
      <c r="E33" s="399" t="s">
        <v>921</v>
      </c>
      <c r="F33" s="399" t="s">
        <v>2345</v>
      </c>
      <c r="G33" s="399" t="s">
        <v>1239</v>
      </c>
      <c r="H33" s="399" t="s">
        <v>1239</v>
      </c>
      <c r="I33" s="399" t="s">
        <v>1239</v>
      </c>
      <c r="J33" s="399" t="s">
        <v>2329</v>
      </c>
      <c r="K33" s="789">
        <v>44440</v>
      </c>
      <c r="L33" s="399">
        <v>0</v>
      </c>
      <c r="M33" s="399">
        <v>0</v>
      </c>
      <c r="N33" s="399">
        <v>76.369</v>
      </c>
      <c r="O33" s="399">
        <v>71.78685999999999</v>
      </c>
      <c r="P33" s="399">
        <v>76.369</v>
      </c>
      <c r="Q33" s="399">
        <v>71.78685999999999</v>
      </c>
      <c r="R33" s="399"/>
      <c r="S33" s="399">
        <v>333.61</v>
      </c>
      <c r="T33" s="399">
        <v>128.11000000000001</v>
      </c>
      <c r="U33" s="399"/>
      <c r="V33" s="399">
        <v>35261.094680000002</v>
      </c>
      <c r="W33" s="399">
        <v>35261.094680000002</v>
      </c>
      <c r="X33" s="399">
        <v>30778.998070000001</v>
      </c>
      <c r="Y33" s="399">
        <v>0</v>
      </c>
      <c r="Z33" s="399">
        <v>4675.0085566924699</v>
      </c>
      <c r="AA33" s="399">
        <v>0</v>
      </c>
      <c r="AB33" s="399">
        <v>0</v>
      </c>
      <c r="AC33" s="399">
        <v>0</v>
      </c>
      <c r="AD33" s="399">
        <v>0</v>
      </c>
      <c r="AE33" s="399">
        <v>14853.480165247931</v>
      </c>
      <c r="AF33" s="399">
        <v>9783.7125044448003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721.98110220197236</v>
      </c>
      <c r="AM33" s="399"/>
      <c r="AN33" s="399">
        <v>65.706964013502372</v>
      </c>
      <c r="AO33" s="399">
        <v>265.46018424181113</v>
      </c>
      <c r="AP33" s="399">
        <v>1416.0825367443765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1036.2029124483099</v>
      </c>
      <c r="BH33" s="399">
        <v>0</v>
      </c>
      <c r="BI33" s="399">
        <v>0</v>
      </c>
      <c r="BJ33" s="399">
        <v>0</v>
      </c>
      <c r="BK33" s="399">
        <v>12041.71</v>
      </c>
      <c r="BL33" s="399">
        <v>29</v>
      </c>
      <c r="BM33" s="399"/>
      <c r="BN33" s="399"/>
      <c r="BO33" s="399"/>
      <c r="BP33" s="399"/>
      <c r="BQ33" s="399">
        <v>1846.7398842000039</v>
      </c>
      <c r="BR33" s="399"/>
      <c r="BS33" s="399"/>
      <c r="BT33" s="399"/>
      <c r="BU33" s="399"/>
      <c r="BV33" s="399">
        <v>10819.915416893111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28933.523700000005</v>
      </c>
      <c r="CJ33" s="399">
        <v>-4211.9352991999913</v>
      </c>
      <c r="CK33" s="399"/>
      <c r="CL33" s="399"/>
      <c r="CM33" s="399"/>
      <c r="CN33" s="399"/>
      <c r="CO33" s="399">
        <v>-4929.618950000001</v>
      </c>
      <c r="CP33" s="399">
        <v>447.52233999999885</v>
      </c>
      <c r="CQ33" s="399">
        <v>30</v>
      </c>
      <c r="CR33" s="399">
        <v>110.05665616777333</v>
      </c>
      <c r="CS33" s="399">
        <v>19.377481208456572</v>
      </c>
      <c r="CT33" s="399">
        <v>103.36809199376421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0</v>
      </c>
      <c r="DA33" s="399">
        <v>0</v>
      </c>
      <c r="DB33" s="399">
        <v>0</v>
      </c>
      <c r="DC33" s="399">
        <v>447.47913481445539</v>
      </c>
      <c r="DD33" s="399">
        <v>0</v>
      </c>
      <c r="DE33" s="399">
        <v>0</v>
      </c>
      <c r="DF33" s="399">
        <v>0</v>
      </c>
      <c r="DG33" s="399">
        <v>47.392968931154655</v>
      </c>
      <c r="DH33" s="399">
        <v>0</v>
      </c>
      <c r="DI33" s="399">
        <v>-442.21458776438703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-57.647722464672142</v>
      </c>
      <c r="DP33" s="399">
        <v>-7.6987105509957914</v>
      </c>
      <c r="DQ33" s="399">
        <v>0</v>
      </c>
      <c r="DR33" s="399">
        <v>0</v>
      </c>
      <c r="DS33" s="399"/>
      <c r="DT33" s="399"/>
      <c r="DU33" s="399"/>
      <c r="DV33" s="399">
        <v>14853.480165247931</v>
      </c>
      <c r="DW33" s="399">
        <v>0</v>
      </c>
      <c r="DX33" s="399">
        <v>0</v>
      </c>
      <c r="DY33" s="399">
        <v>-4929.61895</v>
      </c>
      <c r="DZ33" s="399">
        <v>447.52233999999953</v>
      </c>
      <c r="EA33" s="399">
        <v>0</v>
      </c>
      <c r="EB33" s="399">
        <v>0</v>
      </c>
      <c r="EC33" s="399">
        <v>-4592.7098052726851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2443.6945804068573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230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2336</v>
      </c>
      <c r="D34" s="399" t="s">
        <v>533</v>
      </c>
      <c r="E34" s="399" t="s">
        <v>921</v>
      </c>
      <c r="F34" s="399" t="s">
        <v>2345</v>
      </c>
      <c r="G34" s="399" t="s">
        <v>1239</v>
      </c>
      <c r="H34" s="399" t="s">
        <v>1239</v>
      </c>
      <c r="I34" s="399" t="s">
        <v>893</v>
      </c>
      <c r="J34" s="399" t="s">
        <v>2329</v>
      </c>
      <c r="K34" s="789">
        <v>44440</v>
      </c>
      <c r="L34" s="399">
        <v>507</v>
      </c>
      <c r="M34" s="399">
        <v>476.58</v>
      </c>
      <c r="N34" s="399">
        <v>18.385000000000002</v>
      </c>
      <c r="O34" s="399">
        <v>17.2819</v>
      </c>
      <c r="P34" s="399">
        <v>18.385000000000002</v>
      </c>
      <c r="Q34" s="399">
        <v>17.2819</v>
      </c>
      <c r="R34" s="399">
        <v>52.19</v>
      </c>
      <c r="S34" s="399">
        <v>96.28</v>
      </c>
      <c r="T34" s="399">
        <v>128.11000000000001</v>
      </c>
      <c r="U34" s="399">
        <v>26460.329999999998</v>
      </c>
      <c r="V34" s="399">
        <v>4125.4101500000006</v>
      </c>
      <c r="W34" s="399">
        <v>30585.740150000001</v>
      </c>
      <c r="X34" s="399">
        <v>23466.986400000002</v>
      </c>
      <c r="Y34" s="399">
        <v>0</v>
      </c>
      <c r="Z34" s="399">
        <v>979.14766611934522</v>
      </c>
      <c r="AA34" s="399">
        <v>0</v>
      </c>
      <c r="AB34" s="399">
        <v>0</v>
      </c>
      <c r="AC34" s="399">
        <v>0</v>
      </c>
      <c r="AD34" s="399">
        <v>0</v>
      </c>
      <c r="AE34" s="399">
        <v>23693.958789993761</v>
      </c>
      <c r="AF34" s="399">
        <v>2355.3215885269897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173.80903984579163</v>
      </c>
      <c r="AM34" s="399"/>
      <c r="AN34" s="399">
        <v>9.0380779997448837</v>
      </c>
      <c r="AO34" s="399">
        <v>437.86022476542564</v>
      </c>
      <c r="AP34" s="399">
        <v>2329.3020210690902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96.311942551866693</v>
      </c>
      <c r="BH34" s="399">
        <v>0</v>
      </c>
      <c r="BI34" s="399">
        <v>0</v>
      </c>
      <c r="BJ34" s="399">
        <v>0</v>
      </c>
      <c r="BK34" s="399">
        <v>0</v>
      </c>
      <c r="BL34" s="399">
        <v>0</v>
      </c>
      <c r="BM34" s="399"/>
      <c r="BN34" s="399"/>
      <c r="BO34" s="399"/>
      <c r="BP34" s="399"/>
      <c r="BQ34" s="399">
        <v>1408.0191840000009</v>
      </c>
      <c r="BR34" s="399"/>
      <c r="BS34" s="399"/>
      <c r="BT34" s="399"/>
      <c r="BU34" s="399"/>
      <c r="BV34" s="399">
        <v>2451.6335310788563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22058.540400000002</v>
      </c>
      <c r="CJ34" s="399">
        <v>-6692.0853409999909</v>
      </c>
      <c r="CK34" s="399"/>
      <c r="CL34" s="399"/>
      <c r="CM34" s="399"/>
      <c r="CN34" s="399"/>
      <c r="CO34" s="399">
        <v>-7226.4898499999981</v>
      </c>
      <c r="CP34" s="399">
        <v>107.73609999999974</v>
      </c>
      <c r="CQ34" s="399">
        <v>30</v>
      </c>
      <c r="CR34" s="399">
        <v>206.56622180948125</v>
      </c>
      <c r="CS34" s="399">
        <v>31.961961834523891</v>
      </c>
      <c r="CT34" s="399">
        <v>170.02928808702291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0</v>
      </c>
      <c r="DA34" s="399">
        <v>0</v>
      </c>
      <c r="DB34" s="399">
        <v>0</v>
      </c>
      <c r="DC34" s="399">
        <v>107.72569882496509</v>
      </c>
      <c r="DD34" s="399">
        <v>0</v>
      </c>
      <c r="DE34" s="399">
        <v>0</v>
      </c>
      <c r="DF34" s="399">
        <v>0</v>
      </c>
      <c r="DG34" s="399">
        <v>4.4050338463876244</v>
      </c>
      <c r="DH34" s="399">
        <v>0</v>
      </c>
      <c r="DI34" s="399">
        <v>-92.618735619978111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-13.878057556246603</v>
      </c>
      <c r="DP34" s="399">
        <v>-1.0589676071939627</v>
      </c>
      <c r="DQ34" s="399">
        <v>0</v>
      </c>
      <c r="DR34" s="399">
        <v>0</v>
      </c>
      <c r="DS34" s="399"/>
      <c r="DT34" s="399"/>
      <c r="DU34" s="399">
        <v>23693.958789993761</v>
      </c>
      <c r="DV34" s="399">
        <v>0</v>
      </c>
      <c r="DW34" s="399">
        <v>0</v>
      </c>
      <c r="DX34" s="399">
        <v>0</v>
      </c>
      <c r="DY34" s="399">
        <v>-7226.4898499999981</v>
      </c>
      <c r="DZ34" s="399">
        <v>107.73609999999962</v>
      </c>
      <c r="EA34" s="399">
        <v>0</v>
      </c>
      <c r="EB34" s="399">
        <v>0</v>
      </c>
      <c r="EC34" s="399">
        <v>-7326.1939727183508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511.81464506381667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230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2336</v>
      </c>
      <c r="D35" s="399" t="s">
        <v>533</v>
      </c>
      <c r="E35" s="399" t="s">
        <v>921</v>
      </c>
      <c r="F35" s="399" t="s">
        <v>2345</v>
      </c>
      <c r="G35" s="399" t="s">
        <v>1239</v>
      </c>
      <c r="H35" s="399" t="s">
        <v>1239</v>
      </c>
      <c r="I35" s="399" t="s">
        <v>2326</v>
      </c>
      <c r="J35" s="399" t="s">
        <v>2329</v>
      </c>
      <c r="K35" s="789">
        <v>44440</v>
      </c>
      <c r="L35" s="399">
        <v>505</v>
      </c>
      <c r="M35" s="399">
        <v>474.7</v>
      </c>
      <c r="N35" s="399">
        <v>145.86699999999999</v>
      </c>
      <c r="O35" s="399">
        <v>137.11497999999997</v>
      </c>
      <c r="P35" s="399">
        <v>145.86699999999999</v>
      </c>
      <c r="Q35" s="399">
        <v>137.11497999999997</v>
      </c>
      <c r="R35" s="399">
        <v>18.12</v>
      </c>
      <c r="S35" s="399">
        <v>96.28</v>
      </c>
      <c r="T35" s="399">
        <v>128.11000000000001</v>
      </c>
      <c r="U35" s="399">
        <v>9150.6</v>
      </c>
      <c r="V35" s="399">
        <v>32731.096130000002</v>
      </c>
      <c r="W35" s="399">
        <v>41881.696130000004</v>
      </c>
      <c r="X35" s="399">
        <v>40064.812879999998</v>
      </c>
      <c r="Y35" s="399">
        <v>0</v>
      </c>
      <c r="Z35" s="399">
        <v>7768.5794187560787</v>
      </c>
      <c r="AA35" s="399">
        <v>0</v>
      </c>
      <c r="AB35" s="399">
        <v>0</v>
      </c>
      <c r="AC35" s="399">
        <v>0</v>
      </c>
      <c r="AD35" s="399">
        <v>0</v>
      </c>
      <c r="AE35" s="399">
        <v>6594.7638505833847</v>
      </c>
      <c r="AF35" s="399">
        <v>18687.174008902166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1379.00479821518</v>
      </c>
      <c r="AM35" s="399"/>
      <c r="AN35" s="399">
        <v>71.708312406243508</v>
      </c>
      <c r="AO35" s="399">
        <v>401.40955804483787</v>
      </c>
      <c r="AP35" s="399">
        <v>2151.9671251241639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764.14110003878898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>
        <v>2403.8887728000036</v>
      </c>
      <c r="BR35" s="399"/>
      <c r="BS35" s="399"/>
      <c r="BT35" s="399"/>
      <c r="BU35" s="399"/>
      <c r="BV35" s="399">
        <v>19451.315108940955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37659.805399999997</v>
      </c>
      <c r="CJ35" s="399">
        <v>-1709.0189621999962</v>
      </c>
      <c r="CK35" s="399"/>
      <c r="CL35" s="399"/>
      <c r="CM35" s="399"/>
      <c r="CN35" s="399"/>
      <c r="CO35" s="399">
        <v>-2671.6638700000008</v>
      </c>
      <c r="CP35" s="399">
        <v>854.78061999999784</v>
      </c>
      <c r="CQ35" s="399">
        <v>30</v>
      </c>
      <c r="CR35" s="399">
        <v>222.68372856304632</v>
      </c>
      <c r="CS35" s="399">
        <v>29.301215887137005</v>
      </c>
      <c r="CT35" s="399">
        <v>157.08458369155778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0</v>
      </c>
      <c r="DA35" s="399">
        <v>0</v>
      </c>
      <c r="DB35" s="399">
        <v>0</v>
      </c>
      <c r="DC35" s="399">
        <v>854.69809684532083</v>
      </c>
      <c r="DD35" s="399">
        <v>0</v>
      </c>
      <c r="DE35" s="399">
        <v>0</v>
      </c>
      <c r="DF35" s="399">
        <v>0</v>
      </c>
      <c r="DG35" s="399">
        <v>34.949636772968461</v>
      </c>
      <c r="DH35" s="399">
        <v>0</v>
      </c>
      <c r="DI35" s="399">
        <v>-734.83911387975695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-110.1088181428895</v>
      </c>
      <c r="DP35" s="399">
        <v>-8.4018726112897397</v>
      </c>
      <c r="DQ35" s="399">
        <v>0</v>
      </c>
      <c r="DR35" s="399">
        <v>0</v>
      </c>
      <c r="DS35" s="399"/>
      <c r="DT35" s="399"/>
      <c r="DU35" s="399">
        <v>6594.7638505833847</v>
      </c>
      <c r="DV35" s="399">
        <v>0</v>
      </c>
      <c r="DW35" s="399">
        <v>0</v>
      </c>
      <c r="DX35" s="399">
        <v>0</v>
      </c>
      <c r="DY35" s="399">
        <v>-2671.663870000004</v>
      </c>
      <c r="DZ35" s="399">
        <v>854.78061999999773</v>
      </c>
      <c r="EA35" s="399">
        <v>0</v>
      </c>
      <c r="EB35" s="399">
        <v>0</v>
      </c>
      <c r="EC35" s="399">
        <v>-2039.107082183702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4060.7488078065671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230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2336</v>
      </c>
      <c r="D36" s="399" t="s">
        <v>533</v>
      </c>
      <c r="E36" s="399" t="s">
        <v>921</v>
      </c>
      <c r="F36" s="399" t="s">
        <v>2345</v>
      </c>
      <c r="G36" s="399" t="s">
        <v>1239</v>
      </c>
      <c r="H36" s="399" t="s">
        <v>1239</v>
      </c>
      <c r="I36" s="399" t="s">
        <v>1239</v>
      </c>
      <c r="J36" s="399" t="s">
        <v>2329</v>
      </c>
      <c r="K36" s="789">
        <v>44440</v>
      </c>
      <c r="L36" s="399">
        <v>0</v>
      </c>
      <c r="M36" s="399">
        <v>0</v>
      </c>
      <c r="N36" s="399">
        <v>0</v>
      </c>
      <c r="O36" s="399">
        <v>0</v>
      </c>
      <c r="P36" s="399">
        <v>0</v>
      </c>
      <c r="Q36" s="399">
        <v>0</v>
      </c>
      <c r="R36" s="399"/>
      <c r="S36" s="399"/>
      <c r="T36" s="399"/>
      <c r="U36" s="399"/>
      <c r="V36" s="399"/>
      <c r="W36" s="399"/>
      <c r="X36" s="399"/>
      <c r="Y36" s="399"/>
      <c r="Z36" s="399"/>
      <c r="AA36" s="399">
        <v>0</v>
      </c>
      <c r="AB36" s="399"/>
      <c r="AC36" s="399"/>
      <c r="AD36" s="399"/>
      <c r="AE36" s="399"/>
      <c r="AF36" s="399"/>
      <c r="AG36" s="399"/>
      <c r="AH36" s="399"/>
      <c r="AI36" s="399"/>
      <c r="AJ36" s="399"/>
      <c r="AK36" s="399"/>
      <c r="AL36" s="399"/>
      <c r="AM36" s="399"/>
      <c r="AN36" s="399"/>
      <c r="AO36" s="399"/>
      <c r="AP36" s="399"/>
      <c r="AQ36" s="399"/>
      <c r="AR36" s="399"/>
      <c r="AS36" s="399"/>
      <c r="AT36" s="399"/>
      <c r="AU36" s="399"/>
      <c r="AV36" s="399"/>
      <c r="AW36" s="399"/>
      <c r="AX36" s="399"/>
      <c r="AY36" s="399"/>
      <c r="AZ36" s="399">
        <v>0</v>
      </c>
      <c r="BA36" s="399"/>
      <c r="BB36" s="399"/>
      <c r="BC36" s="399"/>
      <c r="BD36" s="399"/>
      <c r="BE36" s="399"/>
      <c r="BF36" s="399"/>
      <c r="BG36" s="399"/>
      <c r="BH36" s="399"/>
      <c r="BI36" s="399">
        <v>0</v>
      </c>
      <c r="BJ36" s="399">
        <v>0</v>
      </c>
      <c r="BK36" s="399">
        <v>26738.36</v>
      </c>
      <c r="BL36" s="399">
        <v>2</v>
      </c>
      <c r="BM36" s="399"/>
      <c r="BN36" s="399"/>
      <c r="BO36" s="399"/>
      <c r="BP36" s="399"/>
      <c r="BQ36" s="399"/>
      <c r="BR36" s="399"/>
      <c r="BS36" s="399"/>
      <c r="BT36" s="399"/>
      <c r="BU36" s="399"/>
      <c r="BV36" s="399"/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/>
      <c r="CJ36" s="399">
        <v>-0.03</v>
      </c>
      <c r="CK36" s="399"/>
      <c r="CL36" s="399"/>
      <c r="CM36" s="399"/>
      <c r="CN36" s="399"/>
      <c r="CO36" s="399">
        <v>0</v>
      </c>
      <c r="CP36" s="399">
        <v>0</v>
      </c>
      <c r="CQ36" s="399">
        <v>30</v>
      </c>
      <c r="CR36" s="399"/>
      <c r="CS36" s="399"/>
      <c r="CT36" s="399"/>
      <c r="CU36" s="399"/>
      <c r="CV36" s="399"/>
      <c r="CW36" s="399"/>
      <c r="CX36" s="399"/>
      <c r="CY36" s="399"/>
      <c r="CZ36" s="399"/>
      <c r="DA36" s="399"/>
      <c r="DB36" s="399"/>
      <c r="DC36" s="399"/>
      <c r="DD36" s="399"/>
      <c r="DE36" s="399"/>
      <c r="DF36" s="399"/>
      <c r="DG36" s="399"/>
      <c r="DH36" s="399"/>
      <c r="DI36" s="399"/>
      <c r="DJ36" s="399"/>
      <c r="DK36" s="399">
        <v>0</v>
      </c>
      <c r="DL36" s="399"/>
      <c r="DM36" s="399"/>
      <c r="DN36" s="399"/>
      <c r="DO36" s="399"/>
      <c r="DP36" s="399"/>
      <c r="DQ36" s="399"/>
      <c r="DR36" s="399"/>
      <c r="DS36" s="399"/>
      <c r="DT36" s="399"/>
      <c r="DU36" s="399"/>
      <c r="DV36" s="399"/>
      <c r="DW36" s="399"/>
      <c r="DX36" s="399"/>
      <c r="DY36" s="399"/>
      <c r="DZ36" s="399"/>
      <c r="EA36" s="399"/>
      <c r="EB36" s="399"/>
      <c r="EC36" s="399"/>
      <c r="ED36" s="399"/>
      <c r="EE36" s="399"/>
      <c r="EF36" s="399"/>
      <c r="EG36" s="399"/>
      <c r="EH36" s="399"/>
      <c r="EI36" s="399"/>
      <c r="EJ36" s="399"/>
      <c r="EK36" s="399"/>
      <c r="EL36" s="399"/>
      <c r="EM36" s="399"/>
      <c r="EN36" s="399"/>
      <c r="EO36" s="399"/>
      <c r="EP36" s="399"/>
      <c r="EQ36" s="399"/>
      <c r="ER36" s="399"/>
      <c r="ES36" s="399"/>
      <c r="ET36" s="399"/>
      <c r="EU36" s="399"/>
      <c r="EV36" s="399">
        <v>230</v>
      </c>
      <c r="EW36" s="399"/>
      <c r="EX36" s="399"/>
      <c r="EY36" s="399"/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2328</v>
      </c>
      <c r="D37" s="399" t="s">
        <v>1826</v>
      </c>
      <c r="E37" s="399" t="s">
        <v>2346</v>
      </c>
      <c r="F37" s="399" t="s">
        <v>1239</v>
      </c>
      <c r="G37" s="399" t="s">
        <v>1239</v>
      </c>
      <c r="H37" s="399" t="s">
        <v>1239</v>
      </c>
      <c r="I37" s="399" t="s">
        <v>1239</v>
      </c>
      <c r="J37" s="399" t="s">
        <v>2329</v>
      </c>
      <c r="K37" s="789">
        <v>44440</v>
      </c>
      <c r="L37" s="399">
        <v>0</v>
      </c>
      <c r="M37" s="399">
        <v>0</v>
      </c>
      <c r="N37" s="399">
        <v>0.52</v>
      </c>
      <c r="O37" s="399">
        <v>0.52</v>
      </c>
      <c r="P37" s="399">
        <v>0.52</v>
      </c>
      <c r="Q37" s="399">
        <v>0.52</v>
      </c>
      <c r="R37" s="399"/>
      <c r="S37" s="399">
        <v>333.61</v>
      </c>
      <c r="T37" s="399">
        <v>128.11000000000001</v>
      </c>
      <c r="U37" s="399"/>
      <c r="V37" s="399">
        <v>240.09440000000001</v>
      </c>
      <c r="W37" s="399">
        <v>240.09440000000001</v>
      </c>
      <c r="X37" s="399">
        <v>209.57560000000001</v>
      </c>
      <c r="Y37" s="399">
        <v>0</v>
      </c>
      <c r="Z37" s="399">
        <v>31.832346233158539</v>
      </c>
      <c r="AA37" s="399">
        <v>0</v>
      </c>
      <c r="AB37" s="399">
        <v>0</v>
      </c>
      <c r="AC37" s="399">
        <v>0</v>
      </c>
      <c r="AD37" s="399">
        <v>0</v>
      </c>
      <c r="AE37" s="399">
        <v>101.13802309744693</v>
      </c>
      <c r="AF37" s="399">
        <v>66.617744141095159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4.9160022148388167</v>
      </c>
      <c r="AM37" s="399"/>
      <c r="AN37" s="399">
        <v>0.44740171125746359</v>
      </c>
      <c r="AO37" s="399">
        <v>1.807530487576658</v>
      </c>
      <c r="AP37" s="399">
        <v>9.6421705025216493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7.0555528352226844</v>
      </c>
      <c r="BH37" s="399">
        <v>0</v>
      </c>
      <c r="BI37" s="399">
        <v>0</v>
      </c>
      <c r="BJ37" s="399">
        <v>0</v>
      </c>
      <c r="BK37" s="399">
        <v>28.93</v>
      </c>
      <c r="BL37" s="399">
        <v>2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>
        <v>73.673296976317843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209.57560000000001</v>
      </c>
      <c r="CJ37" s="399">
        <v>-30.548799999999972</v>
      </c>
      <c r="CK37" s="399"/>
      <c r="CL37" s="399"/>
      <c r="CM37" s="399"/>
      <c r="CN37" s="399"/>
      <c r="CO37" s="399">
        <v>-33.56600000000001</v>
      </c>
      <c r="CP37" s="399">
        <v>3.0471999999999926</v>
      </c>
      <c r="CQ37" s="399">
        <v>30</v>
      </c>
      <c r="CR37" s="399">
        <v>0.74938078549203624</v>
      </c>
      <c r="CS37" s="399">
        <v>0.13194215229212669</v>
      </c>
      <c r="CT37" s="399">
        <v>0.7038380473327841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0</v>
      </c>
      <c r="DA37" s="399">
        <v>0</v>
      </c>
      <c r="DB37" s="399">
        <v>0</v>
      </c>
      <c r="DC37" s="399">
        <v>3.0469058139234022</v>
      </c>
      <c r="DD37" s="399">
        <v>0</v>
      </c>
      <c r="DE37" s="399">
        <v>0</v>
      </c>
      <c r="DF37" s="399">
        <v>0</v>
      </c>
      <c r="DG37" s="399">
        <v>0.3227008844452639</v>
      </c>
      <c r="DH37" s="399">
        <v>0</v>
      </c>
      <c r="DI37" s="399">
        <v>-3.0110592732323518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-0.39252596841165222</v>
      </c>
      <c r="DP37" s="399">
        <v>-5.2420870857518287E-2</v>
      </c>
      <c r="DQ37" s="399">
        <v>0</v>
      </c>
      <c r="DR37" s="399">
        <v>0</v>
      </c>
      <c r="DS37" s="399"/>
      <c r="DT37" s="399"/>
      <c r="DU37" s="399"/>
      <c r="DV37" s="399">
        <v>101.13802309744693</v>
      </c>
      <c r="DW37" s="399">
        <v>0</v>
      </c>
      <c r="DX37" s="399">
        <v>0</v>
      </c>
      <c r="DY37" s="399">
        <v>-33.566000000000003</v>
      </c>
      <c r="DZ37" s="399">
        <v>3.0471999999999895</v>
      </c>
      <c r="EA37" s="399">
        <v>0</v>
      </c>
      <c r="EB37" s="399">
        <v>0</v>
      </c>
      <c r="EC37" s="399">
        <v>-31.271970285610621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16.639227720823449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230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2337</v>
      </c>
      <c r="D38" s="399" t="s">
        <v>533</v>
      </c>
      <c r="E38" s="399" t="s">
        <v>2346</v>
      </c>
      <c r="F38" s="399" t="s">
        <v>1239</v>
      </c>
      <c r="G38" s="399" t="s">
        <v>1239</v>
      </c>
      <c r="H38" s="399" t="s">
        <v>1239</v>
      </c>
      <c r="I38" s="399" t="s">
        <v>893</v>
      </c>
      <c r="J38" s="399" t="s">
        <v>2329</v>
      </c>
      <c r="K38" s="789">
        <v>44440</v>
      </c>
      <c r="L38" s="399">
        <v>0</v>
      </c>
      <c r="M38" s="399">
        <v>0</v>
      </c>
      <c r="N38" s="399">
        <v>1.103</v>
      </c>
      <c r="O38" s="399">
        <v>1.103</v>
      </c>
      <c r="P38" s="399">
        <v>1.103</v>
      </c>
      <c r="Q38" s="399">
        <v>1.103</v>
      </c>
      <c r="R38" s="399"/>
      <c r="S38" s="399">
        <v>1351.49</v>
      </c>
      <c r="T38" s="399">
        <v>128.11000000000001</v>
      </c>
      <c r="U38" s="399"/>
      <c r="V38" s="399">
        <v>1631.9987999999998</v>
      </c>
      <c r="W38" s="399">
        <v>1631.9987999999998</v>
      </c>
      <c r="X38" s="399">
        <v>1259.52673</v>
      </c>
      <c r="Y38" s="399">
        <v>0</v>
      </c>
      <c r="Z38" s="399">
        <v>58.743534170771696</v>
      </c>
      <c r="AA38" s="399">
        <v>0</v>
      </c>
      <c r="AB38" s="399">
        <v>0</v>
      </c>
      <c r="AC38" s="399">
        <v>0</v>
      </c>
      <c r="AD38" s="399">
        <v>0</v>
      </c>
      <c r="AE38" s="399">
        <v>1239.7109279286951</v>
      </c>
      <c r="AF38" s="399">
        <v>141.30648420697685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10.427597005706183</v>
      </c>
      <c r="AM38" s="399"/>
      <c r="AN38" s="399">
        <v>0.54223551991942376</v>
      </c>
      <c r="AO38" s="399">
        <v>22.912099611306335</v>
      </c>
      <c r="AP38" s="399">
        <v>121.87276148795654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5.7781926915805792</v>
      </c>
      <c r="BH38" s="399">
        <v>0</v>
      </c>
      <c r="BI38" s="399">
        <v>0</v>
      </c>
      <c r="BJ38" s="399">
        <v>0</v>
      </c>
      <c r="BK38" s="399">
        <v>0</v>
      </c>
      <c r="BL38" s="399">
        <v>0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147.08467689855743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1256.1010000000001</v>
      </c>
      <c r="CJ38" s="399">
        <v>-375.92779999999971</v>
      </c>
      <c r="CK38" s="399"/>
      <c r="CL38" s="399"/>
      <c r="CM38" s="399"/>
      <c r="CN38" s="399"/>
      <c r="CO38" s="399">
        <v>-378.93564999999995</v>
      </c>
      <c r="CP38" s="399">
        <v>6.4635799999999834</v>
      </c>
      <c r="CQ38" s="399">
        <v>30</v>
      </c>
      <c r="CR38" s="399">
        <v>10.843161660857731</v>
      </c>
      <c r="CS38" s="399">
        <v>1.6724872731194083</v>
      </c>
      <c r="CT38" s="399">
        <v>8.8962009587260269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0</v>
      </c>
      <c r="DA38" s="399">
        <v>0</v>
      </c>
      <c r="DB38" s="399">
        <v>0</v>
      </c>
      <c r="DC38" s="399">
        <v>6.4629559860721315</v>
      </c>
      <c r="DD38" s="399">
        <v>0</v>
      </c>
      <c r="DE38" s="399">
        <v>0</v>
      </c>
      <c r="DF38" s="399">
        <v>0</v>
      </c>
      <c r="DG38" s="399">
        <v>0.26427807084936372</v>
      </c>
      <c r="DH38" s="399">
        <v>0</v>
      </c>
      <c r="DI38" s="399">
        <v>-5.5566203638202794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-0.83260796761164002</v>
      </c>
      <c r="DP38" s="399">
        <v>-6.3532296477288031E-2</v>
      </c>
      <c r="DQ38" s="399">
        <v>0</v>
      </c>
      <c r="DR38" s="399">
        <v>0</v>
      </c>
      <c r="DS38" s="399"/>
      <c r="DT38" s="399"/>
      <c r="DU38" s="399"/>
      <c r="DV38" s="399">
        <v>1239.7109279286951</v>
      </c>
      <c r="DW38" s="399">
        <v>0</v>
      </c>
      <c r="DX38" s="399">
        <v>0</v>
      </c>
      <c r="DY38" s="399">
        <v>-378.9356499999999</v>
      </c>
      <c r="DZ38" s="399">
        <v>6.463579999999979</v>
      </c>
      <c r="EA38" s="399">
        <v>0</v>
      </c>
      <c r="EB38" s="399">
        <v>0</v>
      </c>
      <c r="EC38" s="399">
        <v>-383.3197655403975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30.706094833037245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230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2337</v>
      </c>
      <c r="D39" s="399" t="s">
        <v>533</v>
      </c>
      <c r="E39" s="399" t="s">
        <v>2346</v>
      </c>
      <c r="F39" s="399" t="s">
        <v>1239</v>
      </c>
      <c r="G39" s="399" t="s">
        <v>1239</v>
      </c>
      <c r="H39" s="399" t="s">
        <v>1239</v>
      </c>
      <c r="I39" s="399" t="s">
        <v>2326</v>
      </c>
      <c r="J39" s="399" t="s">
        <v>2329</v>
      </c>
      <c r="K39" s="789">
        <v>44440</v>
      </c>
      <c r="L39" s="399">
        <v>0</v>
      </c>
      <c r="M39" s="399">
        <v>0</v>
      </c>
      <c r="N39" s="399">
        <v>11.663</v>
      </c>
      <c r="O39" s="399">
        <v>11.663</v>
      </c>
      <c r="P39" s="399">
        <v>11.663</v>
      </c>
      <c r="Q39" s="399">
        <v>11.663</v>
      </c>
      <c r="R39" s="399"/>
      <c r="S39" s="399">
        <v>96.28</v>
      </c>
      <c r="T39" s="399">
        <v>128.11000000000001</v>
      </c>
      <c r="U39" s="399"/>
      <c r="V39" s="399">
        <v>2617.0605700000001</v>
      </c>
      <c r="W39" s="399">
        <v>2617.0605700000001</v>
      </c>
      <c r="X39" s="399">
        <v>2619.9763199999998</v>
      </c>
      <c r="Y39" s="399">
        <v>0</v>
      </c>
      <c r="Z39" s="399">
        <v>621.14763285014533</v>
      </c>
      <c r="AA39" s="399">
        <v>0</v>
      </c>
      <c r="AB39" s="399">
        <v>0</v>
      </c>
      <c r="AC39" s="399">
        <v>0</v>
      </c>
      <c r="AD39" s="399">
        <v>0</v>
      </c>
      <c r="AE39" s="399">
        <v>0</v>
      </c>
      <c r="AF39" s="399">
        <v>1494.1591344569092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110.26025736858678</v>
      </c>
      <c r="AM39" s="399"/>
      <c r="AN39" s="399">
        <v>5.7335384123483593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61.097970409704715</v>
      </c>
      <c r="BH39" s="399">
        <v>0</v>
      </c>
      <c r="BI39" s="399">
        <v>0</v>
      </c>
      <c r="BJ39" s="399">
        <v>0</v>
      </c>
      <c r="BK39" s="399">
        <v>0</v>
      </c>
      <c r="BL39" s="399">
        <v>0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1555.2571048666139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2619.3024</v>
      </c>
      <c r="CJ39" s="399">
        <v>2.2118299999997362</v>
      </c>
      <c r="CK39" s="399"/>
      <c r="CL39" s="399"/>
      <c r="CM39" s="399"/>
      <c r="CN39" s="399"/>
      <c r="CO39" s="399">
        <v>-65.429429999999996</v>
      </c>
      <c r="CP39" s="399">
        <v>68.345179999999829</v>
      </c>
      <c r="CQ39" s="399">
        <v>30</v>
      </c>
      <c r="CR39" s="399">
        <v>2.9022516795744195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</v>
      </c>
      <c r="DA39" s="399">
        <v>0</v>
      </c>
      <c r="DB39" s="399">
        <v>0</v>
      </c>
      <c r="DC39" s="399">
        <v>68.338581745747661</v>
      </c>
      <c r="DD39" s="399">
        <v>0</v>
      </c>
      <c r="DE39" s="399">
        <v>0</v>
      </c>
      <c r="DF39" s="399">
        <v>0</v>
      </c>
      <c r="DG39" s="399">
        <v>2.794447090041821</v>
      </c>
      <c r="DH39" s="399">
        <v>0</v>
      </c>
      <c r="DI39" s="399">
        <v>-58.755089123513926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-8.8039045568944374</v>
      </c>
      <c r="DP39" s="399">
        <v>-0.67178347580653774</v>
      </c>
      <c r="DQ39" s="399">
        <v>0</v>
      </c>
      <c r="DR39" s="399">
        <v>0</v>
      </c>
      <c r="DS39" s="399"/>
      <c r="DT39" s="399"/>
      <c r="DU39" s="399"/>
      <c r="DV39" s="399">
        <v>0</v>
      </c>
      <c r="DW39" s="399">
        <v>0</v>
      </c>
      <c r="DX39" s="399">
        <v>0</v>
      </c>
      <c r="DY39" s="399">
        <v>-65.429429999999911</v>
      </c>
      <c r="DZ39" s="399">
        <v>68.3451799999998</v>
      </c>
      <c r="EA39" s="399">
        <v>0</v>
      </c>
      <c r="EB39" s="399">
        <v>0</v>
      </c>
      <c r="EC39" s="399">
        <v>0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324.68285044216992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230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2337</v>
      </c>
      <c r="D40" s="399" t="s">
        <v>533</v>
      </c>
      <c r="E40" s="399" t="s">
        <v>2346</v>
      </c>
      <c r="F40" s="399" t="s">
        <v>1239</v>
      </c>
      <c r="G40" s="399" t="s">
        <v>1239</v>
      </c>
      <c r="H40" s="399" t="s">
        <v>1239</v>
      </c>
      <c r="I40" s="399" t="s">
        <v>1239</v>
      </c>
      <c r="J40" s="399" t="s">
        <v>2329</v>
      </c>
      <c r="K40" s="789">
        <v>44440</v>
      </c>
      <c r="L40" s="399">
        <v>95</v>
      </c>
      <c r="M40" s="399">
        <v>95</v>
      </c>
      <c r="N40" s="399">
        <v>0</v>
      </c>
      <c r="O40" s="399">
        <v>0</v>
      </c>
      <c r="P40" s="399">
        <v>0</v>
      </c>
      <c r="Q40" s="399">
        <v>0</v>
      </c>
      <c r="R40" s="399">
        <v>18.12</v>
      </c>
      <c r="S40" s="399"/>
      <c r="T40" s="399"/>
      <c r="U40" s="399">
        <v>1721.4</v>
      </c>
      <c r="V40" s="399"/>
      <c r="W40" s="399">
        <v>1721.4</v>
      </c>
      <c r="X40" s="399">
        <v>1372.75</v>
      </c>
      <c r="Y40" s="399">
        <v>0</v>
      </c>
      <c r="Z40" s="399">
        <v>0</v>
      </c>
      <c r="AA40" s="399">
        <v>0</v>
      </c>
      <c r="AB40" s="399">
        <v>0</v>
      </c>
      <c r="AC40" s="399">
        <v>0</v>
      </c>
      <c r="AD40" s="399">
        <v>0</v>
      </c>
      <c r="AE40" s="399">
        <v>1240.5991402087554</v>
      </c>
      <c r="AF40" s="399"/>
      <c r="AG40" s="399"/>
      <c r="AH40" s="399"/>
      <c r="AI40" s="399">
        <v>0</v>
      </c>
      <c r="AJ40" s="399">
        <v>0</v>
      </c>
      <c r="AK40" s="399">
        <v>0</v>
      </c>
      <c r="AL40" s="399">
        <v>0</v>
      </c>
      <c r="AM40" s="399"/>
      <c r="AN40" s="399">
        <v>0</v>
      </c>
      <c r="AO40" s="399">
        <v>75.512689137147717</v>
      </c>
      <c r="AP40" s="399">
        <v>404.82549878573383</v>
      </c>
      <c r="AQ40" s="399">
        <v>0</v>
      </c>
      <c r="AR40" s="399">
        <v>0</v>
      </c>
      <c r="AS40" s="399"/>
      <c r="AT40" s="399"/>
      <c r="AU40" s="399">
        <v>0</v>
      </c>
      <c r="AV40" s="399">
        <v>0</v>
      </c>
      <c r="AW40" s="399">
        <v>0</v>
      </c>
      <c r="AX40" s="399"/>
      <c r="AY40" s="399"/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/>
      <c r="BG40" s="399">
        <v>0</v>
      </c>
      <c r="BH40" s="399">
        <v>0</v>
      </c>
      <c r="BI40" s="399">
        <v>0</v>
      </c>
      <c r="BJ40" s="399">
        <v>0</v>
      </c>
      <c r="BK40" s="399">
        <v>0</v>
      </c>
      <c r="BL40" s="399">
        <v>1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0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1372.75</v>
      </c>
      <c r="CJ40" s="399">
        <v>-348.68000000000006</v>
      </c>
      <c r="CK40" s="399"/>
      <c r="CL40" s="399"/>
      <c r="CM40" s="399"/>
      <c r="CN40" s="399"/>
      <c r="CO40" s="399">
        <v>-348.65000000000015</v>
      </c>
      <c r="CP40" s="399">
        <v>0</v>
      </c>
      <c r="CQ40" s="399">
        <v>30</v>
      </c>
      <c r="CR40" s="399">
        <v>35.062675168269209</v>
      </c>
      <c r="CS40" s="399">
        <v>5.5121099193624161</v>
      </c>
      <c r="CT40" s="399">
        <v>29.550565248906821</v>
      </c>
      <c r="CU40" s="399">
        <v>0</v>
      </c>
      <c r="CV40" s="399">
        <v>0</v>
      </c>
      <c r="CW40" s="399"/>
      <c r="CX40" s="399"/>
      <c r="CY40" s="399"/>
      <c r="CZ40" s="399">
        <v>0</v>
      </c>
      <c r="DA40" s="399">
        <v>0</v>
      </c>
      <c r="DB40" s="399">
        <v>0</v>
      </c>
      <c r="DC40" s="399"/>
      <c r="DD40" s="399"/>
      <c r="DE40" s="399">
        <v>0</v>
      </c>
      <c r="DF40" s="399">
        <v>0</v>
      </c>
      <c r="DG40" s="399">
        <v>0</v>
      </c>
      <c r="DH40" s="399">
        <v>0</v>
      </c>
      <c r="DI40" s="399">
        <v>0</v>
      </c>
      <c r="DJ40" s="399"/>
      <c r="DK40" s="399">
        <v>0</v>
      </c>
      <c r="DL40" s="399">
        <v>0</v>
      </c>
      <c r="DM40" s="399"/>
      <c r="DN40" s="399">
        <v>0</v>
      </c>
      <c r="DO40" s="399">
        <v>0</v>
      </c>
      <c r="DP40" s="399">
        <v>0</v>
      </c>
      <c r="DQ40" s="399">
        <v>0</v>
      </c>
      <c r="DR40" s="399">
        <v>0</v>
      </c>
      <c r="DS40" s="399"/>
      <c r="DT40" s="399"/>
      <c r="DU40" s="399">
        <v>1240.5991402087554</v>
      </c>
      <c r="DV40" s="399"/>
      <c r="DW40" s="399">
        <v>0</v>
      </c>
      <c r="DX40" s="399">
        <v>0</v>
      </c>
      <c r="DY40" s="399">
        <v>-348.65000000000009</v>
      </c>
      <c r="DZ40" s="399"/>
      <c r="EA40" s="399">
        <v>0</v>
      </c>
      <c r="EB40" s="399"/>
      <c r="EC40" s="399">
        <v>-383.59440159891403</v>
      </c>
      <c r="ED40" s="399"/>
      <c r="EE40" s="399">
        <v>0</v>
      </c>
      <c r="EF40" s="399">
        <v>0</v>
      </c>
      <c r="EG40" s="399"/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/>
      <c r="EN40" s="399"/>
      <c r="EO40" s="399">
        <v>0</v>
      </c>
      <c r="EP40" s="399">
        <v>0</v>
      </c>
      <c r="EQ40" s="399"/>
      <c r="ER40" s="399">
        <v>0</v>
      </c>
      <c r="ES40" s="399"/>
      <c r="ET40" s="399">
        <v>0</v>
      </c>
      <c r="EU40" s="399"/>
      <c r="EV40" s="399">
        <v>230</v>
      </c>
      <c r="EW40" s="399"/>
      <c r="EX40" s="399"/>
      <c r="EY40" s="399"/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2328</v>
      </c>
      <c r="D41" s="399" t="s">
        <v>2340</v>
      </c>
      <c r="E41" s="399" t="s">
        <v>894</v>
      </c>
      <c r="F41" s="399" t="s">
        <v>2347</v>
      </c>
      <c r="G41" s="399" t="s">
        <v>2348</v>
      </c>
      <c r="H41" s="399" t="s">
        <v>1239</v>
      </c>
      <c r="I41" s="399" t="s">
        <v>1239</v>
      </c>
      <c r="J41" s="399" t="s">
        <v>2329</v>
      </c>
      <c r="K41" s="789">
        <v>44440</v>
      </c>
      <c r="L41" s="399">
        <v>0</v>
      </c>
      <c r="M41" s="399">
        <v>0</v>
      </c>
      <c r="N41" s="399">
        <v>0</v>
      </c>
      <c r="O41" s="399">
        <v>0</v>
      </c>
      <c r="P41" s="399">
        <v>0</v>
      </c>
      <c r="Q41" s="399">
        <v>0</v>
      </c>
      <c r="R41" s="399"/>
      <c r="S41" s="399"/>
      <c r="T41" s="399"/>
      <c r="U41" s="399"/>
      <c r="V41" s="399"/>
      <c r="W41" s="399"/>
      <c r="X41" s="399"/>
      <c r="Y41" s="399"/>
      <c r="Z41" s="399"/>
      <c r="AA41" s="399">
        <v>0</v>
      </c>
      <c r="AB41" s="399"/>
      <c r="AC41" s="399"/>
      <c r="AD41" s="399"/>
      <c r="AE41" s="399"/>
      <c r="AF41" s="399"/>
      <c r="AG41" s="399"/>
      <c r="AH41" s="399"/>
      <c r="AI41" s="399"/>
      <c r="AJ41" s="399"/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>
        <v>0</v>
      </c>
      <c r="BA41" s="399"/>
      <c r="BB41" s="399"/>
      <c r="BC41" s="399"/>
      <c r="BD41" s="399"/>
      <c r="BE41" s="399"/>
      <c r="BF41" s="399"/>
      <c r="BG41" s="399"/>
      <c r="BH41" s="399"/>
      <c r="BI41" s="399">
        <v>0</v>
      </c>
      <c r="BJ41" s="399">
        <v>0</v>
      </c>
      <c r="BK41" s="399">
        <v>34305.129999999997</v>
      </c>
      <c r="BL41" s="399">
        <v>144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/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/>
      <c r="CJ41" s="399">
        <v>-0.03</v>
      </c>
      <c r="CK41" s="399"/>
      <c r="CL41" s="399"/>
      <c r="CM41" s="399"/>
      <c r="CN41" s="399"/>
      <c r="CO41" s="399">
        <v>0</v>
      </c>
      <c r="CP41" s="399">
        <v>0</v>
      </c>
      <c r="CQ41" s="399">
        <v>30</v>
      </c>
      <c r="CR41" s="399"/>
      <c r="CS41" s="399"/>
      <c r="CT41" s="399"/>
      <c r="CU41" s="399"/>
      <c r="CV41" s="399"/>
      <c r="CW41" s="399"/>
      <c r="CX41" s="399"/>
      <c r="CY41" s="399"/>
      <c r="CZ41" s="399"/>
      <c r="DA41" s="399"/>
      <c r="DB41" s="399"/>
      <c r="DC41" s="399"/>
      <c r="DD41" s="399"/>
      <c r="DE41" s="399"/>
      <c r="DF41" s="399"/>
      <c r="DG41" s="399"/>
      <c r="DH41" s="399"/>
      <c r="DI41" s="399"/>
      <c r="DJ41" s="399"/>
      <c r="DK41" s="399">
        <v>0</v>
      </c>
      <c r="DL41" s="399"/>
      <c r="DM41" s="399"/>
      <c r="DN41" s="399"/>
      <c r="DO41" s="399"/>
      <c r="DP41" s="399"/>
      <c r="DQ41" s="399"/>
      <c r="DR41" s="399"/>
      <c r="DS41" s="399"/>
      <c r="DT41" s="399"/>
      <c r="DU41" s="399"/>
      <c r="DV41" s="399"/>
      <c r="DW41" s="399"/>
      <c r="DX41" s="399"/>
      <c r="DY41" s="399"/>
      <c r="DZ41" s="399"/>
      <c r="EA41" s="399"/>
      <c r="EB41" s="399"/>
      <c r="EC41" s="399"/>
      <c r="ED41" s="399"/>
      <c r="EE41" s="399"/>
      <c r="EF41" s="399"/>
      <c r="EG41" s="399"/>
      <c r="EH41" s="399"/>
      <c r="EI41" s="399"/>
      <c r="EJ41" s="399"/>
      <c r="EK41" s="399"/>
      <c r="EL41" s="399"/>
      <c r="EM41" s="399"/>
      <c r="EN41" s="399"/>
      <c r="EO41" s="399"/>
      <c r="EP41" s="399"/>
      <c r="EQ41" s="399"/>
      <c r="ER41" s="399"/>
      <c r="ES41" s="399"/>
      <c r="ET41" s="399"/>
      <c r="EU41" s="399"/>
      <c r="EV41" s="399">
        <v>230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2328</v>
      </c>
      <c r="D42" s="399" t="s">
        <v>2340</v>
      </c>
      <c r="E42" s="399" t="s">
        <v>894</v>
      </c>
      <c r="F42" s="399" t="s">
        <v>2347</v>
      </c>
      <c r="G42" s="399" t="s">
        <v>2348</v>
      </c>
      <c r="H42" s="399" t="s">
        <v>1239</v>
      </c>
      <c r="I42" s="399" t="s">
        <v>1239</v>
      </c>
      <c r="J42" s="399" t="s">
        <v>2329</v>
      </c>
      <c r="K42" s="789">
        <v>44440</v>
      </c>
      <c r="L42" s="399">
        <v>0</v>
      </c>
      <c r="M42" s="399">
        <v>0</v>
      </c>
      <c r="N42" s="399">
        <v>218.55099999999999</v>
      </c>
      <c r="O42" s="399">
        <v>218.55099999999999</v>
      </c>
      <c r="P42" s="399">
        <v>218.55099999999999</v>
      </c>
      <c r="Q42" s="399">
        <v>218.55099999999999</v>
      </c>
      <c r="R42" s="399"/>
      <c r="S42" s="399">
        <v>333.61</v>
      </c>
      <c r="T42" s="399">
        <v>128.11000000000001</v>
      </c>
      <c r="U42" s="399"/>
      <c r="V42" s="399">
        <v>100909.36771999999</v>
      </c>
      <c r="W42" s="399">
        <v>100909.36771999999</v>
      </c>
      <c r="X42" s="399">
        <v>88082.609530000002</v>
      </c>
      <c r="Y42" s="399">
        <v>0</v>
      </c>
      <c r="Z42" s="399">
        <v>13378.82904154429</v>
      </c>
      <c r="AA42" s="399">
        <v>0</v>
      </c>
      <c r="AB42" s="399">
        <v>0</v>
      </c>
      <c r="AC42" s="399">
        <v>0</v>
      </c>
      <c r="AD42" s="399">
        <v>0</v>
      </c>
      <c r="AE42" s="399">
        <v>42507.338626865618</v>
      </c>
      <c r="AF42" s="399">
        <v>27998.797307270168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2066.1484616446887</v>
      </c>
      <c r="AM42" s="399"/>
      <c r="AN42" s="399">
        <v>188.0386373019806</v>
      </c>
      <c r="AO42" s="399">
        <v>759.68768382762721</v>
      </c>
      <c r="AP42" s="399">
        <v>4052.5115490319399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2965.3810147899089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>
        <v>10571.311869999998</v>
      </c>
      <c r="BS42" s="399"/>
      <c r="BT42" s="399"/>
      <c r="BU42" s="399"/>
      <c r="BV42" s="399">
        <v>30964.178322060077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77510.943000000014</v>
      </c>
      <c r="CJ42" s="399">
        <v>-11290.729319999969</v>
      </c>
      <c r="CK42" s="399"/>
      <c r="CL42" s="399"/>
      <c r="CM42" s="399"/>
      <c r="CN42" s="399"/>
      <c r="CO42" s="399">
        <v>-14107.467050000001</v>
      </c>
      <c r="CP42" s="399">
        <v>1280.7088599999968</v>
      </c>
      <c r="CQ42" s="399">
        <v>30</v>
      </c>
      <c r="CR42" s="399">
        <v>314.95753855783551</v>
      </c>
      <c r="CS42" s="399">
        <v>55.454017933839623</v>
      </c>
      <c r="CT42" s="399">
        <v>295.81636362043673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0</v>
      </c>
      <c r="DA42" s="399">
        <v>0</v>
      </c>
      <c r="DB42" s="399">
        <v>0</v>
      </c>
      <c r="DC42" s="399">
        <v>1280.5852164207208</v>
      </c>
      <c r="DD42" s="399">
        <v>0</v>
      </c>
      <c r="DE42" s="399">
        <v>0</v>
      </c>
      <c r="DF42" s="399">
        <v>0</v>
      </c>
      <c r="DG42" s="399">
        <v>135.62807883922505</v>
      </c>
      <c r="DH42" s="399">
        <v>0</v>
      </c>
      <c r="DI42" s="399">
        <v>-1265.5192600465434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-164.97489023525964</v>
      </c>
      <c r="DP42" s="399">
        <v>-22.031987974579778</v>
      </c>
      <c r="DQ42" s="399">
        <v>0</v>
      </c>
      <c r="DR42" s="399">
        <v>0</v>
      </c>
      <c r="DS42" s="399"/>
      <c r="DT42" s="399"/>
      <c r="DU42" s="399"/>
      <c r="DV42" s="399">
        <v>42507.338626865618</v>
      </c>
      <c r="DW42" s="399">
        <v>0</v>
      </c>
      <c r="DX42" s="399">
        <v>0</v>
      </c>
      <c r="DY42" s="399">
        <v>-14107.467049999992</v>
      </c>
      <c r="DZ42" s="399">
        <v>1280.7088599999952</v>
      </c>
      <c r="EA42" s="399">
        <v>0</v>
      </c>
      <c r="EB42" s="399">
        <v>0</v>
      </c>
      <c r="EC42" s="399">
        <v>-13143.308419020159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6993.307418487856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230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956</v>
      </c>
      <c r="C43" s="399" t="s">
        <v>2328</v>
      </c>
      <c r="D43" s="399" t="s">
        <v>2340</v>
      </c>
      <c r="E43" s="399" t="s">
        <v>894</v>
      </c>
      <c r="F43" s="399" t="s">
        <v>2347</v>
      </c>
      <c r="G43" s="399" t="s">
        <v>2349</v>
      </c>
      <c r="H43" s="399" t="s">
        <v>1239</v>
      </c>
      <c r="I43" s="399" t="s">
        <v>1239</v>
      </c>
      <c r="J43" s="399" t="s">
        <v>2329</v>
      </c>
      <c r="K43" s="789">
        <v>44440</v>
      </c>
      <c r="L43" s="399">
        <v>0</v>
      </c>
      <c r="M43" s="399">
        <v>0</v>
      </c>
      <c r="N43" s="399">
        <v>103.145</v>
      </c>
      <c r="O43" s="399">
        <v>41.258000000000003</v>
      </c>
      <c r="P43" s="399">
        <v>103.145</v>
      </c>
      <c r="Q43" s="399">
        <v>41.258000000000003</v>
      </c>
      <c r="R43" s="399"/>
      <c r="S43" s="399">
        <v>333.61</v>
      </c>
      <c r="T43" s="399">
        <v>128.11000000000001</v>
      </c>
      <c r="U43" s="399"/>
      <c r="V43" s="399">
        <v>47624.109400000001</v>
      </c>
      <c r="W43" s="399">
        <v>47624.109400000001</v>
      </c>
      <c r="X43" s="399">
        <v>41570.529349999997</v>
      </c>
      <c r="Y43" s="399">
        <v>0</v>
      </c>
      <c r="Z43" s="399">
        <v>6314.1295234983409</v>
      </c>
      <c r="AA43" s="399">
        <v>0</v>
      </c>
      <c r="AB43" s="399">
        <v>0</v>
      </c>
      <c r="AC43" s="399">
        <v>0</v>
      </c>
      <c r="AD43" s="399">
        <v>0</v>
      </c>
      <c r="AE43" s="399">
        <v>20061.310369973391</v>
      </c>
      <c r="AF43" s="399">
        <v>13214.013883525498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975.11740086451869</v>
      </c>
      <c r="AM43" s="399"/>
      <c r="AN43" s="399">
        <v>88.744710591636689</v>
      </c>
      <c r="AO43" s="399">
        <v>358.53410027133538</v>
      </c>
      <c r="AP43" s="399">
        <v>1912.5801470819142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1399.5096099789303</v>
      </c>
      <c r="BH43" s="399">
        <v>0</v>
      </c>
      <c r="BI43" s="399">
        <v>0</v>
      </c>
      <c r="BJ43" s="399">
        <v>0</v>
      </c>
      <c r="BK43" s="399">
        <v>0</v>
      </c>
      <c r="BL43" s="399">
        <v>0</v>
      </c>
      <c r="BM43" s="399"/>
      <c r="BN43" s="399"/>
      <c r="BO43" s="399"/>
      <c r="BP43" s="399"/>
      <c r="BQ43" s="399"/>
      <c r="BR43" s="399"/>
      <c r="BS43" s="399">
        <v>26937.967069999995</v>
      </c>
      <c r="BT43" s="399"/>
      <c r="BU43" s="399"/>
      <c r="BV43" s="399">
        <v>14613.523493504428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14633.2716</v>
      </c>
      <c r="CJ43" s="399">
        <v>-2130.7089599999999</v>
      </c>
      <c r="CK43" s="399"/>
      <c r="CL43" s="399"/>
      <c r="CM43" s="399"/>
      <c r="CN43" s="399"/>
      <c r="CO43" s="399">
        <v>-6658.0097500000011</v>
      </c>
      <c r="CP43" s="399">
        <v>604.42969999999843</v>
      </c>
      <c r="CQ43" s="399">
        <v>30</v>
      </c>
      <c r="CR43" s="399">
        <v>148.6440021530434</v>
      </c>
      <c r="CS43" s="399">
        <v>26.171487111868089</v>
      </c>
      <c r="CT43" s="399">
        <v>139.61033729257679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0</v>
      </c>
      <c r="DA43" s="399">
        <v>0</v>
      </c>
      <c r="DB43" s="399">
        <v>0</v>
      </c>
      <c r="DC43" s="399">
        <v>604.37134649448126</v>
      </c>
      <c r="DD43" s="399">
        <v>0</v>
      </c>
      <c r="DE43" s="399">
        <v>0</v>
      </c>
      <c r="DF43" s="399">
        <v>0</v>
      </c>
      <c r="DG43" s="399">
        <v>64.009582165590018</v>
      </c>
      <c r="DH43" s="399">
        <v>0</v>
      </c>
      <c r="DI43" s="399">
        <v>-597.26097834144366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-77.85979040734594</v>
      </c>
      <c r="DP43" s="399">
        <v>-10.397982162689857</v>
      </c>
      <c r="DQ43" s="399">
        <v>0</v>
      </c>
      <c r="DR43" s="399">
        <v>0</v>
      </c>
      <c r="DS43" s="399"/>
      <c r="DT43" s="399"/>
      <c r="DU43" s="399"/>
      <c r="DV43" s="399">
        <v>20061.310369973391</v>
      </c>
      <c r="DW43" s="399">
        <v>0</v>
      </c>
      <c r="DX43" s="399">
        <v>0</v>
      </c>
      <c r="DY43" s="399">
        <v>-6658.0097500000011</v>
      </c>
      <c r="DZ43" s="399">
        <v>604.42969999999877</v>
      </c>
      <c r="EA43" s="399">
        <v>0</v>
      </c>
      <c r="EB43" s="399">
        <v>0</v>
      </c>
      <c r="EC43" s="399">
        <v>-6202.9757213640514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3300.4868139698742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230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956</v>
      </c>
      <c r="C44" s="399" t="s">
        <v>2328</v>
      </c>
      <c r="D44" s="399" t="s">
        <v>2340</v>
      </c>
      <c r="E44" s="399" t="s">
        <v>894</v>
      </c>
      <c r="F44" s="399" t="s">
        <v>2350</v>
      </c>
      <c r="G44" s="399" t="s">
        <v>2348</v>
      </c>
      <c r="H44" s="399" t="s">
        <v>1239</v>
      </c>
      <c r="I44" s="399" t="s">
        <v>1239</v>
      </c>
      <c r="J44" s="399" t="s">
        <v>2329</v>
      </c>
      <c r="K44" s="789">
        <v>44440</v>
      </c>
      <c r="L44" s="399">
        <v>0</v>
      </c>
      <c r="M44" s="399">
        <v>0</v>
      </c>
      <c r="N44" s="399">
        <v>0</v>
      </c>
      <c r="O44" s="399">
        <v>0</v>
      </c>
      <c r="P44" s="399">
        <v>0</v>
      </c>
      <c r="Q44" s="399">
        <v>0</v>
      </c>
      <c r="R44" s="399"/>
      <c r="S44" s="399"/>
      <c r="T44" s="399"/>
      <c r="U44" s="399"/>
      <c r="V44" s="399"/>
      <c r="W44" s="399"/>
      <c r="X44" s="399"/>
      <c r="Y44" s="399"/>
      <c r="Z44" s="399"/>
      <c r="AA44" s="399">
        <v>0</v>
      </c>
      <c r="AB44" s="399"/>
      <c r="AC44" s="399"/>
      <c r="AD44" s="399"/>
      <c r="AE44" s="399"/>
      <c r="AF44" s="399"/>
      <c r="AG44" s="399"/>
      <c r="AH44" s="399"/>
      <c r="AI44" s="399"/>
      <c r="AJ44" s="399"/>
      <c r="AK44" s="399"/>
      <c r="AL44" s="399"/>
      <c r="AM44" s="399"/>
      <c r="AN44" s="399"/>
      <c r="AO44" s="399"/>
      <c r="AP44" s="399"/>
      <c r="AQ44" s="399"/>
      <c r="AR44" s="399"/>
      <c r="AS44" s="399"/>
      <c r="AT44" s="399"/>
      <c r="AU44" s="399"/>
      <c r="AV44" s="399"/>
      <c r="AW44" s="399"/>
      <c r="AX44" s="399"/>
      <c r="AY44" s="399"/>
      <c r="AZ44" s="399">
        <v>0</v>
      </c>
      <c r="BA44" s="399"/>
      <c r="BB44" s="399"/>
      <c r="BC44" s="399"/>
      <c r="BD44" s="399"/>
      <c r="BE44" s="399"/>
      <c r="BF44" s="399"/>
      <c r="BG44" s="399"/>
      <c r="BH44" s="399"/>
      <c r="BI44" s="399">
        <v>0</v>
      </c>
      <c r="BJ44" s="399">
        <v>0</v>
      </c>
      <c r="BK44" s="399">
        <v>5.24</v>
      </c>
      <c r="BL44" s="399">
        <v>1</v>
      </c>
      <c r="BM44" s="399"/>
      <c r="BN44" s="399"/>
      <c r="BO44" s="399"/>
      <c r="BP44" s="399"/>
      <c r="BQ44" s="399"/>
      <c r="BR44" s="399"/>
      <c r="BS44" s="399"/>
      <c r="BT44" s="399"/>
      <c r="BU44" s="399"/>
      <c r="BV44" s="399"/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/>
      <c r="CJ44" s="399">
        <v>-0.03</v>
      </c>
      <c r="CK44" s="399"/>
      <c r="CL44" s="399"/>
      <c r="CM44" s="399"/>
      <c r="CN44" s="399"/>
      <c r="CO44" s="399">
        <v>0</v>
      </c>
      <c r="CP44" s="399">
        <v>0</v>
      </c>
      <c r="CQ44" s="399">
        <v>30</v>
      </c>
      <c r="CR44" s="399"/>
      <c r="CS44" s="399"/>
      <c r="CT44" s="399"/>
      <c r="CU44" s="399"/>
      <c r="CV44" s="399"/>
      <c r="CW44" s="399"/>
      <c r="CX44" s="399"/>
      <c r="CY44" s="399"/>
      <c r="CZ44" s="399"/>
      <c r="DA44" s="399"/>
      <c r="DB44" s="399"/>
      <c r="DC44" s="399"/>
      <c r="DD44" s="399"/>
      <c r="DE44" s="399"/>
      <c r="DF44" s="399"/>
      <c r="DG44" s="399"/>
      <c r="DH44" s="399"/>
      <c r="DI44" s="399"/>
      <c r="DJ44" s="399"/>
      <c r="DK44" s="399">
        <v>0</v>
      </c>
      <c r="DL44" s="399"/>
      <c r="DM44" s="399"/>
      <c r="DN44" s="399"/>
      <c r="DO44" s="399"/>
      <c r="DP44" s="399"/>
      <c r="DQ44" s="399"/>
      <c r="DR44" s="399"/>
      <c r="DS44" s="399"/>
      <c r="DT44" s="399"/>
      <c r="DU44" s="399"/>
      <c r="DV44" s="399"/>
      <c r="DW44" s="399"/>
      <c r="DX44" s="399"/>
      <c r="DY44" s="399"/>
      <c r="DZ44" s="399"/>
      <c r="EA44" s="399"/>
      <c r="EB44" s="399"/>
      <c r="EC44" s="399"/>
      <c r="ED44" s="399"/>
      <c r="EE44" s="399"/>
      <c r="EF44" s="399"/>
      <c r="EG44" s="399"/>
      <c r="EH44" s="399"/>
      <c r="EI44" s="399"/>
      <c r="EJ44" s="399"/>
      <c r="EK44" s="399"/>
      <c r="EL44" s="399"/>
      <c r="EM44" s="399"/>
      <c r="EN44" s="399"/>
      <c r="EO44" s="399"/>
      <c r="EP44" s="399"/>
      <c r="EQ44" s="399"/>
      <c r="ER44" s="399"/>
      <c r="ES44" s="399"/>
      <c r="ET44" s="399"/>
      <c r="EU44" s="399"/>
      <c r="EV44" s="399">
        <v>230</v>
      </c>
      <c r="EW44" s="399"/>
      <c r="EX44" s="399"/>
      <c r="EY44" s="399"/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956</v>
      </c>
      <c r="C45" s="399" t="s">
        <v>2328</v>
      </c>
      <c r="D45" s="399" t="s">
        <v>2340</v>
      </c>
      <c r="E45" s="399" t="s">
        <v>894</v>
      </c>
      <c r="F45" s="399" t="s">
        <v>2350</v>
      </c>
      <c r="G45" s="399" t="s">
        <v>2348</v>
      </c>
      <c r="H45" s="399" t="s">
        <v>1239</v>
      </c>
      <c r="I45" s="399" t="s">
        <v>1239</v>
      </c>
      <c r="J45" s="399" t="s">
        <v>2329</v>
      </c>
      <c r="K45" s="789">
        <v>44440</v>
      </c>
      <c r="L45" s="399">
        <v>0</v>
      </c>
      <c r="M45" s="399">
        <v>0</v>
      </c>
      <c r="N45" s="399">
        <v>6.7000000000000004E-2</v>
      </c>
      <c r="O45" s="399">
        <v>6.7000000000000004E-2</v>
      </c>
      <c r="P45" s="399">
        <v>6.7000000000000004E-2</v>
      </c>
      <c r="Q45" s="399">
        <v>6.7000000000000004E-2</v>
      </c>
      <c r="R45" s="399"/>
      <c r="S45" s="399">
        <v>333.61</v>
      </c>
      <c r="T45" s="399">
        <v>128.11000000000001</v>
      </c>
      <c r="U45" s="399"/>
      <c r="V45" s="399">
        <v>30.935240000000004</v>
      </c>
      <c r="W45" s="399">
        <v>30.935240000000004</v>
      </c>
      <c r="X45" s="399">
        <v>27.003010000000003</v>
      </c>
      <c r="Y45" s="399">
        <v>0</v>
      </c>
      <c r="Z45" s="399">
        <v>4.1014753800415811</v>
      </c>
      <c r="AA45" s="399">
        <v>0</v>
      </c>
      <c r="AB45" s="399">
        <v>0</v>
      </c>
      <c r="AC45" s="399">
        <v>0</v>
      </c>
      <c r="AD45" s="399">
        <v>0</v>
      </c>
      <c r="AE45" s="399">
        <v>13.031245283709508</v>
      </c>
      <c r="AF45" s="399">
        <v>8.5834401104872615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0.63340797768115531</v>
      </c>
      <c r="AM45" s="399"/>
      <c r="AN45" s="399">
        <v>5.7645989719711653E-2</v>
      </c>
      <c r="AO45" s="399">
        <v>0.23289335128391556</v>
      </c>
      <c r="AP45" s="399">
        <v>1.2423565839787509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0.90908084607676898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/>
      <c r="BR45" s="399">
        <v>3.2407899999999996</v>
      </c>
      <c r="BS45" s="399"/>
      <c r="BT45" s="399"/>
      <c r="BU45" s="399"/>
      <c r="BV45" s="399">
        <v>9.4925209565640305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24.8262</v>
      </c>
      <c r="CJ45" s="399">
        <v>-2.4272400000000047</v>
      </c>
      <c r="CK45" s="399"/>
      <c r="CL45" s="399"/>
      <c r="CM45" s="399"/>
      <c r="CN45" s="399"/>
      <c r="CO45" s="399">
        <v>-4.3248500000000014</v>
      </c>
      <c r="CP45" s="399">
        <v>0.39261999999999903</v>
      </c>
      <c r="CQ45" s="399">
        <v>30</v>
      </c>
      <c r="CR45" s="399">
        <v>9.6554831976863653E-2</v>
      </c>
      <c r="CS45" s="399">
        <v>1.7000238853024041E-2</v>
      </c>
      <c r="CT45" s="399">
        <v>9.068682532941641E-2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0</v>
      </c>
      <c r="DA45" s="399">
        <v>0</v>
      </c>
      <c r="DB45" s="399">
        <v>0</v>
      </c>
      <c r="DC45" s="399">
        <v>0.39258209525551635</v>
      </c>
      <c r="DD45" s="399">
        <v>0</v>
      </c>
      <c r="DE45" s="399">
        <v>0</v>
      </c>
      <c r="DF45" s="399">
        <v>0</v>
      </c>
      <c r="DG45" s="399">
        <v>4.157876780352443E-2</v>
      </c>
      <c r="DH45" s="399">
        <v>0</v>
      </c>
      <c r="DI45" s="399">
        <v>-0.38796340635878357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-5.0575461314578352E-2</v>
      </c>
      <c r="DP45" s="399">
        <v>-6.7542275912571628E-3</v>
      </c>
      <c r="DQ45" s="399">
        <v>0</v>
      </c>
      <c r="DR45" s="399">
        <v>0</v>
      </c>
      <c r="DS45" s="399"/>
      <c r="DT45" s="399"/>
      <c r="DU45" s="399"/>
      <c r="DV45" s="399">
        <v>13.031245283709508</v>
      </c>
      <c r="DW45" s="399">
        <v>0</v>
      </c>
      <c r="DX45" s="399">
        <v>0</v>
      </c>
      <c r="DY45" s="399">
        <v>-4.3248500000000014</v>
      </c>
      <c r="DZ45" s="399">
        <v>0.39261999999999908</v>
      </c>
      <c r="EA45" s="399">
        <v>0</v>
      </c>
      <c r="EB45" s="399">
        <v>0</v>
      </c>
      <c r="EC45" s="399">
        <v>-4.0292730944921349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2.1439004947984062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230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956</v>
      </c>
      <c r="C46" s="399" t="s">
        <v>2328</v>
      </c>
      <c r="D46" s="399" t="s">
        <v>2340</v>
      </c>
      <c r="E46" s="399" t="s">
        <v>894</v>
      </c>
      <c r="F46" s="399" t="s">
        <v>2350</v>
      </c>
      <c r="G46" s="399" t="s">
        <v>2349</v>
      </c>
      <c r="H46" s="399" t="s">
        <v>1239</v>
      </c>
      <c r="I46" s="399" t="s">
        <v>1239</v>
      </c>
      <c r="J46" s="399" t="s">
        <v>2329</v>
      </c>
      <c r="K46" s="789">
        <v>44440</v>
      </c>
      <c r="L46" s="399">
        <v>0</v>
      </c>
      <c r="M46" s="399">
        <v>0</v>
      </c>
      <c r="N46" s="399">
        <v>4.2000000000000003E-2</v>
      </c>
      <c r="O46" s="399">
        <v>1.6799999999999999E-2</v>
      </c>
      <c r="P46" s="399">
        <v>4.2000000000000003E-2</v>
      </c>
      <c r="Q46" s="399">
        <v>1.6799999999999999E-2</v>
      </c>
      <c r="R46" s="399"/>
      <c r="S46" s="399">
        <v>333.61</v>
      </c>
      <c r="T46" s="399">
        <v>128.11000000000001</v>
      </c>
      <c r="U46" s="399"/>
      <c r="V46" s="399">
        <v>19.392240000000001</v>
      </c>
      <c r="W46" s="399">
        <v>19.392240000000001</v>
      </c>
      <c r="X46" s="399">
        <v>16.92726</v>
      </c>
      <c r="Y46" s="399">
        <v>0</v>
      </c>
      <c r="Z46" s="399">
        <v>2.5710741188320356</v>
      </c>
      <c r="AA46" s="399">
        <v>0</v>
      </c>
      <c r="AB46" s="399">
        <v>0</v>
      </c>
      <c r="AC46" s="399">
        <v>0</v>
      </c>
      <c r="AD46" s="399">
        <v>0</v>
      </c>
      <c r="AE46" s="399">
        <v>8.1688403271014831</v>
      </c>
      <c r="AF46" s="399">
        <v>5.380663949857686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0.39706171735236601</v>
      </c>
      <c r="AM46" s="399"/>
      <c r="AN46" s="399">
        <v>3.6136292063102829E-2</v>
      </c>
      <c r="AO46" s="399">
        <v>0.1459928470734993</v>
      </c>
      <c r="AP46" s="399">
        <v>0.77879069443444093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0.56987157515260145</v>
      </c>
      <c r="BH46" s="399">
        <v>0</v>
      </c>
      <c r="BI46" s="399">
        <v>0</v>
      </c>
      <c r="BJ46" s="399">
        <v>0</v>
      </c>
      <c r="BK46" s="399">
        <v>0</v>
      </c>
      <c r="BL46" s="399">
        <v>0</v>
      </c>
      <c r="BM46" s="399"/>
      <c r="BN46" s="399"/>
      <c r="BO46" s="399"/>
      <c r="BP46" s="399"/>
      <c r="BQ46" s="399"/>
      <c r="BR46" s="399"/>
      <c r="BS46" s="399">
        <v>10.968972000000001</v>
      </c>
      <c r="BT46" s="399"/>
      <c r="BU46" s="399"/>
      <c r="BV46" s="399">
        <v>5.9505355250102872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7.0932000000000004</v>
      </c>
      <c r="CJ46" s="399">
        <v>0.23702400000000257</v>
      </c>
      <c r="CK46" s="399"/>
      <c r="CL46" s="399"/>
      <c r="CM46" s="399"/>
      <c r="CN46" s="399"/>
      <c r="CO46" s="399">
        <v>-2.7111000000000005</v>
      </c>
      <c r="CP46" s="399">
        <v>0.24611999999999939</v>
      </c>
      <c r="CQ46" s="399">
        <v>30</v>
      </c>
      <c r="CR46" s="399">
        <v>6.0526909597435008E-2</v>
      </c>
      <c r="CS46" s="399">
        <v>1.0656866146671801E-2</v>
      </c>
      <c r="CT46" s="399">
        <v>5.6848457669186336E-2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0</v>
      </c>
      <c r="DA46" s="399">
        <v>0</v>
      </c>
      <c r="DB46" s="399">
        <v>0</v>
      </c>
      <c r="DC46" s="399">
        <v>0.24609623881689036</v>
      </c>
      <c r="DD46" s="399">
        <v>0</v>
      </c>
      <c r="DE46" s="399">
        <v>0</v>
      </c>
      <c r="DF46" s="399">
        <v>0</v>
      </c>
      <c r="DG46" s="399">
        <v>2.6064302205194401E-2</v>
      </c>
      <c r="DH46" s="399">
        <v>0</v>
      </c>
      <c r="DI46" s="399">
        <v>-0.24320094129953551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-3.1704020525556598E-2</v>
      </c>
      <c r="DP46" s="399">
        <v>-4.233993415414937E-3</v>
      </c>
      <c r="DQ46" s="399">
        <v>0</v>
      </c>
      <c r="DR46" s="399">
        <v>0</v>
      </c>
      <c r="DS46" s="399"/>
      <c r="DT46" s="399"/>
      <c r="DU46" s="399"/>
      <c r="DV46" s="399">
        <v>8.1688403271014831</v>
      </c>
      <c r="DW46" s="399">
        <v>0</v>
      </c>
      <c r="DX46" s="399">
        <v>0</v>
      </c>
      <c r="DY46" s="399">
        <v>-2.7111000000000001</v>
      </c>
      <c r="DZ46" s="399">
        <v>0.24611999999999945</v>
      </c>
      <c r="EA46" s="399">
        <v>0</v>
      </c>
      <c r="EB46" s="399">
        <v>0</v>
      </c>
      <c r="EC46" s="399">
        <v>-2.5258129846070112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1.3439376236049709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230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956</v>
      </c>
      <c r="C47" s="399" t="s">
        <v>2328</v>
      </c>
      <c r="D47" s="399" t="s">
        <v>1823</v>
      </c>
      <c r="E47" s="399" t="s">
        <v>889</v>
      </c>
      <c r="F47" s="399" t="s">
        <v>889</v>
      </c>
      <c r="G47" s="399" t="s">
        <v>1239</v>
      </c>
      <c r="H47" s="399" t="s">
        <v>1239</v>
      </c>
      <c r="I47" s="399" t="s">
        <v>1239</v>
      </c>
      <c r="J47" s="399" t="s">
        <v>2329</v>
      </c>
      <c r="K47" s="789">
        <v>44470</v>
      </c>
      <c r="L47" s="399">
        <v>0</v>
      </c>
      <c r="M47" s="399">
        <v>0</v>
      </c>
      <c r="N47" s="399">
        <v>4514.1490000000003</v>
      </c>
      <c r="O47" s="399">
        <v>4514.1490000000003</v>
      </c>
      <c r="P47" s="399">
        <v>4514.1490000000003</v>
      </c>
      <c r="Q47" s="399">
        <v>4514.1490000000003</v>
      </c>
      <c r="R47" s="399"/>
      <c r="S47" s="399">
        <v>333.61</v>
      </c>
      <c r="T47" s="399">
        <v>128.11000000000001</v>
      </c>
      <c r="U47" s="399"/>
      <c r="V47" s="399">
        <v>2084272.8762800004</v>
      </c>
      <c r="W47" s="399">
        <v>2084272.8762800004</v>
      </c>
      <c r="X47" s="399">
        <v>1819337.4714700002</v>
      </c>
      <c r="Y47" s="399">
        <v>0</v>
      </c>
      <c r="Z47" s="399">
        <v>276338.3729155123</v>
      </c>
      <c r="AA47" s="399">
        <v>0</v>
      </c>
      <c r="AB47" s="399">
        <v>0</v>
      </c>
      <c r="AC47" s="399">
        <v>0</v>
      </c>
      <c r="AD47" s="399">
        <v>0</v>
      </c>
      <c r="AE47" s="399">
        <v>877984.81889868644</v>
      </c>
      <c r="AF47" s="399">
        <v>578312.35210919345</v>
      </c>
      <c r="AG47" s="399">
        <v>0</v>
      </c>
      <c r="AH47" s="399">
        <v>0</v>
      </c>
      <c r="AI47" s="399">
        <v>0</v>
      </c>
      <c r="AJ47" s="399">
        <v>0</v>
      </c>
      <c r="AK47" s="399">
        <v>0</v>
      </c>
      <c r="AL47" s="399">
        <v>42676.089388677756</v>
      </c>
      <c r="AM47" s="399"/>
      <c r="AN47" s="399">
        <v>3883.919206675323</v>
      </c>
      <c r="AO47" s="399">
        <v>15691.272967237854</v>
      </c>
      <c r="AP47" s="399">
        <v>83704.219868822314</v>
      </c>
      <c r="AQ47" s="399">
        <v>0</v>
      </c>
      <c r="AR47" s="399">
        <v>0</v>
      </c>
      <c r="AS47" s="399">
        <v>0</v>
      </c>
      <c r="AT47" s="399">
        <v>0</v>
      </c>
      <c r="AU47" s="399">
        <v>0</v>
      </c>
      <c r="AV47" s="399">
        <v>0</v>
      </c>
      <c r="AW47" s="399">
        <v>0</v>
      </c>
      <c r="AX47" s="399">
        <v>0</v>
      </c>
      <c r="AY47" s="399">
        <v>0</v>
      </c>
      <c r="AZ47" s="399">
        <v>0</v>
      </c>
      <c r="BA47" s="399"/>
      <c r="BB47" s="399">
        <v>0</v>
      </c>
      <c r="BC47" s="399">
        <v>0</v>
      </c>
      <c r="BD47" s="399">
        <v>0</v>
      </c>
      <c r="BE47" s="399">
        <v>0</v>
      </c>
      <c r="BF47" s="399">
        <v>0</v>
      </c>
      <c r="BG47" s="399">
        <v>61249.647645322395</v>
      </c>
      <c r="BH47" s="399">
        <v>0</v>
      </c>
      <c r="BI47" s="399">
        <v>0</v>
      </c>
      <c r="BJ47" s="399">
        <v>0</v>
      </c>
      <c r="BK47" s="399">
        <v>526901.09</v>
      </c>
      <c r="BL47" s="399">
        <v>20609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>
        <v>639561.99975451583</v>
      </c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>
        <v>1819337.8744999999</v>
      </c>
      <c r="CJ47" s="399">
        <v>-264935.03178000054</v>
      </c>
      <c r="CK47" s="399"/>
      <c r="CL47" s="399"/>
      <c r="CM47" s="399"/>
      <c r="CN47" s="399"/>
      <c r="CO47" s="399">
        <v>-291388.31795000006</v>
      </c>
      <c r="CP47" s="399">
        <v>26452.913139999935</v>
      </c>
      <c r="CQ47" s="399">
        <v>31</v>
      </c>
      <c r="CR47" s="399">
        <v>6505.4163912467193</v>
      </c>
      <c r="CS47" s="399">
        <v>1145.3971823602933</v>
      </c>
      <c r="CT47" s="399">
        <v>6110.057341402382</v>
      </c>
      <c r="CU47" s="399">
        <v>0</v>
      </c>
      <c r="CV47" s="399">
        <v>0</v>
      </c>
      <c r="CW47" s="399">
        <v>0</v>
      </c>
      <c r="CX47" s="399">
        <v>0</v>
      </c>
      <c r="CY47" s="399">
        <v>0</v>
      </c>
      <c r="CZ47" s="399">
        <v>0</v>
      </c>
      <c r="DA47" s="399">
        <v>0</v>
      </c>
      <c r="DB47" s="399">
        <v>0</v>
      </c>
      <c r="DC47" s="399">
        <v>26450.359294262598</v>
      </c>
      <c r="DD47" s="399">
        <v>0</v>
      </c>
      <c r="DE47" s="399">
        <v>0</v>
      </c>
      <c r="DF47" s="399">
        <v>0</v>
      </c>
      <c r="DG47" s="399">
        <v>2801.3843746494313</v>
      </c>
      <c r="DH47" s="399">
        <v>0</v>
      </c>
      <c r="DI47" s="399">
        <v>-26139.173475389514</v>
      </c>
      <c r="DJ47" s="399"/>
      <c r="DK47" s="399">
        <v>0</v>
      </c>
      <c r="DL47" s="399">
        <v>0</v>
      </c>
      <c r="DM47" s="399">
        <v>0</v>
      </c>
      <c r="DN47" s="399">
        <v>0</v>
      </c>
      <c r="DO47" s="399">
        <v>-3407.5398226528778</v>
      </c>
      <c r="DP47" s="399">
        <v>-455.06850338576032</v>
      </c>
      <c r="DQ47" s="399">
        <v>0</v>
      </c>
      <c r="DR47" s="399">
        <v>0</v>
      </c>
      <c r="DS47" s="399"/>
      <c r="DT47" s="399"/>
      <c r="DU47" s="399"/>
      <c r="DV47" s="399">
        <v>877984.81889868644</v>
      </c>
      <c r="DW47" s="399">
        <v>0</v>
      </c>
      <c r="DX47" s="399">
        <v>0</v>
      </c>
      <c r="DY47" s="399">
        <v>-291388.31795000006</v>
      </c>
      <c r="DZ47" s="399">
        <v>26452.913139999961</v>
      </c>
      <c r="EA47" s="399">
        <v>0</v>
      </c>
      <c r="EB47" s="399">
        <v>0</v>
      </c>
      <c r="EC47" s="399">
        <v>-271473.71806311316</v>
      </c>
      <c r="ED47" s="399">
        <v>0</v>
      </c>
      <c r="EE47" s="399">
        <v>0</v>
      </c>
      <c r="EF47" s="399">
        <v>0</v>
      </c>
      <c r="EG47" s="399">
        <v>0</v>
      </c>
      <c r="EH47" s="399">
        <v>0</v>
      </c>
      <c r="EI47" s="399">
        <v>0</v>
      </c>
      <c r="EJ47" s="399">
        <v>0</v>
      </c>
      <c r="EK47" s="399">
        <v>0</v>
      </c>
      <c r="EL47" s="399">
        <v>0</v>
      </c>
      <c r="EM47" s="399">
        <v>0</v>
      </c>
      <c r="EN47" s="399">
        <v>0</v>
      </c>
      <c r="EO47" s="399">
        <v>0</v>
      </c>
      <c r="EP47" s="399">
        <v>144446.06380139894</v>
      </c>
      <c r="EQ47" s="399">
        <v>0</v>
      </c>
      <c r="ER47" s="399">
        <v>0</v>
      </c>
      <c r="ES47" s="399">
        <v>0</v>
      </c>
      <c r="ET47" s="399">
        <v>0</v>
      </c>
      <c r="EU47" s="399">
        <v>0</v>
      </c>
      <c r="EV47" s="399">
        <v>230</v>
      </c>
      <c r="EW47" s="399">
        <v>0</v>
      </c>
      <c r="EX47" s="399">
        <v>0</v>
      </c>
      <c r="EY47" s="399">
        <v>0</v>
      </c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2330</v>
      </c>
      <c r="C48" s="399" t="s">
        <v>2328</v>
      </c>
      <c r="D48" s="399" t="s">
        <v>1823</v>
      </c>
      <c r="E48" s="399" t="s">
        <v>889</v>
      </c>
      <c r="F48" s="399" t="s">
        <v>889</v>
      </c>
      <c r="G48" s="399" t="s">
        <v>1239</v>
      </c>
      <c r="H48" s="399" t="s">
        <v>1239</v>
      </c>
      <c r="I48" s="399" t="s">
        <v>1239</v>
      </c>
      <c r="J48" s="399" t="s">
        <v>2329</v>
      </c>
      <c r="K48" s="789">
        <v>44470</v>
      </c>
      <c r="L48" s="399">
        <v>0</v>
      </c>
      <c r="M48" s="399">
        <v>0</v>
      </c>
      <c r="N48" s="399">
        <v>-7.7119999999999997</v>
      </c>
      <c r="O48" s="399">
        <v>-7.7119999999999997</v>
      </c>
      <c r="P48" s="399">
        <v>-7.7119999999999997</v>
      </c>
      <c r="Q48" s="399">
        <v>-7.7119999999999997</v>
      </c>
      <c r="R48" s="399"/>
      <c r="S48" s="399">
        <v>333.61</v>
      </c>
      <c r="T48" s="399">
        <v>128.11000000000001</v>
      </c>
      <c r="U48" s="399"/>
      <c r="V48" s="399">
        <v>-3560.7846399999999</v>
      </c>
      <c r="W48" s="399">
        <v>-3560.7846399999999</v>
      </c>
      <c r="X48" s="399">
        <v>-3108.1673599999995</v>
      </c>
      <c r="Y48" s="399">
        <v>0</v>
      </c>
      <c r="Z48" s="399">
        <v>-472.09818105792044</v>
      </c>
      <c r="AA48" s="399">
        <v>0</v>
      </c>
      <c r="AB48" s="399">
        <v>0</v>
      </c>
      <c r="AC48" s="399">
        <v>0</v>
      </c>
      <c r="AD48" s="399">
        <v>0</v>
      </c>
      <c r="AE48" s="399">
        <v>-1499.9546810144436</v>
      </c>
      <c r="AF48" s="399">
        <v>-987.99239003101115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-72.908094386224917</v>
      </c>
      <c r="AM48" s="399"/>
      <c r="AN48" s="399">
        <v>-6.6353115331106904</v>
      </c>
      <c r="AO48" s="399">
        <v>-26.807067538829205</v>
      </c>
      <c r="AP48" s="399">
        <v>-143.00080560662875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-104.63927589468719</v>
      </c>
      <c r="BH48" s="399">
        <v>0</v>
      </c>
      <c r="BI48" s="399">
        <v>0</v>
      </c>
      <c r="BJ48" s="399">
        <v>0</v>
      </c>
      <c r="BK48" s="399">
        <v>-1347.8</v>
      </c>
      <c r="BL48" s="399">
        <v>0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>
        <v>-1092.6316659256984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-3107.3613</v>
      </c>
      <c r="CJ48" s="399">
        <v>453.39333999999917</v>
      </c>
      <c r="CK48" s="399"/>
      <c r="CL48" s="399"/>
      <c r="CM48" s="399"/>
      <c r="CN48" s="399"/>
      <c r="CO48" s="399">
        <v>497.80960000000005</v>
      </c>
      <c r="CP48" s="399">
        <v>-45.192319999999881</v>
      </c>
      <c r="CQ48" s="399">
        <v>31</v>
      </c>
      <c r="CR48" s="399">
        <v>-11.113893495605225</v>
      </c>
      <c r="CS48" s="399">
        <v>-1.9568036124555412</v>
      </c>
      <c r="CT48" s="399">
        <v>-10.438459655827756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0</v>
      </c>
      <c r="DA48" s="399">
        <v>0</v>
      </c>
      <c r="DB48" s="399">
        <v>0</v>
      </c>
      <c r="DC48" s="399">
        <v>-45.187956994187289</v>
      </c>
      <c r="DD48" s="399">
        <v>0</v>
      </c>
      <c r="DE48" s="399">
        <v>0</v>
      </c>
      <c r="DF48" s="399">
        <v>0</v>
      </c>
      <c r="DG48" s="399">
        <v>-4.7859023477728471</v>
      </c>
      <c r="DH48" s="399">
        <v>0</v>
      </c>
      <c r="DI48" s="399">
        <v>44.656325221476664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5.8214620545974327</v>
      </c>
      <c r="DP48" s="399">
        <v>0.77744183856380999</v>
      </c>
      <c r="DQ48" s="399">
        <v>0</v>
      </c>
      <c r="DR48" s="399">
        <v>0</v>
      </c>
      <c r="DS48" s="399"/>
      <c r="DT48" s="399"/>
      <c r="DU48" s="399"/>
      <c r="DV48" s="399">
        <v>-1499.9546810144436</v>
      </c>
      <c r="DW48" s="399">
        <v>0</v>
      </c>
      <c r="DX48" s="399">
        <v>0</v>
      </c>
      <c r="DY48" s="399">
        <v>497.80960000000005</v>
      </c>
      <c r="DZ48" s="399">
        <v>-45.192319999999881</v>
      </c>
      <c r="EA48" s="399">
        <v>0</v>
      </c>
      <c r="EB48" s="399">
        <v>0</v>
      </c>
      <c r="EC48" s="399">
        <v>463.78737469736348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-246.77254650575082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230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2331</v>
      </c>
      <c r="C49" s="399" t="s">
        <v>2328</v>
      </c>
      <c r="D49" s="399" t="s">
        <v>1823</v>
      </c>
      <c r="E49" s="399" t="s">
        <v>889</v>
      </c>
      <c r="F49" s="399" t="s">
        <v>889</v>
      </c>
      <c r="G49" s="399" t="s">
        <v>1239</v>
      </c>
      <c r="H49" s="399" t="s">
        <v>1239</v>
      </c>
      <c r="I49" s="399" t="s">
        <v>1239</v>
      </c>
      <c r="J49" s="399" t="s">
        <v>2329</v>
      </c>
      <c r="K49" s="789">
        <v>44470</v>
      </c>
      <c r="L49" s="399">
        <v>0</v>
      </c>
      <c r="M49" s="399">
        <v>0</v>
      </c>
      <c r="N49" s="399">
        <v>18.855</v>
      </c>
      <c r="O49" s="399">
        <v>18.855</v>
      </c>
      <c r="P49" s="399">
        <v>18.855</v>
      </c>
      <c r="Q49" s="399">
        <v>18.855</v>
      </c>
      <c r="R49" s="399"/>
      <c r="S49" s="399">
        <v>333.61</v>
      </c>
      <c r="T49" s="399">
        <v>128.11000000000001</v>
      </c>
      <c r="U49" s="399"/>
      <c r="V49" s="399">
        <v>8705.7306000000008</v>
      </c>
      <c r="W49" s="399">
        <v>8705.7306000000008</v>
      </c>
      <c r="X49" s="399">
        <v>7599.1306500000001</v>
      </c>
      <c r="Y49" s="399">
        <v>0</v>
      </c>
      <c r="Z49" s="399">
        <v>1154.2286312042388</v>
      </c>
      <c r="AA49" s="399">
        <v>0</v>
      </c>
      <c r="AB49" s="399">
        <v>0</v>
      </c>
      <c r="AC49" s="399">
        <v>0</v>
      </c>
      <c r="AD49" s="399">
        <v>0</v>
      </c>
      <c r="AE49" s="399">
        <v>3667.2258182737728</v>
      </c>
      <c r="AF49" s="399">
        <v>2415.5337803468256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178.25234953997287</v>
      </c>
      <c r="AM49" s="399"/>
      <c r="AN49" s="399">
        <v>16.222613972614376</v>
      </c>
      <c r="AO49" s="399">
        <v>65.540360275495942</v>
      </c>
      <c r="AP49" s="399">
        <v>349.62139389431866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255.83163213100713</v>
      </c>
      <c r="BH49" s="399">
        <v>0</v>
      </c>
      <c r="BI49" s="399">
        <v>0</v>
      </c>
      <c r="BJ49" s="399">
        <v>0</v>
      </c>
      <c r="BK49" s="399">
        <v>4437.0600000000004</v>
      </c>
      <c r="BL49" s="399">
        <v>43</v>
      </c>
      <c r="BM49" s="399"/>
      <c r="BN49" s="399"/>
      <c r="BO49" s="399"/>
      <c r="BP49" s="399"/>
      <c r="BQ49" s="399"/>
      <c r="BR49" s="399"/>
      <c r="BS49" s="399"/>
      <c r="BT49" s="399"/>
      <c r="BU49" s="399"/>
      <c r="BV49" s="399">
        <v>2671.3654124778327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7601.1458000000002</v>
      </c>
      <c r="CJ49" s="399">
        <v>-1104.6148000000012</v>
      </c>
      <c r="CK49" s="399"/>
      <c r="CL49" s="399"/>
      <c r="CM49" s="399"/>
      <c r="CN49" s="399"/>
      <c r="CO49" s="399">
        <v>-1217.0902500000002</v>
      </c>
      <c r="CP49" s="399">
        <v>110.49029999999972</v>
      </c>
      <c r="CQ49" s="399">
        <v>31</v>
      </c>
      <c r="CR49" s="399">
        <v>27.172259058563213</v>
      </c>
      <c r="CS49" s="399">
        <v>4.7841716951308655</v>
      </c>
      <c r="CT49" s="399">
        <v>25.520896889345408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0</v>
      </c>
      <c r="DA49" s="399">
        <v>0</v>
      </c>
      <c r="DB49" s="399">
        <v>0</v>
      </c>
      <c r="DC49" s="399">
        <v>110.47963292601116</v>
      </c>
      <c r="DD49" s="399">
        <v>0</v>
      </c>
      <c r="DE49" s="399">
        <v>0</v>
      </c>
      <c r="DF49" s="399">
        <v>0</v>
      </c>
      <c r="DG49" s="399">
        <v>11.701009954260513</v>
      </c>
      <c r="DH49" s="399">
        <v>0</v>
      </c>
      <c r="DI49" s="399">
        <v>-109.17985114768453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-14.232840643080209</v>
      </c>
      <c r="DP49" s="399">
        <v>-1.9007606154202055</v>
      </c>
      <c r="DQ49" s="399">
        <v>0</v>
      </c>
      <c r="DR49" s="399">
        <v>0</v>
      </c>
      <c r="DS49" s="399"/>
      <c r="DT49" s="399"/>
      <c r="DU49" s="399"/>
      <c r="DV49" s="399">
        <v>3667.2258182737728</v>
      </c>
      <c r="DW49" s="399">
        <v>0</v>
      </c>
      <c r="DX49" s="399">
        <v>0</v>
      </c>
      <c r="DY49" s="399">
        <v>-1217.0902500000002</v>
      </c>
      <c r="DZ49" s="399">
        <v>110.49029999999993</v>
      </c>
      <c r="EA49" s="399">
        <v>0</v>
      </c>
      <c r="EB49" s="399">
        <v>0</v>
      </c>
      <c r="EC49" s="399">
        <v>-1133.9096148753615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603.33199745408865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230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956</v>
      </c>
      <c r="C50" s="399" t="s">
        <v>2328</v>
      </c>
      <c r="D50" s="399" t="s">
        <v>1823</v>
      </c>
      <c r="E50" s="399" t="s">
        <v>889</v>
      </c>
      <c r="F50" s="399" t="s">
        <v>2332</v>
      </c>
      <c r="G50" s="399" t="s">
        <v>1239</v>
      </c>
      <c r="H50" s="399" t="s">
        <v>1239</v>
      </c>
      <c r="I50" s="399" t="s">
        <v>1239</v>
      </c>
      <c r="J50" s="399" t="s">
        <v>2329</v>
      </c>
      <c r="K50" s="789">
        <v>44470</v>
      </c>
      <c r="L50" s="399">
        <v>0</v>
      </c>
      <c r="M50" s="399">
        <v>0</v>
      </c>
      <c r="N50" s="399">
        <v>12.9</v>
      </c>
      <c r="O50" s="399">
        <v>12.9</v>
      </c>
      <c r="P50" s="399">
        <v>12.9</v>
      </c>
      <c r="Q50" s="399">
        <v>12.9</v>
      </c>
      <c r="R50" s="399"/>
      <c r="S50" s="399">
        <v>230.94</v>
      </c>
      <c r="T50" s="399">
        <v>128.11000000000001</v>
      </c>
      <c r="U50" s="399"/>
      <c r="V50" s="399">
        <v>4631.7450000000008</v>
      </c>
      <c r="W50" s="399">
        <v>4631.7450000000008</v>
      </c>
      <c r="X50" s="399">
        <v>3959.01</v>
      </c>
      <c r="Y50" s="399">
        <v>0</v>
      </c>
      <c r="Z50" s="399">
        <v>0</v>
      </c>
      <c r="AA50" s="399">
        <v>0</v>
      </c>
      <c r="AB50" s="399">
        <v>0</v>
      </c>
      <c r="AC50" s="399">
        <v>0</v>
      </c>
      <c r="AD50" s="399">
        <v>0</v>
      </c>
      <c r="AE50" s="399">
        <v>2509.0009576097409</v>
      </c>
      <c r="AF50" s="399">
        <v>1652.6324988848605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0</v>
      </c>
      <c r="AM50" s="399"/>
      <c r="AN50" s="399">
        <v>11.099003990810154</v>
      </c>
      <c r="AO50" s="399">
        <v>44.840660172574786</v>
      </c>
      <c r="AP50" s="399">
        <v>239.199999004864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175.03198379687043</v>
      </c>
      <c r="BH50" s="399">
        <v>0</v>
      </c>
      <c r="BI50" s="399">
        <v>0</v>
      </c>
      <c r="BJ50" s="399">
        <v>0</v>
      </c>
      <c r="BK50" s="399">
        <v>192.87</v>
      </c>
      <c r="BL50" s="399">
        <v>9</v>
      </c>
      <c r="BM50" s="399"/>
      <c r="BN50" s="399"/>
      <c r="BO50" s="399"/>
      <c r="BP50" s="399"/>
      <c r="BQ50" s="399"/>
      <c r="BR50" s="399"/>
      <c r="BS50" s="399"/>
      <c r="BT50" s="399">
        <v>2573.2920000000004</v>
      </c>
      <c r="BU50" s="399"/>
      <c r="BV50" s="399">
        <v>1827.664482681731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1385.7179999999998</v>
      </c>
      <c r="CJ50" s="399">
        <v>-235.45500000000015</v>
      </c>
      <c r="CK50" s="399"/>
      <c r="CL50" s="399"/>
      <c r="CM50" s="399"/>
      <c r="CN50" s="399"/>
      <c r="CO50" s="399">
        <v>-748.32899999999995</v>
      </c>
      <c r="CP50" s="399">
        <v>75.593999999999809</v>
      </c>
      <c r="CQ50" s="399">
        <v>31</v>
      </c>
      <c r="CR50" s="399">
        <v>103.02550336549075</v>
      </c>
      <c r="CS50" s="399">
        <v>3.2731803164777631</v>
      </c>
      <c r="CT50" s="399">
        <v>17.460597712678663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0</v>
      </c>
      <c r="DA50" s="399">
        <v>0</v>
      </c>
      <c r="DB50" s="399">
        <v>0</v>
      </c>
      <c r="DC50" s="399">
        <v>75.586701922330803</v>
      </c>
      <c r="DD50" s="399">
        <v>0</v>
      </c>
      <c r="DE50" s="399">
        <v>0</v>
      </c>
      <c r="DF50" s="399">
        <v>0</v>
      </c>
      <c r="DG50" s="399">
        <v>8.0054642487382921</v>
      </c>
      <c r="DH50" s="399">
        <v>0</v>
      </c>
      <c r="DI50" s="399">
        <v>0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0</v>
      </c>
      <c r="DP50" s="399">
        <v>-1.3004408347345873</v>
      </c>
      <c r="DQ50" s="399">
        <v>0</v>
      </c>
      <c r="DR50" s="399">
        <v>0</v>
      </c>
      <c r="DS50" s="399"/>
      <c r="DT50" s="399"/>
      <c r="DU50" s="399"/>
      <c r="DV50" s="399">
        <v>2509.0009576097409</v>
      </c>
      <c r="DW50" s="399">
        <v>0</v>
      </c>
      <c r="DX50" s="399">
        <v>0</v>
      </c>
      <c r="DY50" s="399">
        <v>-748.32900000000018</v>
      </c>
      <c r="DZ50" s="399">
        <v>75.593999999999824</v>
      </c>
      <c r="EA50" s="399">
        <v>0</v>
      </c>
      <c r="EB50" s="399">
        <v>0</v>
      </c>
      <c r="EC50" s="399">
        <v>-775.78541670072468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230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956</v>
      </c>
      <c r="C51" s="399" t="s">
        <v>2328</v>
      </c>
      <c r="D51" s="399" t="s">
        <v>1823</v>
      </c>
      <c r="E51" s="399" t="s">
        <v>889</v>
      </c>
      <c r="F51" s="399" t="s">
        <v>2333</v>
      </c>
      <c r="G51" s="399" t="s">
        <v>1239</v>
      </c>
      <c r="H51" s="399" t="s">
        <v>1239</v>
      </c>
      <c r="I51" s="399" t="s">
        <v>1239</v>
      </c>
      <c r="J51" s="399" t="s">
        <v>2329</v>
      </c>
      <c r="K51" s="789">
        <v>44470</v>
      </c>
      <c r="L51" s="399">
        <v>0</v>
      </c>
      <c r="M51" s="399">
        <v>0</v>
      </c>
      <c r="N51" s="399">
        <v>27.638999999999999</v>
      </c>
      <c r="O51" s="399">
        <v>27.638999999999999</v>
      </c>
      <c r="P51" s="399">
        <v>27.638999999999999</v>
      </c>
      <c r="Q51" s="399">
        <v>27.638999999999999</v>
      </c>
      <c r="R51" s="399"/>
      <c r="S51" s="399">
        <v>230.94</v>
      </c>
      <c r="T51" s="399">
        <v>128.11000000000001</v>
      </c>
      <c r="U51" s="399"/>
      <c r="V51" s="399">
        <v>9923.7829500000007</v>
      </c>
      <c r="W51" s="399">
        <v>9923.7829500000007</v>
      </c>
      <c r="X51" s="399">
        <v>8482.4090999999989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0</v>
      </c>
      <c r="AE51" s="399">
        <v>5375.6804238275681</v>
      </c>
      <c r="AF51" s="399">
        <v>3540.8612121456326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23.780261341240454</v>
      </c>
      <c r="AO51" s="399">
        <v>96.073721434867792</v>
      </c>
      <c r="AP51" s="399">
        <v>512.49990484460739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375.01620156292262</v>
      </c>
      <c r="BH51" s="399">
        <v>0</v>
      </c>
      <c r="BI51" s="399">
        <v>0</v>
      </c>
      <c r="BJ51" s="399">
        <v>0</v>
      </c>
      <c r="BK51" s="399">
        <v>740.22</v>
      </c>
      <c r="BL51" s="399">
        <v>63</v>
      </c>
      <c r="BM51" s="399"/>
      <c r="BN51" s="399"/>
      <c r="BO51" s="399"/>
      <c r="BP51" s="399"/>
      <c r="BQ51" s="399"/>
      <c r="BR51" s="399"/>
      <c r="BS51" s="399"/>
      <c r="BT51" s="399">
        <v>3392.9636399999999</v>
      </c>
      <c r="BU51" s="399"/>
      <c r="BV51" s="399">
        <v>3915.8774137085552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5089.6296000000002</v>
      </c>
      <c r="CJ51" s="399">
        <v>-864.94656000000032</v>
      </c>
      <c r="CK51" s="399"/>
      <c r="CL51" s="399"/>
      <c r="CM51" s="399"/>
      <c r="CN51" s="399"/>
      <c r="CO51" s="399">
        <v>-1603.3383899999997</v>
      </c>
      <c r="CP51" s="399">
        <v>161.9645399999996</v>
      </c>
      <c r="CQ51" s="399">
        <v>31</v>
      </c>
      <c r="CR51" s="399">
        <v>220.73813081541175</v>
      </c>
      <c r="CS51" s="399">
        <v>7.012979129234779</v>
      </c>
      <c r="CT51" s="399">
        <v>37.410345750443867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0</v>
      </c>
      <c r="DA51" s="399">
        <v>0</v>
      </c>
      <c r="DB51" s="399">
        <v>0</v>
      </c>
      <c r="DC51" s="399">
        <v>161.94890344428677</v>
      </c>
      <c r="DD51" s="399">
        <v>0</v>
      </c>
      <c r="DE51" s="399">
        <v>0</v>
      </c>
      <c r="DF51" s="399">
        <v>0</v>
      </c>
      <c r="DG51" s="399">
        <v>17.152172586889719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0</v>
      </c>
      <c r="DP51" s="399">
        <v>-2.7862700954441308</v>
      </c>
      <c r="DQ51" s="399">
        <v>0</v>
      </c>
      <c r="DR51" s="399">
        <v>0</v>
      </c>
      <c r="DS51" s="399"/>
      <c r="DT51" s="399"/>
      <c r="DU51" s="399"/>
      <c r="DV51" s="399">
        <v>5375.6804238275681</v>
      </c>
      <c r="DW51" s="399">
        <v>0</v>
      </c>
      <c r="DX51" s="399">
        <v>0</v>
      </c>
      <c r="DY51" s="399">
        <v>-1603.3383899999999</v>
      </c>
      <c r="DZ51" s="399">
        <v>161.96453999999949</v>
      </c>
      <c r="EA51" s="399">
        <v>0</v>
      </c>
      <c r="EB51" s="399">
        <v>0</v>
      </c>
      <c r="EC51" s="399">
        <v>-1662.165359084599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230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956</v>
      </c>
      <c r="C52" s="399" t="s">
        <v>2328</v>
      </c>
      <c r="D52" s="399" t="s">
        <v>1823</v>
      </c>
      <c r="E52" s="399" t="s">
        <v>889</v>
      </c>
      <c r="F52" s="399" t="s">
        <v>2334</v>
      </c>
      <c r="G52" s="399" t="s">
        <v>1239</v>
      </c>
      <c r="H52" s="399" t="s">
        <v>1239</v>
      </c>
      <c r="I52" s="399" t="s">
        <v>1239</v>
      </c>
      <c r="J52" s="399" t="s">
        <v>2329</v>
      </c>
      <c r="K52" s="789">
        <v>44470</v>
      </c>
      <c r="L52" s="399">
        <v>0</v>
      </c>
      <c r="M52" s="399">
        <v>0</v>
      </c>
      <c r="N52" s="399">
        <v>32.045999999999999</v>
      </c>
      <c r="O52" s="399">
        <v>32.045999999999999</v>
      </c>
      <c r="P52" s="399">
        <v>32.045999999999999</v>
      </c>
      <c r="Q52" s="399">
        <v>32.045999999999999</v>
      </c>
      <c r="R52" s="399"/>
      <c r="S52" s="399">
        <v>230.94</v>
      </c>
      <c r="T52" s="399">
        <v>128.11000000000001</v>
      </c>
      <c r="U52" s="399"/>
      <c r="V52" s="399">
        <v>11506.116300000002</v>
      </c>
      <c r="W52" s="399">
        <v>11506.116300000002</v>
      </c>
      <c r="X52" s="399">
        <v>9834.9174000000003</v>
      </c>
      <c r="Y52" s="399">
        <v>0</v>
      </c>
      <c r="Z52" s="399">
        <v>0</v>
      </c>
      <c r="AA52" s="399">
        <v>0</v>
      </c>
      <c r="AB52" s="399">
        <v>0</v>
      </c>
      <c r="AC52" s="399">
        <v>0</v>
      </c>
      <c r="AD52" s="399">
        <v>0</v>
      </c>
      <c r="AE52" s="399">
        <v>6232.8251695784311</v>
      </c>
      <c r="AF52" s="399">
        <v>4105.4465937414143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0</v>
      </c>
      <c r="AM52" s="399"/>
      <c r="AN52" s="399">
        <v>27.571990844147457</v>
      </c>
      <c r="AO52" s="399">
        <v>111.39254231707997</v>
      </c>
      <c r="AP52" s="399">
        <v>594.21729985347838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434.81201184143487</v>
      </c>
      <c r="BH52" s="399">
        <v>0</v>
      </c>
      <c r="BI52" s="399">
        <v>0</v>
      </c>
      <c r="BJ52" s="399">
        <v>0</v>
      </c>
      <c r="BK52" s="399">
        <v>2472.58</v>
      </c>
      <c r="BL52" s="399">
        <v>202</v>
      </c>
      <c r="BM52" s="399"/>
      <c r="BN52" s="399"/>
      <c r="BO52" s="399"/>
      <c r="BP52" s="399"/>
      <c r="BQ52" s="399"/>
      <c r="BR52" s="399"/>
      <c r="BS52" s="399"/>
      <c r="BT52" s="399">
        <v>983.49174000000085</v>
      </c>
      <c r="BU52" s="399"/>
      <c r="BV52" s="399">
        <v>4540.2586055828488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8852.5304999999971</v>
      </c>
      <c r="CJ52" s="399">
        <v>-1503.1644000000033</v>
      </c>
      <c r="CK52" s="399"/>
      <c r="CL52" s="399"/>
      <c r="CM52" s="399"/>
      <c r="CN52" s="399"/>
      <c r="CO52" s="399">
        <v>-1858.9884599999996</v>
      </c>
      <c r="CP52" s="399">
        <v>187.78955999999951</v>
      </c>
      <c r="CQ52" s="399">
        <v>31</v>
      </c>
      <c r="CR52" s="399">
        <v>255.93451789538722</v>
      </c>
      <c r="CS52" s="399">
        <v>8.1311888699105594</v>
      </c>
      <c r="CT52" s="399">
        <v>43.375373201589241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0</v>
      </c>
      <c r="DA52" s="399">
        <v>0</v>
      </c>
      <c r="DB52" s="399">
        <v>0</v>
      </c>
      <c r="DC52" s="399">
        <v>187.77143021728716</v>
      </c>
      <c r="DD52" s="399">
        <v>0</v>
      </c>
      <c r="DE52" s="399">
        <v>0</v>
      </c>
      <c r="DF52" s="399">
        <v>0</v>
      </c>
      <c r="DG52" s="399">
        <v>19.887062582563317</v>
      </c>
      <c r="DH52" s="399">
        <v>0</v>
      </c>
      <c r="DI52" s="399">
        <v>0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0</v>
      </c>
      <c r="DP52" s="399">
        <v>-3.2305369759615985</v>
      </c>
      <c r="DQ52" s="399">
        <v>0</v>
      </c>
      <c r="DR52" s="399">
        <v>0</v>
      </c>
      <c r="DS52" s="399"/>
      <c r="DT52" s="399"/>
      <c r="DU52" s="399"/>
      <c r="DV52" s="399">
        <v>6232.8251695784311</v>
      </c>
      <c r="DW52" s="399">
        <v>0</v>
      </c>
      <c r="DX52" s="399">
        <v>0</v>
      </c>
      <c r="DY52" s="399">
        <v>-1858.9884599999996</v>
      </c>
      <c r="DZ52" s="399">
        <v>187.78955999999926</v>
      </c>
      <c r="EA52" s="399">
        <v>0</v>
      </c>
      <c r="EB52" s="399">
        <v>0</v>
      </c>
      <c r="EC52" s="399">
        <v>-1927.1953072551496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230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956</v>
      </c>
      <c r="C53" s="399" t="s">
        <v>2328</v>
      </c>
      <c r="D53" s="399" t="s">
        <v>1823</v>
      </c>
      <c r="E53" s="399" t="s">
        <v>889</v>
      </c>
      <c r="F53" s="399" t="s">
        <v>2335</v>
      </c>
      <c r="G53" s="399" t="s">
        <v>1239</v>
      </c>
      <c r="H53" s="399" t="s">
        <v>1239</v>
      </c>
      <c r="I53" s="399" t="s">
        <v>1239</v>
      </c>
      <c r="J53" s="399" t="s">
        <v>2329</v>
      </c>
      <c r="K53" s="789">
        <v>44470</v>
      </c>
      <c r="L53" s="399">
        <v>0</v>
      </c>
      <c r="M53" s="399">
        <v>0</v>
      </c>
      <c r="N53" s="399">
        <v>11.125999999999999</v>
      </c>
      <c r="O53" s="399">
        <v>11.125999999999999</v>
      </c>
      <c r="P53" s="399">
        <v>11.125999999999999</v>
      </c>
      <c r="Q53" s="399">
        <v>11.125999999999999</v>
      </c>
      <c r="R53" s="399"/>
      <c r="S53" s="399">
        <v>230.94</v>
      </c>
      <c r="T53" s="399">
        <v>128.11000000000001</v>
      </c>
      <c r="U53" s="399"/>
      <c r="V53" s="399">
        <v>3994.7902999999997</v>
      </c>
      <c r="W53" s="399">
        <v>3994.7902999999997</v>
      </c>
      <c r="X53" s="399">
        <v>3414.5693999999999</v>
      </c>
      <c r="Y53" s="399">
        <v>0</v>
      </c>
      <c r="Z53" s="399">
        <v>0</v>
      </c>
      <c r="AA53" s="399">
        <v>0</v>
      </c>
      <c r="AB53" s="399">
        <v>0</v>
      </c>
      <c r="AC53" s="399">
        <v>0</v>
      </c>
      <c r="AD53" s="399">
        <v>0</v>
      </c>
      <c r="AE53" s="399">
        <v>2163.9647018888354</v>
      </c>
      <c r="AF53" s="399">
        <v>1425.363502526586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0</v>
      </c>
      <c r="AM53" s="399"/>
      <c r="AN53" s="399">
        <v>9.5726758450971907</v>
      </c>
      <c r="AO53" s="399">
        <v>38.674200393803645</v>
      </c>
      <c r="AP53" s="399">
        <v>206.30536348279972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150.96169393209149</v>
      </c>
      <c r="BH53" s="399">
        <v>0</v>
      </c>
      <c r="BI53" s="399">
        <v>0</v>
      </c>
      <c r="BJ53" s="399">
        <v>0</v>
      </c>
      <c r="BK53" s="399">
        <v>1965.06</v>
      </c>
      <c r="BL53" s="399">
        <v>156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1576.3251964586775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3415.7970000000005</v>
      </c>
      <c r="CJ53" s="399">
        <v>-579.02329999999984</v>
      </c>
      <c r="CK53" s="399"/>
      <c r="CL53" s="399"/>
      <c r="CM53" s="399"/>
      <c r="CN53" s="399"/>
      <c r="CO53" s="399">
        <v>-645.41925999999989</v>
      </c>
      <c r="CP53" s="399">
        <v>65.198359999999838</v>
      </c>
      <c r="CQ53" s="399">
        <v>31</v>
      </c>
      <c r="CR53" s="399">
        <v>88.857500034453551</v>
      </c>
      <c r="CS53" s="399">
        <v>2.8230545892350065</v>
      </c>
      <c r="CT53" s="399">
        <v>15.059427143508771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0</v>
      </c>
      <c r="DA53" s="399">
        <v>0</v>
      </c>
      <c r="DB53" s="399">
        <v>0</v>
      </c>
      <c r="DC53" s="399">
        <v>65.192065549445715</v>
      </c>
      <c r="DD53" s="399">
        <v>0</v>
      </c>
      <c r="DE53" s="399">
        <v>0</v>
      </c>
      <c r="DF53" s="399">
        <v>0</v>
      </c>
      <c r="DG53" s="399">
        <v>6.9045577698807961</v>
      </c>
      <c r="DH53" s="399">
        <v>0</v>
      </c>
      <c r="DI53" s="399">
        <v>0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0</v>
      </c>
      <c r="DP53" s="399">
        <v>-1.1216050176168242</v>
      </c>
      <c r="DQ53" s="399">
        <v>0</v>
      </c>
      <c r="DR53" s="399">
        <v>0</v>
      </c>
      <c r="DS53" s="399"/>
      <c r="DT53" s="399"/>
      <c r="DU53" s="399"/>
      <c r="DV53" s="399">
        <v>2163.9647018888354</v>
      </c>
      <c r="DW53" s="399">
        <v>0</v>
      </c>
      <c r="DX53" s="399">
        <v>0</v>
      </c>
      <c r="DY53" s="399">
        <v>-645.41925999999989</v>
      </c>
      <c r="DZ53" s="399">
        <v>65.198359999999866</v>
      </c>
      <c r="EA53" s="399">
        <v>0</v>
      </c>
      <c r="EB53" s="399">
        <v>0</v>
      </c>
      <c r="EC53" s="399">
        <v>-669.09988730327609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230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956</v>
      </c>
      <c r="C54" s="399" t="s">
        <v>2328</v>
      </c>
      <c r="D54" s="399" t="s">
        <v>1826</v>
      </c>
      <c r="E54" s="399" t="s">
        <v>890</v>
      </c>
      <c r="F54" s="399" t="s">
        <v>1239</v>
      </c>
      <c r="G54" s="399" t="s">
        <v>1239</v>
      </c>
      <c r="H54" s="399" t="s">
        <v>1239</v>
      </c>
      <c r="I54" s="399" t="s">
        <v>1239</v>
      </c>
      <c r="J54" s="399" t="s">
        <v>2329</v>
      </c>
      <c r="K54" s="789">
        <v>44470</v>
      </c>
      <c r="L54" s="399">
        <v>0</v>
      </c>
      <c r="M54" s="399">
        <v>0</v>
      </c>
      <c r="N54" s="399">
        <v>403.44600000000003</v>
      </c>
      <c r="O54" s="399">
        <v>403.44600000000003</v>
      </c>
      <c r="P54" s="399">
        <v>403.44600000000003</v>
      </c>
      <c r="Q54" s="399">
        <v>403.44600000000003</v>
      </c>
      <c r="R54" s="399"/>
      <c r="S54" s="399">
        <v>333.61</v>
      </c>
      <c r="T54" s="399">
        <v>128.11000000000001</v>
      </c>
      <c r="U54" s="399"/>
      <c r="V54" s="399">
        <v>186279.08712000004</v>
      </c>
      <c r="W54" s="399">
        <v>186279.08712000004</v>
      </c>
      <c r="X54" s="399">
        <v>162600.84138</v>
      </c>
      <c r="Y54" s="399">
        <v>0</v>
      </c>
      <c r="Z54" s="399">
        <v>24697.370689197844</v>
      </c>
      <c r="AA54" s="399">
        <v>0</v>
      </c>
      <c r="AB54" s="399">
        <v>0</v>
      </c>
      <c r="AC54" s="399">
        <v>0</v>
      </c>
      <c r="AD54" s="399">
        <v>0</v>
      </c>
      <c r="AE54" s="399">
        <v>78468.713204947257</v>
      </c>
      <c r="AF54" s="399">
        <v>51685.889236054383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3814.1181337843491</v>
      </c>
      <c r="AM54" s="399"/>
      <c r="AN54" s="399">
        <v>347.1200592307282</v>
      </c>
      <c r="AO54" s="399">
        <v>1402.3864328670238</v>
      </c>
      <c r="AP54" s="399">
        <v>7480.9521549237488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5474.1049406908678</v>
      </c>
      <c r="BH54" s="399">
        <v>0</v>
      </c>
      <c r="BI54" s="399">
        <v>0</v>
      </c>
      <c r="BJ54" s="399">
        <v>0</v>
      </c>
      <c r="BK54" s="399">
        <v>72761.08</v>
      </c>
      <c r="BL54" s="399">
        <v>208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57159.994176745255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162602.4535</v>
      </c>
      <c r="CJ54" s="399">
        <v>-23676.663620000065</v>
      </c>
      <c r="CK54" s="399"/>
      <c r="CL54" s="399"/>
      <c r="CM54" s="399"/>
      <c r="CN54" s="399"/>
      <c r="CO54" s="399">
        <v>-26042.439300000005</v>
      </c>
      <c r="CP54" s="399">
        <v>2364.1935599999942</v>
      </c>
      <c r="CQ54" s="399">
        <v>31</v>
      </c>
      <c r="CR54" s="399">
        <v>581.41284689157328</v>
      </c>
      <c r="CS54" s="399">
        <v>102.36833379547966</v>
      </c>
      <c r="CT54" s="399">
        <v>546.07816316196568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0</v>
      </c>
      <c r="DA54" s="399">
        <v>0</v>
      </c>
      <c r="DB54" s="399">
        <v>0</v>
      </c>
      <c r="DC54" s="399">
        <v>2363.9653134695036</v>
      </c>
      <c r="DD54" s="399">
        <v>0</v>
      </c>
      <c r="DE54" s="399">
        <v>0</v>
      </c>
      <c r="DF54" s="399">
        <v>0</v>
      </c>
      <c r="DG54" s="399">
        <v>250.36996351135349</v>
      </c>
      <c r="DH54" s="399">
        <v>0</v>
      </c>
      <c r="DI54" s="399">
        <v>-2336.1534991317239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-304.5442920227074</v>
      </c>
      <c r="DP54" s="399">
        <v>-40.671135892273696</v>
      </c>
      <c r="DQ54" s="399">
        <v>0</v>
      </c>
      <c r="DR54" s="399">
        <v>0</v>
      </c>
      <c r="DS54" s="399"/>
      <c r="DT54" s="399"/>
      <c r="DU54" s="399"/>
      <c r="DV54" s="399">
        <v>78468.713204947257</v>
      </c>
      <c r="DW54" s="399">
        <v>0</v>
      </c>
      <c r="DX54" s="399">
        <v>0</v>
      </c>
      <c r="DY54" s="399">
        <v>-26042.439300000013</v>
      </c>
      <c r="DZ54" s="399">
        <v>2364.1935599999924</v>
      </c>
      <c r="EA54" s="399">
        <v>0</v>
      </c>
      <c r="EB54" s="399">
        <v>0</v>
      </c>
      <c r="EC54" s="399">
        <v>-24262.598699708571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12909.672821260265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230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2331</v>
      </c>
      <c r="C55" s="399" t="s">
        <v>2328</v>
      </c>
      <c r="D55" s="399" t="s">
        <v>1826</v>
      </c>
      <c r="E55" s="399" t="s">
        <v>890</v>
      </c>
      <c r="F55" s="399" t="s">
        <v>1239</v>
      </c>
      <c r="G55" s="399" t="s">
        <v>1239</v>
      </c>
      <c r="H55" s="399" t="s">
        <v>1239</v>
      </c>
      <c r="I55" s="399" t="s">
        <v>1239</v>
      </c>
      <c r="J55" s="399" t="s">
        <v>2329</v>
      </c>
      <c r="K55" s="789">
        <v>44470</v>
      </c>
      <c r="L55" s="399">
        <v>0</v>
      </c>
      <c r="M55" s="399">
        <v>0</v>
      </c>
      <c r="N55" s="399">
        <v>7.7519999999999998</v>
      </c>
      <c r="O55" s="399">
        <v>7.7519999999999998</v>
      </c>
      <c r="P55" s="399">
        <v>7.7519999999999998</v>
      </c>
      <c r="Q55" s="399">
        <v>7.7519999999999998</v>
      </c>
      <c r="R55" s="399"/>
      <c r="S55" s="399">
        <v>333.61</v>
      </c>
      <c r="T55" s="399">
        <v>128.11000000000001</v>
      </c>
      <c r="U55" s="399"/>
      <c r="V55" s="399">
        <v>3579.2534400000004</v>
      </c>
      <c r="W55" s="399">
        <v>3579.2534400000004</v>
      </c>
      <c r="X55" s="399">
        <v>3124.28856</v>
      </c>
      <c r="Y55" s="399">
        <v>0</v>
      </c>
      <c r="Z55" s="399">
        <v>474.54682307585568</v>
      </c>
      <c r="AA55" s="399">
        <v>0</v>
      </c>
      <c r="AB55" s="399">
        <v>0</v>
      </c>
      <c r="AC55" s="399">
        <v>0</v>
      </c>
      <c r="AD55" s="399">
        <v>0</v>
      </c>
      <c r="AE55" s="399">
        <v>1507.7345289450163</v>
      </c>
      <c r="AF55" s="399">
        <v>993.11683188801851</v>
      </c>
      <c r="AG55" s="399">
        <v>0</v>
      </c>
      <c r="AH55" s="399">
        <v>0</v>
      </c>
      <c r="AI55" s="399">
        <v>0</v>
      </c>
      <c r="AJ55" s="399">
        <v>0</v>
      </c>
      <c r="AK55" s="399">
        <v>0</v>
      </c>
      <c r="AL55" s="399">
        <v>73.286248402750971</v>
      </c>
      <c r="AM55" s="399"/>
      <c r="AN55" s="399">
        <v>6.6697270493612644</v>
      </c>
      <c r="AO55" s="399">
        <v>26.946108345565872</v>
      </c>
      <c r="AP55" s="399">
        <v>143.74251102989965</v>
      </c>
      <c r="AQ55" s="399">
        <v>0</v>
      </c>
      <c r="AR55" s="399">
        <v>0</v>
      </c>
      <c r="AS55" s="399">
        <v>0</v>
      </c>
      <c r="AT55" s="399">
        <v>0</v>
      </c>
      <c r="AU55" s="399">
        <v>0</v>
      </c>
      <c r="AV55" s="399">
        <v>0</v>
      </c>
      <c r="AW55" s="399">
        <v>0</v>
      </c>
      <c r="AX55" s="399">
        <v>0</v>
      </c>
      <c r="AY55" s="399">
        <v>0</v>
      </c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>
        <v>0</v>
      </c>
      <c r="BG55" s="399">
        <v>105.18201072816586</v>
      </c>
      <c r="BH55" s="399">
        <v>0</v>
      </c>
      <c r="BI55" s="399">
        <v>0</v>
      </c>
      <c r="BJ55" s="399">
        <v>0</v>
      </c>
      <c r="BK55" s="399">
        <v>1952.67</v>
      </c>
      <c r="BL55" s="399">
        <v>2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1098.2988426161844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3123.4825000000001</v>
      </c>
      <c r="CJ55" s="399">
        <v>-455.80094000000099</v>
      </c>
      <c r="CK55" s="399"/>
      <c r="CL55" s="399"/>
      <c r="CM55" s="399"/>
      <c r="CN55" s="399"/>
      <c r="CO55" s="399">
        <v>-500.3916000000001</v>
      </c>
      <c r="CP55" s="399">
        <v>45.426719999999882</v>
      </c>
      <c r="CQ55" s="399">
        <v>31</v>
      </c>
      <c r="CR55" s="399">
        <v>11.171538171412976</v>
      </c>
      <c r="CS55" s="399">
        <v>1.9669530087857048</v>
      </c>
      <c r="CT55" s="399">
        <v>10.492601044084125</v>
      </c>
      <c r="CU55" s="399">
        <v>0</v>
      </c>
      <c r="CV55" s="399">
        <v>0</v>
      </c>
      <c r="CW55" s="399">
        <v>0</v>
      </c>
      <c r="CX55" s="399">
        <v>0</v>
      </c>
      <c r="CY55" s="399">
        <v>0</v>
      </c>
      <c r="CZ55" s="399">
        <v>0</v>
      </c>
      <c r="DA55" s="399">
        <v>0</v>
      </c>
      <c r="DB55" s="399">
        <v>0</v>
      </c>
      <c r="DC55" s="399">
        <v>45.422334364489075</v>
      </c>
      <c r="DD55" s="399">
        <v>0</v>
      </c>
      <c r="DE55" s="399">
        <v>0</v>
      </c>
      <c r="DF55" s="399">
        <v>0</v>
      </c>
      <c r="DG55" s="399">
        <v>4.8107254927301568</v>
      </c>
      <c r="DH55" s="399">
        <v>0</v>
      </c>
      <c r="DI55" s="399">
        <v>-44.887945165571466</v>
      </c>
      <c r="DJ55" s="399"/>
      <c r="DK55" s="399">
        <v>0</v>
      </c>
      <c r="DL55" s="399">
        <v>0</v>
      </c>
      <c r="DM55" s="399">
        <v>0</v>
      </c>
      <c r="DN55" s="399">
        <v>0</v>
      </c>
      <c r="DO55" s="399">
        <v>-5.8516563598598594</v>
      </c>
      <c r="DP55" s="399">
        <v>-0.78147421324515776</v>
      </c>
      <c r="DQ55" s="399">
        <v>0</v>
      </c>
      <c r="DR55" s="399">
        <v>0</v>
      </c>
      <c r="DS55" s="399"/>
      <c r="DT55" s="399"/>
      <c r="DU55" s="399"/>
      <c r="DV55" s="399">
        <v>1507.7345289450163</v>
      </c>
      <c r="DW55" s="399">
        <v>0</v>
      </c>
      <c r="DX55" s="399">
        <v>0</v>
      </c>
      <c r="DY55" s="399">
        <v>-500.39160000000038</v>
      </c>
      <c r="DZ55" s="399">
        <v>45.426719999999818</v>
      </c>
      <c r="EA55" s="399">
        <v>0</v>
      </c>
      <c r="EB55" s="399">
        <v>0</v>
      </c>
      <c r="EC55" s="399">
        <v>-466.1929108731797</v>
      </c>
      <c r="ED55" s="399">
        <v>0</v>
      </c>
      <c r="EE55" s="399">
        <v>0</v>
      </c>
      <c r="EF55" s="399">
        <v>0</v>
      </c>
      <c r="EG55" s="399">
        <v>0</v>
      </c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>
        <v>0</v>
      </c>
      <c r="EN55" s="399">
        <v>0</v>
      </c>
      <c r="EO55" s="399">
        <v>0</v>
      </c>
      <c r="EP55" s="399">
        <v>248.05248709966031</v>
      </c>
      <c r="EQ55" s="399">
        <v>0</v>
      </c>
      <c r="ER55" s="399">
        <v>0</v>
      </c>
      <c r="ES55" s="399">
        <v>0</v>
      </c>
      <c r="ET55" s="399">
        <v>0</v>
      </c>
      <c r="EU55" s="399">
        <v>0</v>
      </c>
      <c r="EV55" s="399">
        <v>230</v>
      </c>
      <c r="EW55" s="399">
        <v>0</v>
      </c>
      <c r="EX55" s="399">
        <v>0</v>
      </c>
      <c r="EY55" s="399">
        <v>0</v>
      </c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956</v>
      </c>
      <c r="C56" s="399" t="s">
        <v>2336</v>
      </c>
      <c r="D56" s="399" t="s">
        <v>535</v>
      </c>
      <c r="E56" s="399" t="s">
        <v>890</v>
      </c>
      <c r="F56" s="399" t="s">
        <v>1239</v>
      </c>
      <c r="G56" s="399" t="s">
        <v>1239</v>
      </c>
      <c r="H56" s="399" t="s">
        <v>1239</v>
      </c>
      <c r="I56" s="399" t="s">
        <v>893</v>
      </c>
      <c r="J56" s="399" t="s">
        <v>2329</v>
      </c>
      <c r="K56" s="789">
        <v>44470</v>
      </c>
      <c r="L56" s="399">
        <v>2497</v>
      </c>
      <c r="M56" s="399">
        <v>2497</v>
      </c>
      <c r="N56" s="399">
        <v>88.641000000000005</v>
      </c>
      <c r="O56" s="399">
        <v>88.641000000000005</v>
      </c>
      <c r="P56" s="399">
        <v>88.641000000000005</v>
      </c>
      <c r="Q56" s="399">
        <v>88.641000000000005</v>
      </c>
      <c r="R56" s="399">
        <v>28.46</v>
      </c>
      <c r="S56" s="399">
        <v>75.12</v>
      </c>
      <c r="T56" s="399">
        <v>128.11000000000001</v>
      </c>
      <c r="U56" s="399">
        <v>71064.62</v>
      </c>
      <c r="V56" s="399">
        <v>18014.510430000002</v>
      </c>
      <c r="W56" s="399">
        <v>89079.130430000005</v>
      </c>
      <c r="X56" s="399">
        <v>72442.152959999992</v>
      </c>
      <c r="Y56" s="399">
        <v>0</v>
      </c>
      <c r="Z56" s="399">
        <v>3635.588791622657</v>
      </c>
      <c r="AA56" s="399">
        <v>0</v>
      </c>
      <c r="AB56" s="399">
        <v>0</v>
      </c>
      <c r="AC56" s="399">
        <v>0</v>
      </c>
      <c r="AD56" s="399">
        <v>0</v>
      </c>
      <c r="AE56" s="399">
        <v>57410.942718678525</v>
      </c>
      <c r="AF56" s="399">
        <v>11355.891266174645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837.99875447216846</v>
      </c>
      <c r="AM56" s="399"/>
      <c r="AN56" s="399">
        <v>21.695416583546294</v>
      </c>
      <c r="AO56" s="399">
        <v>2055.7075882848903</v>
      </c>
      <c r="AP56" s="399">
        <v>11588.422626596075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263.03160599425593</v>
      </c>
      <c r="BH56" s="399">
        <v>0</v>
      </c>
      <c r="BI56" s="399">
        <v>0</v>
      </c>
      <c r="BJ56" s="399">
        <v>0</v>
      </c>
      <c r="BK56" s="399">
        <v>0</v>
      </c>
      <c r="BL56" s="399">
        <v>0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11618.922872168901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72441.948399999994</v>
      </c>
      <c r="CJ56" s="399">
        <v>-16637.212029999995</v>
      </c>
      <c r="CK56" s="399"/>
      <c r="CL56" s="399"/>
      <c r="CM56" s="399"/>
      <c r="CN56" s="399"/>
      <c r="CO56" s="399">
        <v>-17156.413730000004</v>
      </c>
      <c r="CP56" s="399">
        <v>519.4362599999987</v>
      </c>
      <c r="CQ56" s="399">
        <v>31</v>
      </c>
      <c r="CR56" s="399">
        <v>1114.0327942301119</v>
      </c>
      <c r="CS56" s="399">
        <v>150.05804081634233</v>
      </c>
      <c r="CT56" s="399">
        <v>845.90629786485988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0</v>
      </c>
      <c r="DA56" s="399">
        <v>0</v>
      </c>
      <c r="DB56" s="399">
        <v>0</v>
      </c>
      <c r="DC56" s="399">
        <v>519.38611202304855</v>
      </c>
      <c r="DD56" s="399">
        <v>0</v>
      </c>
      <c r="DE56" s="399">
        <v>0</v>
      </c>
      <c r="DF56" s="399">
        <v>0</v>
      </c>
      <c r="DG56" s="399">
        <v>12.030316245054848</v>
      </c>
      <c r="DH56" s="399">
        <v>0</v>
      </c>
      <c r="DI56" s="399">
        <v>-343.89464303049454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-66.911335319187174</v>
      </c>
      <c r="DP56" s="399">
        <v>-2.5419943695111655</v>
      </c>
      <c r="DQ56" s="399">
        <v>0</v>
      </c>
      <c r="DR56" s="399">
        <v>0</v>
      </c>
      <c r="DS56" s="399"/>
      <c r="DT56" s="399"/>
      <c r="DU56" s="399">
        <v>57410.942718678525</v>
      </c>
      <c r="DV56" s="399">
        <v>0</v>
      </c>
      <c r="DW56" s="399">
        <v>0</v>
      </c>
      <c r="DX56" s="399">
        <v>0</v>
      </c>
      <c r="DY56" s="399">
        <v>-17156.41373</v>
      </c>
      <c r="DZ56" s="399">
        <v>519.43625999999858</v>
      </c>
      <c r="EA56" s="399">
        <v>0</v>
      </c>
      <c r="EB56" s="399">
        <v>0</v>
      </c>
      <c r="EC56" s="399">
        <v>-17751.516588746897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1900.3748375942587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230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956</v>
      </c>
      <c r="C57" s="399" t="s">
        <v>2336</v>
      </c>
      <c r="D57" s="399" t="s">
        <v>535</v>
      </c>
      <c r="E57" s="399" t="s">
        <v>890</v>
      </c>
      <c r="F57" s="399" t="s">
        <v>1239</v>
      </c>
      <c r="G57" s="399" t="s">
        <v>1239</v>
      </c>
      <c r="H57" s="399" t="s">
        <v>1239</v>
      </c>
      <c r="I57" s="399" t="s">
        <v>2326</v>
      </c>
      <c r="J57" s="399" t="s">
        <v>2329</v>
      </c>
      <c r="K57" s="789">
        <v>44470</v>
      </c>
      <c r="L57" s="399">
        <v>2538</v>
      </c>
      <c r="M57" s="399">
        <v>2538</v>
      </c>
      <c r="N57" s="399">
        <v>1003.545</v>
      </c>
      <c r="O57" s="399">
        <v>1003.545</v>
      </c>
      <c r="P57" s="399">
        <v>1003.545</v>
      </c>
      <c r="Q57" s="399">
        <v>1003.545</v>
      </c>
      <c r="R57" s="399">
        <v>9.92</v>
      </c>
      <c r="S57" s="399">
        <v>75.12</v>
      </c>
      <c r="T57" s="399">
        <v>128.11000000000001</v>
      </c>
      <c r="U57" s="399">
        <v>25176.959999999999</v>
      </c>
      <c r="V57" s="399">
        <v>203950.45035</v>
      </c>
      <c r="W57" s="399">
        <v>229127.41035000002</v>
      </c>
      <c r="X57" s="399">
        <v>227518.04519999999</v>
      </c>
      <c r="Y57" s="399">
        <v>0</v>
      </c>
      <c r="Z57" s="399">
        <v>41160.151102638272</v>
      </c>
      <c r="AA57" s="399">
        <v>0</v>
      </c>
      <c r="AB57" s="399">
        <v>0</v>
      </c>
      <c r="AC57" s="399">
        <v>0</v>
      </c>
      <c r="AD57" s="399">
        <v>0</v>
      </c>
      <c r="AE57" s="399">
        <v>12487.514469579568</v>
      </c>
      <c r="AF57" s="399">
        <v>128565.20008476026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9487.3643128661934</v>
      </c>
      <c r="AM57" s="399"/>
      <c r="AN57" s="399">
        <v>245.62365987900594</v>
      </c>
      <c r="AO57" s="399">
        <v>1886.3520130866211</v>
      </c>
      <c r="AP57" s="399">
        <v>10795.498110090633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2977.9002158990256</v>
      </c>
      <c r="BH57" s="399">
        <v>0</v>
      </c>
      <c r="BI57" s="399">
        <v>0</v>
      </c>
      <c r="BJ57" s="399">
        <v>0</v>
      </c>
      <c r="BK57" s="399">
        <v>0</v>
      </c>
      <c r="BL57" s="399">
        <v>0</v>
      </c>
      <c r="BM57" s="399"/>
      <c r="BN57" s="399"/>
      <c r="BO57" s="399"/>
      <c r="BP57" s="399"/>
      <c r="BQ57" s="399"/>
      <c r="BR57" s="399"/>
      <c r="BS57" s="399"/>
      <c r="BT57" s="399"/>
      <c r="BU57" s="399"/>
      <c r="BV57" s="399">
        <v>131543.10030065928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227519.068</v>
      </c>
      <c r="CJ57" s="399">
        <v>-1608.3723500000197</v>
      </c>
      <c r="CK57" s="399"/>
      <c r="CL57" s="399"/>
      <c r="CM57" s="399"/>
      <c r="CN57" s="399"/>
      <c r="CO57" s="399">
        <v>-7490.1388500000012</v>
      </c>
      <c r="CP57" s="399">
        <v>5880.7736999999852</v>
      </c>
      <c r="CQ57" s="399">
        <v>31</v>
      </c>
      <c r="CR57" s="399">
        <v>2262.4285068078025</v>
      </c>
      <c r="CS57" s="399">
        <v>137.69579340313771</v>
      </c>
      <c r="CT57" s="399">
        <v>788.02613040323376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0</v>
      </c>
      <c r="DA57" s="399">
        <v>0</v>
      </c>
      <c r="DB57" s="399">
        <v>0</v>
      </c>
      <c r="DC57" s="399">
        <v>5880.2059519880277</v>
      </c>
      <c r="DD57" s="399">
        <v>0</v>
      </c>
      <c r="DE57" s="399">
        <v>0</v>
      </c>
      <c r="DF57" s="399">
        <v>0</v>
      </c>
      <c r="DG57" s="399">
        <v>136.20067142906328</v>
      </c>
      <c r="DH57" s="399">
        <v>0</v>
      </c>
      <c r="DI57" s="399">
        <v>-3893.3873663433187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-757.53360186475402</v>
      </c>
      <c r="DP57" s="399">
        <v>-28.779072207568532</v>
      </c>
      <c r="DQ57" s="399">
        <v>0</v>
      </c>
      <c r="DR57" s="399">
        <v>0</v>
      </c>
      <c r="DS57" s="399"/>
      <c r="DT57" s="399"/>
      <c r="DU57" s="399">
        <v>12487.514469579568</v>
      </c>
      <c r="DV57" s="399">
        <v>0</v>
      </c>
      <c r="DW57" s="399">
        <v>0</v>
      </c>
      <c r="DX57" s="399">
        <v>0</v>
      </c>
      <c r="DY57" s="399">
        <v>-7490.1388499999885</v>
      </c>
      <c r="DZ57" s="399">
        <v>5880.7736999999761</v>
      </c>
      <c r="EA57" s="399">
        <v>0</v>
      </c>
      <c r="EB57" s="399">
        <v>0</v>
      </c>
      <c r="EC57" s="399">
        <v>-3861.1510238594074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21515.006220524701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230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956</v>
      </c>
      <c r="C58" s="399" t="s">
        <v>2336</v>
      </c>
      <c r="D58" s="399" t="s">
        <v>535</v>
      </c>
      <c r="E58" s="399" t="s">
        <v>890</v>
      </c>
      <c r="F58" s="399" t="s">
        <v>1239</v>
      </c>
      <c r="G58" s="399" t="s">
        <v>1239</v>
      </c>
      <c r="H58" s="399" t="s">
        <v>1239</v>
      </c>
      <c r="I58" s="399" t="s">
        <v>1239</v>
      </c>
      <c r="J58" s="399" t="s">
        <v>2329</v>
      </c>
      <c r="K58" s="789">
        <v>44470</v>
      </c>
      <c r="L58" s="399">
        <v>0</v>
      </c>
      <c r="M58" s="399">
        <v>0</v>
      </c>
      <c r="N58" s="399">
        <v>0</v>
      </c>
      <c r="O58" s="399">
        <v>0</v>
      </c>
      <c r="P58" s="399">
        <v>0</v>
      </c>
      <c r="Q58" s="399">
        <v>0</v>
      </c>
      <c r="R58" s="399"/>
      <c r="S58" s="399"/>
      <c r="T58" s="399"/>
      <c r="U58" s="399"/>
      <c r="V58" s="399"/>
      <c r="W58" s="399"/>
      <c r="X58" s="399"/>
      <c r="Y58" s="399"/>
      <c r="Z58" s="399"/>
      <c r="AA58" s="399">
        <v>0</v>
      </c>
      <c r="AB58" s="399"/>
      <c r="AC58" s="399"/>
      <c r="AD58" s="399"/>
      <c r="AE58" s="399"/>
      <c r="AF58" s="399"/>
      <c r="AG58" s="399"/>
      <c r="AH58" s="399"/>
      <c r="AI58" s="399"/>
      <c r="AJ58" s="399"/>
      <c r="AK58" s="399"/>
      <c r="AL58" s="399"/>
      <c r="AM58" s="399"/>
      <c r="AN58" s="399"/>
      <c r="AO58" s="399"/>
      <c r="AP58" s="399"/>
      <c r="AQ58" s="399"/>
      <c r="AR58" s="399"/>
      <c r="AS58" s="399"/>
      <c r="AT58" s="399"/>
      <c r="AU58" s="399"/>
      <c r="AV58" s="399"/>
      <c r="AW58" s="399"/>
      <c r="AX58" s="399"/>
      <c r="AY58" s="399"/>
      <c r="AZ58" s="399">
        <v>0</v>
      </c>
      <c r="BA58" s="399"/>
      <c r="BB58" s="399"/>
      <c r="BC58" s="399"/>
      <c r="BD58" s="399"/>
      <c r="BE58" s="399"/>
      <c r="BF58" s="399"/>
      <c r="BG58" s="399"/>
      <c r="BH58" s="399"/>
      <c r="BI58" s="399">
        <v>0</v>
      </c>
      <c r="BJ58" s="399">
        <v>0</v>
      </c>
      <c r="BK58" s="399">
        <v>155319.74</v>
      </c>
      <c r="BL58" s="399">
        <v>1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/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/>
      <c r="CJ58" s="399">
        <v>-0.03</v>
      </c>
      <c r="CK58" s="399"/>
      <c r="CL58" s="399"/>
      <c r="CM58" s="399"/>
      <c r="CN58" s="399"/>
      <c r="CO58" s="399">
        <v>0</v>
      </c>
      <c r="CP58" s="399">
        <v>0</v>
      </c>
      <c r="CQ58" s="399">
        <v>31</v>
      </c>
      <c r="CR58" s="399"/>
      <c r="CS58" s="399"/>
      <c r="CT58" s="399"/>
      <c r="CU58" s="399"/>
      <c r="CV58" s="399"/>
      <c r="CW58" s="399"/>
      <c r="CX58" s="399"/>
      <c r="CY58" s="399"/>
      <c r="CZ58" s="399"/>
      <c r="DA58" s="399"/>
      <c r="DB58" s="399"/>
      <c r="DC58" s="399"/>
      <c r="DD58" s="399"/>
      <c r="DE58" s="399"/>
      <c r="DF58" s="399"/>
      <c r="DG58" s="399"/>
      <c r="DH58" s="399"/>
      <c r="DI58" s="399"/>
      <c r="DJ58" s="399"/>
      <c r="DK58" s="399">
        <v>0</v>
      </c>
      <c r="DL58" s="399"/>
      <c r="DM58" s="399"/>
      <c r="DN58" s="399"/>
      <c r="DO58" s="399"/>
      <c r="DP58" s="399"/>
      <c r="DQ58" s="399"/>
      <c r="DR58" s="399"/>
      <c r="DS58" s="399"/>
      <c r="DT58" s="399"/>
      <c r="DU58" s="399"/>
      <c r="DV58" s="399"/>
      <c r="DW58" s="399"/>
      <c r="DX58" s="399"/>
      <c r="DY58" s="399"/>
      <c r="DZ58" s="399"/>
      <c r="EA58" s="399"/>
      <c r="EB58" s="399"/>
      <c r="EC58" s="399"/>
      <c r="ED58" s="399"/>
      <c r="EE58" s="399"/>
      <c r="EF58" s="399"/>
      <c r="EG58" s="399"/>
      <c r="EH58" s="399"/>
      <c r="EI58" s="399"/>
      <c r="EJ58" s="399"/>
      <c r="EK58" s="399"/>
      <c r="EL58" s="399"/>
      <c r="EM58" s="399"/>
      <c r="EN58" s="399"/>
      <c r="EO58" s="399"/>
      <c r="EP58" s="399"/>
      <c r="EQ58" s="399"/>
      <c r="ER58" s="399"/>
      <c r="ES58" s="399"/>
      <c r="ET58" s="399"/>
      <c r="EU58" s="399"/>
      <c r="EV58" s="399">
        <v>230</v>
      </c>
      <c r="EW58" s="399"/>
      <c r="EX58" s="399"/>
      <c r="EY58" s="399"/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956</v>
      </c>
      <c r="C59" s="399" t="s">
        <v>2336</v>
      </c>
      <c r="D59" s="399" t="s">
        <v>533</v>
      </c>
      <c r="E59" s="399" t="s">
        <v>890</v>
      </c>
      <c r="F59" s="399" t="s">
        <v>1239</v>
      </c>
      <c r="G59" s="399" t="s">
        <v>1239</v>
      </c>
      <c r="H59" s="399" t="s">
        <v>1239</v>
      </c>
      <c r="I59" s="399" t="s">
        <v>893</v>
      </c>
      <c r="J59" s="399" t="s">
        <v>2329</v>
      </c>
      <c r="K59" s="789">
        <v>44470</v>
      </c>
      <c r="L59" s="399">
        <v>5950</v>
      </c>
      <c r="M59" s="399">
        <v>5950</v>
      </c>
      <c r="N59" s="399">
        <v>306.77300000000002</v>
      </c>
      <c r="O59" s="399">
        <v>306.77300000000002</v>
      </c>
      <c r="P59" s="399">
        <v>306.77300000000002</v>
      </c>
      <c r="Q59" s="399">
        <v>306.77300000000002</v>
      </c>
      <c r="R59" s="399">
        <v>52.19</v>
      </c>
      <c r="S59" s="399">
        <v>96.28</v>
      </c>
      <c r="T59" s="399">
        <v>128.11000000000001</v>
      </c>
      <c r="U59" s="399">
        <v>310530.5</v>
      </c>
      <c r="V59" s="399">
        <v>68836.793470000004</v>
      </c>
      <c r="W59" s="399">
        <v>379367.29347000003</v>
      </c>
      <c r="X59" s="399">
        <v>295846.48671999999</v>
      </c>
      <c r="Y59" s="399">
        <v>0</v>
      </c>
      <c r="Z59" s="399">
        <v>16338.105356455255</v>
      </c>
      <c r="AA59" s="399">
        <v>0</v>
      </c>
      <c r="AB59" s="399">
        <v>0</v>
      </c>
      <c r="AC59" s="399">
        <v>0</v>
      </c>
      <c r="AD59" s="399">
        <v>0</v>
      </c>
      <c r="AE59" s="399">
        <v>278065.19684509444</v>
      </c>
      <c r="AF59" s="399">
        <v>39301.010044992661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2900.186052793747</v>
      </c>
      <c r="AM59" s="399"/>
      <c r="AN59" s="399">
        <v>150.80980702832403</v>
      </c>
      <c r="AO59" s="399">
        <v>5138.5963261425695</v>
      </c>
      <c r="AP59" s="399">
        <v>27335.990188088927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1607.0657357880773</v>
      </c>
      <c r="BH59" s="399">
        <v>0</v>
      </c>
      <c r="BI59" s="399">
        <v>0</v>
      </c>
      <c r="BJ59" s="399">
        <v>0</v>
      </c>
      <c r="BK59" s="399">
        <v>0</v>
      </c>
      <c r="BL59" s="399">
        <v>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40908.075780780739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295845.81280000001</v>
      </c>
      <c r="CJ59" s="399">
        <v>-83521.510670000047</v>
      </c>
      <c r="CK59" s="399"/>
      <c r="CL59" s="399"/>
      <c r="CM59" s="399"/>
      <c r="CN59" s="399"/>
      <c r="CO59" s="399">
        <v>-85318.496529999989</v>
      </c>
      <c r="CP59" s="399">
        <v>1797.6897799999956</v>
      </c>
      <c r="CQ59" s="399">
        <v>31</v>
      </c>
      <c r="CR59" s="399">
        <v>2446.8469539367943</v>
      </c>
      <c r="CS59" s="399">
        <v>375.09600180555663</v>
      </c>
      <c r="CT59" s="399">
        <v>1995.4127497392255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0</v>
      </c>
      <c r="DA59" s="399">
        <v>0</v>
      </c>
      <c r="DB59" s="399">
        <v>0</v>
      </c>
      <c r="DC59" s="399">
        <v>1797.5162254898605</v>
      </c>
      <c r="DD59" s="399">
        <v>0</v>
      </c>
      <c r="DE59" s="399">
        <v>0</v>
      </c>
      <c r="DF59" s="399">
        <v>0</v>
      </c>
      <c r="DG59" s="399">
        <v>73.502608004235526</v>
      </c>
      <c r="DH59" s="399">
        <v>0</v>
      </c>
      <c r="DI59" s="399">
        <v>-1545.4407061380207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-231.56994020682305</v>
      </c>
      <c r="DP59" s="399">
        <v>-17.669984757232186</v>
      </c>
      <c r="DQ59" s="399">
        <v>0</v>
      </c>
      <c r="DR59" s="399">
        <v>0</v>
      </c>
      <c r="DS59" s="399"/>
      <c r="DT59" s="399"/>
      <c r="DU59" s="399">
        <v>278065.19684509444</v>
      </c>
      <c r="DV59" s="399">
        <v>0</v>
      </c>
      <c r="DW59" s="399">
        <v>0</v>
      </c>
      <c r="DX59" s="399">
        <v>0</v>
      </c>
      <c r="DY59" s="399">
        <v>-85318.496530000033</v>
      </c>
      <c r="DZ59" s="399">
        <v>1797.6897799999933</v>
      </c>
      <c r="EA59" s="399">
        <v>0</v>
      </c>
      <c r="EB59" s="399">
        <v>0</v>
      </c>
      <c r="EC59" s="399">
        <v>-85978.016050639417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8540.1639439848914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230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956</v>
      </c>
      <c r="C60" s="399" t="s">
        <v>2336</v>
      </c>
      <c r="D60" s="399" t="s">
        <v>533</v>
      </c>
      <c r="E60" s="399" t="s">
        <v>890</v>
      </c>
      <c r="F60" s="399" t="s">
        <v>1239</v>
      </c>
      <c r="G60" s="399" t="s">
        <v>1239</v>
      </c>
      <c r="H60" s="399" t="s">
        <v>1239</v>
      </c>
      <c r="I60" s="399" t="s">
        <v>2326</v>
      </c>
      <c r="J60" s="399" t="s">
        <v>2329</v>
      </c>
      <c r="K60" s="789">
        <v>44470</v>
      </c>
      <c r="L60" s="399">
        <v>6088</v>
      </c>
      <c r="M60" s="399">
        <v>6088</v>
      </c>
      <c r="N60" s="399">
        <v>2873.0790000000002</v>
      </c>
      <c r="O60" s="399">
        <v>2873.0790000000002</v>
      </c>
      <c r="P60" s="399">
        <v>2873.0790000000002</v>
      </c>
      <c r="Q60" s="399">
        <v>2873.0790000000002</v>
      </c>
      <c r="R60" s="399">
        <v>18.12</v>
      </c>
      <c r="S60" s="399">
        <v>96.28</v>
      </c>
      <c r="T60" s="399">
        <v>128.11000000000001</v>
      </c>
      <c r="U60" s="399">
        <v>110314.56000000001</v>
      </c>
      <c r="V60" s="399">
        <v>644690.19681000011</v>
      </c>
      <c r="W60" s="399">
        <v>755004.75681000005</v>
      </c>
      <c r="X60" s="399">
        <v>733380.06655999995</v>
      </c>
      <c r="Y60" s="399">
        <v>0</v>
      </c>
      <c r="Z60" s="399">
        <v>153014.33763538222</v>
      </c>
      <c r="AA60" s="399">
        <v>0</v>
      </c>
      <c r="AB60" s="399">
        <v>0</v>
      </c>
      <c r="AC60" s="399">
        <v>0</v>
      </c>
      <c r="AD60" s="399">
        <v>0</v>
      </c>
      <c r="AE60" s="399">
        <v>79502.816479904242</v>
      </c>
      <c r="AF60" s="399">
        <v>368073.15715221834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27161.659091167105</v>
      </c>
      <c r="AM60" s="399"/>
      <c r="AN60" s="399">
        <v>1412.4075116360636</v>
      </c>
      <c r="AO60" s="399">
        <v>4839.171068073214</v>
      </c>
      <c r="AP60" s="399">
        <v>25942.922490605764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15050.955648353254</v>
      </c>
      <c r="BH60" s="399">
        <v>0</v>
      </c>
      <c r="BI60" s="399">
        <v>0</v>
      </c>
      <c r="BJ60" s="399">
        <v>0</v>
      </c>
      <c r="BK60" s="399">
        <v>0</v>
      </c>
      <c r="BL60" s="399">
        <v>0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383124.1128005716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733380.29119999998</v>
      </c>
      <c r="CJ60" s="399">
        <v>-21624.4956100001</v>
      </c>
      <c r="CK60" s="399"/>
      <c r="CL60" s="399"/>
      <c r="CM60" s="399"/>
      <c r="CN60" s="399"/>
      <c r="CO60" s="399">
        <v>-38460.933190000011</v>
      </c>
      <c r="CP60" s="399">
        <v>16836.24293999996</v>
      </c>
      <c r="CQ60" s="399">
        <v>31</v>
      </c>
      <c r="CR60" s="399">
        <v>2961.9084128137911</v>
      </c>
      <c r="CS60" s="399">
        <v>353.23921251661432</v>
      </c>
      <c r="CT60" s="399">
        <v>1893.7246445825767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0</v>
      </c>
      <c r="DA60" s="399">
        <v>0</v>
      </c>
      <c r="DB60" s="399">
        <v>0</v>
      </c>
      <c r="DC60" s="399">
        <v>16834.617517233186</v>
      </c>
      <c r="DD60" s="399">
        <v>0</v>
      </c>
      <c r="DE60" s="399">
        <v>0</v>
      </c>
      <c r="DF60" s="399">
        <v>0</v>
      </c>
      <c r="DG60" s="399">
        <v>688.38782911860471</v>
      </c>
      <c r="DH60" s="399">
        <v>0</v>
      </c>
      <c r="DI60" s="399">
        <v>-14473.807142578793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-2168.7656092272773</v>
      </c>
      <c r="DP60" s="399">
        <v>-165.48803883107007</v>
      </c>
      <c r="DQ60" s="399">
        <v>0</v>
      </c>
      <c r="DR60" s="399">
        <v>0</v>
      </c>
      <c r="DS60" s="399"/>
      <c r="DT60" s="399"/>
      <c r="DU60" s="399">
        <v>79502.816479904242</v>
      </c>
      <c r="DV60" s="399">
        <v>0</v>
      </c>
      <c r="DW60" s="399">
        <v>0</v>
      </c>
      <c r="DX60" s="399">
        <v>0</v>
      </c>
      <c r="DY60" s="399">
        <v>-38460.933190000011</v>
      </c>
      <c r="DZ60" s="399">
        <v>16836.242939999967</v>
      </c>
      <c r="EA60" s="399">
        <v>0</v>
      </c>
      <c r="EB60" s="399">
        <v>0</v>
      </c>
      <c r="EC60" s="399">
        <v>-24582.344388780934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79982.807104993495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230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956</v>
      </c>
      <c r="C61" s="399" t="s">
        <v>2336</v>
      </c>
      <c r="D61" s="399" t="s">
        <v>533</v>
      </c>
      <c r="E61" s="399" t="s">
        <v>890</v>
      </c>
      <c r="F61" s="399" t="s">
        <v>1239</v>
      </c>
      <c r="G61" s="399" t="s">
        <v>1239</v>
      </c>
      <c r="H61" s="399" t="s">
        <v>1239</v>
      </c>
      <c r="I61" s="399" t="s">
        <v>1239</v>
      </c>
      <c r="J61" s="399" t="s">
        <v>2329</v>
      </c>
      <c r="K61" s="789">
        <v>44470</v>
      </c>
      <c r="L61" s="399">
        <v>0</v>
      </c>
      <c r="M61" s="399">
        <v>0</v>
      </c>
      <c r="N61" s="399">
        <v>0</v>
      </c>
      <c r="O61" s="399">
        <v>0</v>
      </c>
      <c r="P61" s="399">
        <v>0</v>
      </c>
      <c r="Q61" s="399">
        <v>0</v>
      </c>
      <c r="R61" s="399"/>
      <c r="S61" s="399"/>
      <c r="T61" s="399"/>
      <c r="U61" s="399"/>
      <c r="V61" s="399"/>
      <c r="W61" s="399"/>
      <c r="X61" s="399"/>
      <c r="Y61" s="399"/>
      <c r="Z61" s="399"/>
      <c r="AA61" s="399">
        <v>0</v>
      </c>
      <c r="AB61" s="399"/>
      <c r="AC61" s="399"/>
      <c r="AD61" s="399"/>
      <c r="AE61" s="399"/>
      <c r="AF61" s="399"/>
      <c r="AG61" s="399"/>
      <c r="AH61" s="399"/>
      <c r="AI61" s="399"/>
      <c r="AJ61" s="399"/>
      <c r="AK61" s="399"/>
      <c r="AL61" s="399"/>
      <c r="AM61" s="399"/>
      <c r="AN61" s="399"/>
      <c r="AO61" s="399"/>
      <c r="AP61" s="399"/>
      <c r="AQ61" s="399"/>
      <c r="AR61" s="399"/>
      <c r="AS61" s="399"/>
      <c r="AT61" s="399"/>
      <c r="AU61" s="399"/>
      <c r="AV61" s="399"/>
      <c r="AW61" s="399"/>
      <c r="AX61" s="399"/>
      <c r="AY61" s="399"/>
      <c r="AZ61" s="399">
        <v>0</v>
      </c>
      <c r="BA61" s="399"/>
      <c r="BB61" s="399"/>
      <c r="BC61" s="399"/>
      <c r="BD61" s="399"/>
      <c r="BE61" s="399"/>
      <c r="BF61" s="399"/>
      <c r="BG61" s="399"/>
      <c r="BH61" s="399"/>
      <c r="BI61" s="399">
        <v>0</v>
      </c>
      <c r="BJ61" s="399">
        <v>0</v>
      </c>
      <c r="BK61" s="399">
        <v>0</v>
      </c>
      <c r="BL61" s="399">
        <v>1</v>
      </c>
      <c r="BM61" s="399"/>
      <c r="BN61" s="399"/>
      <c r="BO61" s="399"/>
      <c r="BP61" s="399"/>
      <c r="BQ61" s="399"/>
      <c r="BR61" s="399"/>
      <c r="BS61" s="399"/>
      <c r="BT61" s="399"/>
      <c r="BU61" s="399"/>
      <c r="BV61" s="399"/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/>
      <c r="CJ61" s="399">
        <v>-0.03</v>
      </c>
      <c r="CK61" s="399"/>
      <c r="CL61" s="399"/>
      <c r="CM61" s="399"/>
      <c r="CN61" s="399"/>
      <c r="CO61" s="399">
        <v>0</v>
      </c>
      <c r="CP61" s="399">
        <v>0</v>
      </c>
      <c r="CQ61" s="399">
        <v>31</v>
      </c>
      <c r="CR61" s="399"/>
      <c r="CS61" s="399"/>
      <c r="CT61" s="399"/>
      <c r="CU61" s="399"/>
      <c r="CV61" s="399"/>
      <c r="CW61" s="399"/>
      <c r="CX61" s="399"/>
      <c r="CY61" s="399"/>
      <c r="CZ61" s="399"/>
      <c r="DA61" s="399"/>
      <c r="DB61" s="399"/>
      <c r="DC61" s="399"/>
      <c r="DD61" s="399"/>
      <c r="DE61" s="399"/>
      <c r="DF61" s="399"/>
      <c r="DG61" s="399"/>
      <c r="DH61" s="399"/>
      <c r="DI61" s="399"/>
      <c r="DJ61" s="399"/>
      <c r="DK61" s="399">
        <v>0</v>
      </c>
      <c r="DL61" s="399"/>
      <c r="DM61" s="399"/>
      <c r="DN61" s="399"/>
      <c r="DO61" s="399"/>
      <c r="DP61" s="399"/>
      <c r="DQ61" s="399"/>
      <c r="DR61" s="399"/>
      <c r="DS61" s="399"/>
      <c r="DT61" s="399"/>
      <c r="DU61" s="399"/>
      <c r="DV61" s="399"/>
      <c r="DW61" s="399"/>
      <c r="DX61" s="399"/>
      <c r="DY61" s="399"/>
      <c r="DZ61" s="399"/>
      <c r="EA61" s="399"/>
      <c r="EB61" s="399"/>
      <c r="EC61" s="399"/>
      <c r="ED61" s="399"/>
      <c r="EE61" s="399"/>
      <c r="EF61" s="399"/>
      <c r="EG61" s="399"/>
      <c r="EH61" s="399"/>
      <c r="EI61" s="399"/>
      <c r="EJ61" s="399"/>
      <c r="EK61" s="399"/>
      <c r="EL61" s="399"/>
      <c r="EM61" s="399"/>
      <c r="EN61" s="399"/>
      <c r="EO61" s="399"/>
      <c r="EP61" s="399"/>
      <c r="EQ61" s="399"/>
      <c r="ER61" s="399"/>
      <c r="ES61" s="399"/>
      <c r="ET61" s="399"/>
      <c r="EU61" s="399"/>
      <c r="EV61" s="399">
        <v>230</v>
      </c>
      <c r="EW61" s="399"/>
      <c r="EX61" s="399"/>
      <c r="EY61" s="399"/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956</v>
      </c>
      <c r="C62" s="399" t="s">
        <v>2337</v>
      </c>
      <c r="D62" s="399" t="s">
        <v>533</v>
      </c>
      <c r="E62" s="399" t="s">
        <v>890</v>
      </c>
      <c r="F62" s="399" t="s">
        <v>1239</v>
      </c>
      <c r="G62" s="399" t="s">
        <v>1239</v>
      </c>
      <c r="H62" s="399" t="s">
        <v>1239</v>
      </c>
      <c r="I62" s="399" t="s">
        <v>893</v>
      </c>
      <c r="J62" s="399" t="s">
        <v>2329</v>
      </c>
      <c r="K62" s="789">
        <v>44470</v>
      </c>
      <c r="L62" s="399">
        <v>0</v>
      </c>
      <c r="M62" s="399">
        <v>0</v>
      </c>
      <c r="N62" s="399">
        <v>789.99699999999996</v>
      </c>
      <c r="O62" s="399">
        <v>789.99699999999996</v>
      </c>
      <c r="P62" s="399">
        <v>789.99699999999996</v>
      </c>
      <c r="Q62" s="399">
        <v>789.99699999999996</v>
      </c>
      <c r="R62" s="399"/>
      <c r="S62" s="399">
        <v>1351.49</v>
      </c>
      <c r="T62" s="399">
        <v>128.11000000000001</v>
      </c>
      <c r="U62" s="399"/>
      <c r="V62" s="399">
        <v>1168879.5612000001</v>
      </c>
      <c r="W62" s="399">
        <v>1168879.5612000001</v>
      </c>
      <c r="X62" s="399">
        <v>902105.47427000001</v>
      </c>
      <c r="Y62" s="399">
        <v>0</v>
      </c>
      <c r="Z62" s="399">
        <v>42073.631699281163</v>
      </c>
      <c r="AA62" s="399">
        <v>0</v>
      </c>
      <c r="AB62" s="399">
        <v>0</v>
      </c>
      <c r="AC62" s="399">
        <v>0</v>
      </c>
      <c r="AD62" s="399">
        <v>0</v>
      </c>
      <c r="AE62" s="399">
        <v>887912.88661005022</v>
      </c>
      <c r="AF62" s="399">
        <v>101207.34234275528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7468.513464838501</v>
      </c>
      <c r="AM62" s="399"/>
      <c r="AN62" s="399">
        <v>388.36304082482775</v>
      </c>
      <c r="AO62" s="399">
        <v>16410.235681444396</v>
      </c>
      <c r="AP62" s="399">
        <v>87288.409752675609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4138.4903823849345</v>
      </c>
      <c r="BH62" s="399">
        <v>0</v>
      </c>
      <c r="BI62" s="399">
        <v>0</v>
      </c>
      <c r="BJ62" s="399">
        <v>0</v>
      </c>
      <c r="BK62" s="399">
        <v>0</v>
      </c>
      <c r="BL62" s="399">
        <v>0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105345.83272514021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902108.90000000014</v>
      </c>
      <c r="CJ62" s="399">
        <v>-266770.6912</v>
      </c>
      <c r="CK62" s="399"/>
      <c r="CL62" s="399"/>
      <c r="CM62" s="399"/>
      <c r="CN62" s="399"/>
      <c r="CO62" s="399">
        <v>-271403.46934999997</v>
      </c>
      <c r="CP62" s="399">
        <v>4629.3824199999881</v>
      </c>
      <c r="CQ62" s="399">
        <v>31</v>
      </c>
      <c r="CR62" s="399">
        <v>7766.1515708002262</v>
      </c>
      <c r="CS62" s="399">
        <v>1197.8784481437142</v>
      </c>
      <c r="CT62" s="399">
        <v>6371.6881856669934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0</v>
      </c>
      <c r="DA62" s="399">
        <v>0</v>
      </c>
      <c r="DB62" s="399">
        <v>0</v>
      </c>
      <c r="DC62" s="399">
        <v>4628.9354851577955</v>
      </c>
      <c r="DD62" s="399">
        <v>0</v>
      </c>
      <c r="DE62" s="399">
        <v>0</v>
      </c>
      <c r="DF62" s="399">
        <v>0</v>
      </c>
      <c r="DG62" s="399">
        <v>189.28275896353989</v>
      </c>
      <c r="DH62" s="399">
        <v>0</v>
      </c>
      <c r="DI62" s="399">
        <v>-3979.7945762075469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-596.33526436019292</v>
      </c>
      <c r="DP62" s="399">
        <v>-45.503466564069015</v>
      </c>
      <c r="DQ62" s="399">
        <v>0</v>
      </c>
      <c r="DR62" s="399">
        <v>0</v>
      </c>
      <c r="DS62" s="399"/>
      <c r="DT62" s="399"/>
      <c r="DU62" s="399"/>
      <c r="DV62" s="399">
        <v>887912.88661005022</v>
      </c>
      <c r="DW62" s="399">
        <v>0</v>
      </c>
      <c r="DX62" s="399">
        <v>0</v>
      </c>
      <c r="DY62" s="399">
        <v>-271403.46935000003</v>
      </c>
      <c r="DZ62" s="399">
        <v>4629.3824199999799</v>
      </c>
      <c r="EA62" s="399">
        <v>0</v>
      </c>
      <c r="EB62" s="399">
        <v>0</v>
      </c>
      <c r="EC62" s="399">
        <v>-274543.48578206473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21992.495738726131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230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956</v>
      </c>
      <c r="C63" s="399" t="s">
        <v>2337</v>
      </c>
      <c r="D63" s="399" t="s">
        <v>533</v>
      </c>
      <c r="E63" s="399" t="s">
        <v>890</v>
      </c>
      <c r="F63" s="399" t="s">
        <v>1239</v>
      </c>
      <c r="G63" s="399" t="s">
        <v>1239</v>
      </c>
      <c r="H63" s="399" t="s">
        <v>1239</v>
      </c>
      <c r="I63" s="399" t="s">
        <v>2326</v>
      </c>
      <c r="J63" s="399" t="s">
        <v>2329</v>
      </c>
      <c r="K63" s="789">
        <v>44470</v>
      </c>
      <c r="L63" s="399">
        <v>0</v>
      </c>
      <c r="M63" s="399">
        <v>0</v>
      </c>
      <c r="N63" s="399">
        <v>13220.275</v>
      </c>
      <c r="O63" s="399">
        <v>13220.275</v>
      </c>
      <c r="P63" s="399">
        <v>13220.275</v>
      </c>
      <c r="Q63" s="399">
        <v>13220.275</v>
      </c>
      <c r="R63" s="399"/>
      <c r="S63" s="399">
        <v>96.28</v>
      </c>
      <c r="T63" s="399">
        <v>128.11000000000001</v>
      </c>
      <c r="U63" s="399"/>
      <c r="V63" s="399">
        <v>2966497.5072500003</v>
      </c>
      <c r="W63" s="399">
        <v>2966497.5072500003</v>
      </c>
      <c r="X63" s="399">
        <v>2969802.5760000004</v>
      </c>
      <c r="Y63" s="399">
        <v>0</v>
      </c>
      <c r="Z63" s="399">
        <v>704084.92856708867</v>
      </c>
      <c r="AA63" s="399">
        <v>0</v>
      </c>
      <c r="AB63" s="399">
        <v>0</v>
      </c>
      <c r="AC63" s="399">
        <v>0</v>
      </c>
      <c r="AD63" s="399">
        <v>0</v>
      </c>
      <c r="AE63" s="399">
        <v>0</v>
      </c>
      <c r="AF63" s="399">
        <v>1693663.2642786859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124982.50227072737</v>
      </c>
      <c r="AM63" s="399"/>
      <c r="AN63" s="399">
        <v>6499.0958187695014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69255.935073150904</v>
      </c>
      <c r="BH63" s="399">
        <v>0</v>
      </c>
      <c r="BI63" s="399">
        <v>0</v>
      </c>
      <c r="BJ63" s="399">
        <v>0</v>
      </c>
      <c r="BK63" s="399">
        <v>0</v>
      </c>
      <c r="BL63" s="399">
        <v>0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>
        <v>1762919.1993518369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2969803.6992000001</v>
      </c>
      <c r="CJ63" s="399">
        <v>3306.1619500000961</v>
      </c>
      <c r="CK63" s="399"/>
      <c r="CL63" s="399"/>
      <c r="CM63" s="399"/>
      <c r="CN63" s="399"/>
      <c r="CO63" s="399">
        <v>-74165.74274999999</v>
      </c>
      <c r="CP63" s="399">
        <v>77470.811499999807</v>
      </c>
      <c r="CQ63" s="399">
        <v>31</v>
      </c>
      <c r="CR63" s="399">
        <v>3289.7680976749398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0</v>
      </c>
      <c r="DA63" s="399">
        <v>0</v>
      </c>
      <c r="DB63" s="399">
        <v>0</v>
      </c>
      <c r="DC63" s="399">
        <v>77463.332229166059</v>
      </c>
      <c r="DD63" s="399">
        <v>0</v>
      </c>
      <c r="DE63" s="399">
        <v>0</v>
      </c>
      <c r="DF63" s="399">
        <v>0</v>
      </c>
      <c r="DG63" s="399">
        <v>3167.5691505875438</v>
      </c>
      <c r="DH63" s="399">
        <v>0</v>
      </c>
      <c r="DI63" s="399">
        <v>-66600.226002088981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-9979.4254750833788</v>
      </c>
      <c r="DP63" s="399">
        <v>-761.48180490596496</v>
      </c>
      <c r="DQ63" s="399">
        <v>0</v>
      </c>
      <c r="DR63" s="399">
        <v>0</v>
      </c>
      <c r="DS63" s="399"/>
      <c r="DT63" s="399"/>
      <c r="DU63" s="399"/>
      <c r="DV63" s="399">
        <v>0</v>
      </c>
      <c r="DW63" s="399">
        <v>0</v>
      </c>
      <c r="DX63" s="399">
        <v>0</v>
      </c>
      <c r="DY63" s="399">
        <v>-74165.742749999976</v>
      </c>
      <c r="DZ63" s="399">
        <v>77470.811499999836</v>
      </c>
      <c r="EA63" s="399">
        <v>0</v>
      </c>
      <c r="EB63" s="399">
        <v>0</v>
      </c>
      <c r="EC63" s="399">
        <v>0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368035.37431444373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230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956</v>
      </c>
      <c r="C64" s="399" t="s">
        <v>2337</v>
      </c>
      <c r="D64" s="399" t="s">
        <v>533</v>
      </c>
      <c r="E64" s="399" t="s">
        <v>890</v>
      </c>
      <c r="F64" s="399" t="s">
        <v>1239</v>
      </c>
      <c r="G64" s="399" t="s">
        <v>1239</v>
      </c>
      <c r="H64" s="399" t="s">
        <v>1239</v>
      </c>
      <c r="I64" s="399" t="s">
        <v>1239</v>
      </c>
      <c r="J64" s="399" t="s">
        <v>2329</v>
      </c>
      <c r="K64" s="789">
        <v>44470</v>
      </c>
      <c r="L64" s="399">
        <v>50387</v>
      </c>
      <c r="M64" s="399">
        <v>50387</v>
      </c>
      <c r="N64" s="399">
        <v>0</v>
      </c>
      <c r="O64" s="399">
        <v>0</v>
      </c>
      <c r="P64" s="399">
        <v>0</v>
      </c>
      <c r="Q64" s="399">
        <v>0</v>
      </c>
      <c r="R64" s="399">
        <v>18.12</v>
      </c>
      <c r="S64" s="399"/>
      <c r="T64" s="399"/>
      <c r="U64" s="399">
        <v>913012.44000000006</v>
      </c>
      <c r="V64" s="399"/>
      <c r="W64" s="399">
        <v>913012.44000000006</v>
      </c>
      <c r="X64" s="399">
        <v>728092.14999999991</v>
      </c>
      <c r="Y64" s="399">
        <v>0</v>
      </c>
      <c r="Z64" s="399">
        <v>0</v>
      </c>
      <c r="AA64" s="399">
        <v>0</v>
      </c>
      <c r="AB64" s="399">
        <v>0</v>
      </c>
      <c r="AC64" s="399">
        <v>0</v>
      </c>
      <c r="AD64" s="399">
        <v>0</v>
      </c>
      <c r="AE64" s="399">
        <v>658000.7250284059</v>
      </c>
      <c r="AF64" s="399"/>
      <c r="AG64" s="399"/>
      <c r="AH64" s="399"/>
      <c r="AI64" s="399">
        <v>0</v>
      </c>
      <c r="AJ64" s="399">
        <v>0</v>
      </c>
      <c r="AK64" s="399">
        <v>0</v>
      </c>
      <c r="AL64" s="399">
        <v>0</v>
      </c>
      <c r="AM64" s="399"/>
      <c r="AN64" s="399">
        <v>0</v>
      </c>
      <c r="AO64" s="399">
        <v>40051.135447931178</v>
      </c>
      <c r="AP64" s="399">
        <v>214715.18323491336</v>
      </c>
      <c r="AQ64" s="399">
        <v>0</v>
      </c>
      <c r="AR64" s="399">
        <v>0</v>
      </c>
      <c r="AS64" s="399"/>
      <c r="AT64" s="399"/>
      <c r="AU64" s="399">
        <v>0</v>
      </c>
      <c r="AV64" s="399">
        <v>0</v>
      </c>
      <c r="AW64" s="399">
        <v>0</v>
      </c>
      <c r="AX64" s="399"/>
      <c r="AY64" s="399"/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/>
      <c r="BG64" s="399">
        <v>0</v>
      </c>
      <c r="BH64" s="399">
        <v>0</v>
      </c>
      <c r="BI64" s="399">
        <v>0</v>
      </c>
      <c r="BJ64" s="399">
        <v>0</v>
      </c>
      <c r="BK64" s="399">
        <v>2003236.79</v>
      </c>
      <c r="BL64" s="399">
        <v>98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0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728092.14999999991</v>
      </c>
      <c r="CJ64" s="399">
        <v>-184920.32000000018</v>
      </c>
      <c r="CK64" s="399"/>
      <c r="CL64" s="399"/>
      <c r="CM64" s="399"/>
      <c r="CN64" s="399"/>
      <c r="CO64" s="399">
        <v>-184920.2900000001</v>
      </c>
      <c r="CP64" s="399">
        <v>0</v>
      </c>
      <c r="CQ64" s="399">
        <v>31</v>
      </c>
      <c r="CR64" s="399">
        <v>18596.873828458803</v>
      </c>
      <c r="CS64" s="399">
        <v>2923.5650790201471</v>
      </c>
      <c r="CT64" s="399">
        <v>15673.308749438642</v>
      </c>
      <c r="CU64" s="399">
        <v>0</v>
      </c>
      <c r="CV64" s="399">
        <v>0</v>
      </c>
      <c r="CW64" s="399"/>
      <c r="CX64" s="399"/>
      <c r="CY64" s="399"/>
      <c r="CZ64" s="399">
        <v>0</v>
      </c>
      <c r="DA64" s="399">
        <v>0</v>
      </c>
      <c r="DB64" s="399">
        <v>0</v>
      </c>
      <c r="DC64" s="399"/>
      <c r="DD64" s="399"/>
      <c r="DE64" s="399">
        <v>0</v>
      </c>
      <c r="DF64" s="399">
        <v>0</v>
      </c>
      <c r="DG64" s="399">
        <v>0</v>
      </c>
      <c r="DH64" s="399">
        <v>0</v>
      </c>
      <c r="DI64" s="399">
        <v>0</v>
      </c>
      <c r="DJ64" s="399"/>
      <c r="DK64" s="399">
        <v>0</v>
      </c>
      <c r="DL64" s="399">
        <v>0</v>
      </c>
      <c r="DM64" s="399"/>
      <c r="DN64" s="399">
        <v>0</v>
      </c>
      <c r="DO64" s="399">
        <v>0</v>
      </c>
      <c r="DP64" s="399">
        <v>0</v>
      </c>
      <c r="DQ64" s="399">
        <v>0</v>
      </c>
      <c r="DR64" s="399">
        <v>0</v>
      </c>
      <c r="DS64" s="399"/>
      <c r="DT64" s="399"/>
      <c r="DU64" s="399">
        <v>658000.7250284059</v>
      </c>
      <c r="DV64" s="399"/>
      <c r="DW64" s="399">
        <v>0</v>
      </c>
      <c r="DX64" s="399">
        <v>0</v>
      </c>
      <c r="DY64" s="399">
        <v>-184920.29000000015</v>
      </c>
      <c r="DZ64" s="399"/>
      <c r="EA64" s="399">
        <v>0</v>
      </c>
      <c r="EB64" s="399"/>
      <c r="EC64" s="399">
        <v>-203454.43277225771</v>
      </c>
      <c r="ED64" s="399"/>
      <c r="EE64" s="399">
        <v>0</v>
      </c>
      <c r="EF64" s="399">
        <v>0</v>
      </c>
      <c r="EG64" s="399"/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/>
      <c r="EN64" s="399"/>
      <c r="EO64" s="399">
        <v>0</v>
      </c>
      <c r="EP64" s="399">
        <v>0</v>
      </c>
      <c r="EQ64" s="399"/>
      <c r="ER64" s="399">
        <v>0</v>
      </c>
      <c r="ES64" s="399"/>
      <c r="ET64" s="399">
        <v>0</v>
      </c>
      <c r="EU64" s="399"/>
      <c r="EV64" s="399">
        <v>230</v>
      </c>
      <c r="EW64" s="399"/>
      <c r="EX64" s="399"/>
      <c r="EY64" s="399"/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956</v>
      </c>
      <c r="C65" s="399" t="s">
        <v>2328</v>
      </c>
      <c r="D65" s="399" t="s">
        <v>1826</v>
      </c>
      <c r="E65" s="399" t="s">
        <v>918</v>
      </c>
      <c r="F65" s="399" t="s">
        <v>1239</v>
      </c>
      <c r="G65" s="399" t="s">
        <v>1239</v>
      </c>
      <c r="H65" s="399" t="s">
        <v>1239</v>
      </c>
      <c r="I65" s="399" t="s">
        <v>1239</v>
      </c>
      <c r="J65" s="399" t="s">
        <v>2329</v>
      </c>
      <c r="K65" s="789">
        <v>44470</v>
      </c>
      <c r="L65" s="399">
        <v>0</v>
      </c>
      <c r="M65" s="399">
        <v>0</v>
      </c>
      <c r="N65" s="399">
        <v>1033.7429999999999</v>
      </c>
      <c r="O65" s="399">
        <v>1033.7429999999999</v>
      </c>
      <c r="P65" s="399">
        <v>1033.7429999999999</v>
      </c>
      <c r="Q65" s="399">
        <v>1033.7429999999999</v>
      </c>
      <c r="R65" s="399"/>
      <c r="S65" s="399">
        <v>333.61</v>
      </c>
      <c r="T65" s="399">
        <v>128.11000000000001</v>
      </c>
      <c r="U65" s="399"/>
      <c r="V65" s="399">
        <v>477299.81796000001</v>
      </c>
      <c r="W65" s="399">
        <v>477299.81796000001</v>
      </c>
      <c r="X65" s="399">
        <v>416629.44128999999</v>
      </c>
      <c r="Y65" s="399">
        <v>0</v>
      </c>
      <c r="Z65" s="399">
        <v>63281.663638661543</v>
      </c>
      <c r="AA65" s="399">
        <v>0</v>
      </c>
      <c r="AB65" s="399">
        <v>0</v>
      </c>
      <c r="AC65" s="399">
        <v>0</v>
      </c>
      <c r="AD65" s="399">
        <v>0</v>
      </c>
      <c r="AE65" s="399">
        <v>201059.08348235398</v>
      </c>
      <c r="AF65" s="399">
        <v>132433.89746470793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9772.8516876425438</v>
      </c>
      <c r="AM65" s="399"/>
      <c r="AN65" s="399">
        <v>889.41997538543103</v>
      </c>
      <c r="AO65" s="399">
        <v>3593.311516959533</v>
      </c>
      <c r="AP65" s="399">
        <v>19168.319734208148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14026.208374118467</v>
      </c>
      <c r="BH65" s="399">
        <v>0</v>
      </c>
      <c r="BI65" s="399">
        <v>0</v>
      </c>
      <c r="BJ65" s="399">
        <v>0</v>
      </c>
      <c r="BK65" s="399">
        <v>186000.57</v>
      </c>
      <c r="BL65" s="399">
        <v>1652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146460.10583882639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416628.23219999997</v>
      </c>
      <c r="CJ65" s="399">
        <v>-60671.615760000073</v>
      </c>
      <c r="CK65" s="399"/>
      <c r="CL65" s="399"/>
      <c r="CM65" s="399"/>
      <c r="CN65" s="399"/>
      <c r="CO65" s="399">
        <v>-66728.110650000002</v>
      </c>
      <c r="CP65" s="399">
        <v>6057.7339799999845</v>
      </c>
      <c r="CQ65" s="399">
        <v>31</v>
      </c>
      <c r="CR65" s="399">
        <v>1489.7445025711204</v>
      </c>
      <c r="CS65" s="399">
        <v>262.29668526330761</v>
      </c>
      <c r="CT65" s="399">
        <v>1399.2070280075641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0</v>
      </c>
      <c r="DA65" s="399">
        <v>0</v>
      </c>
      <c r="DB65" s="399">
        <v>0</v>
      </c>
      <c r="DC65" s="399">
        <v>6057.1491476973752</v>
      </c>
      <c r="DD65" s="399">
        <v>0</v>
      </c>
      <c r="DE65" s="399">
        <v>0</v>
      </c>
      <c r="DF65" s="399">
        <v>0</v>
      </c>
      <c r="DG65" s="399">
        <v>641.51880844057814</v>
      </c>
      <c r="DH65" s="399">
        <v>0</v>
      </c>
      <c r="DI65" s="399">
        <v>-5985.8873967096661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-780.32879262262941</v>
      </c>
      <c r="DP65" s="399">
        <v>-104.21097750550678</v>
      </c>
      <c r="DQ65" s="399">
        <v>0</v>
      </c>
      <c r="DR65" s="399">
        <v>0</v>
      </c>
      <c r="DS65" s="399"/>
      <c r="DT65" s="399"/>
      <c r="DU65" s="399"/>
      <c r="DV65" s="399">
        <v>201059.08348235398</v>
      </c>
      <c r="DW65" s="399">
        <v>0</v>
      </c>
      <c r="DX65" s="399">
        <v>0</v>
      </c>
      <c r="DY65" s="399">
        <v>-66728.110649999988</v>
      </c>
      <c r="DZ65" s="399">
        <v>6057.73397999999</v>
      </c>
      <c r="EA65" s="399">
        <v>0</v>
      </c>
      <c r="EB65" s="399">
        <v>0</v>
      </c>
      <c r="EC65" s="399">
        <v>-62167.654574919172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33078.240734244602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230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2331</v>
      </c>
      <c r="C66" s="399" t="s">
        <v>2328</v>
      </c>
      <c r="D66" s="399" t="s">
        <v>1826</v>
      </c>
      <c r="E66" s="399" t="s">
        <v>918</v>
      </c>
      <c r="F66" s="399" t="s">
        <v>1239</v>
      </c>
      <c r="G66" s="399" t="s">
        <v>1239</v>
      </c>
      <c r="H66" s="399" t="s">
        <v>1239</v>
      </c>
      <c r="I66" s="399" t="s">
        <v>1239</v>
      </c>
      <c r="J66" s="399" t="s">
        <v>2329</v>
      </c>
      <c r="K66" s="789">
        <v>44470</v>
      </c>
      <c r="L66" s="399">
        <v>0</v>
      </c>
      <c r="M66" s="399">
        <v>0</v>
      </c>
      <c r="N66" s="399">
        <v>0.69899999999999995</v>
      </c>
      <c r="O66" s="399">
        <v>0.69899999999999995</v>
      </c>
      <c r="P66" s="399">
        <v>0.69899999999999995</v>
      </c>
      <c r="Q66" s="399">
        <v>0.69899999999999995</v>
      </c>
      <c r="R66" s="399"/>
      <c r="S66" s="399">
        <v>333.61</v>
      </c>
      <c r="T66" s="399">
        <v>128.11000000000001</v>
      </c>
      <c r="U66" s="399"/>
      <c r="V66" s="399">
        <v>322.74227999999999</v>
      </c>
      <c r="W66" s="399">
        <v>322.74227999999999</v>
      </c>
      <c r="X66" s="399">
        <v>281.71796999999998</v>
      </c>
      <c r="Y66" s="399">
        <v>0</v>
      </c>
      <c r="Z66" s="399">
        <v>42.790019263418877</v>
      </c>
      <c r="AA66" s="399">
        <v>0</v>
      </c>
      <c r="AB66" s="399">
        <v>0</v>
      </c>
      <c r="AC66" s="399">
        <v>0</v>
      </c>
      <c r="AD66" s="399">
        <v>0</v>
      </c>
      <c r="AE66" s="399">
        <v>135.95284258676037</v>
      </c>
      <c r="AF66" s="399">
        <v>89.54962145120291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6.6082414387929473</v>
      </c>
      <c r="AM66" s="399"/>
      <c r="AN66" s="399">
        <v>0.60141114647878269</v>
      </c>
      <c r="AO66" s="399">
        <v>2.4297380977232383</v>
      </c>
      <c r="AP66" s="399">
        <v>12.961302271658909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9.4842912150397236</v>
      </c>
      <c r="BH66" s="399">
        <v>0</v>
      </c>
      <c r="BI66" s="399">
        <v>0</v>
      </c>
      <c r="BJ66" s="399">
        <v>0</v>
      </c>
      <c r="BK66" s="399">
        <v>809.95</v>
      </c>
      <c r="BL66" s="399">
        <v>4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99.033912666242628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282.12099999999998</v>
      </c>
      <c r="CJ66" s="399">
        <v>-40.651279999999986</v>
      </c>
      <c r="CK66" s="399"/>
      <c r="CL66" s="399"/>
      <c r="CM66" s="399"/>
      <c r="CN66" s="399"/>
      <c r="CO66" s="399">
        <v>-45.120450000000005</v>
      </c>
      <c r="CP66" s="399">
        <v>4.0961399999999895</v>
      </c>
      <c r="CQ66" s="399">
        <v>31</v>
      </c>
      <c r="CR66" s="399">
        <v>1.0073407097287372</v>
      </c>
      <c r="CS66" s="399">
        <v>0.17736070086960876</v>
      </c>
      <c r="CT66" s="399">
        <v>0.94612075978002963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0</v>
      </c>
      <c r="DA66" s="399">
        <v>0</v>
      </c>
      <c r="DB66" s="399">
        <v>0</v>
      </c>
      <c r="DC66" s="399">
        <v>4.0957445460239654</v>
      </c>
      <c r="DD66" s="399">
        <v>0</v>
      </c>
      <c r="DE66" s="399">
        <v>0</v>
      </c>
      <c r="DF66" s="399">
        <v>0</v>
      </c>
      <c r="DG66" s="399">
        <v>0.43378445812930622</v>
      </c>
      <c r="DH66" s="399">
        <v>0</v>
      </c>
      <c r="DI66" s="399">
        <v>-4.0475585230565585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-0.52764548446104786</v>
      </c>
      <c r="DP66" s="399">
        <v>-7.0465747556548552E-2</v>
      </c>
      <c r="DQ66" s="399">
        <v>0</v>
      </c>
      <c r="DR66" s="399">
        <v>0</v>
      </c>
      <c r="DS66" s="399"/>
      <c r="DT66" s="399"/>
      <c r="DU66" s="399"/>
      <c r="DV66" s="399">
        <v>135.95284258676037</v>
      </c>
      <c r="DW66" s="399">
        <v>0</v>
      </c>
      <c r="DX66" s="399">
        <v>0</v>
      </c>
      <c r="DY66" s="399">
        <v>-45.120450000000005</v>
      </c>
      <c r="DZ66" s="399">
        <v>4.0961399999999912</v>
      </c>
      <c r="EA66" s="399">
        <v>0</v>
      </c>
      <c r="EB66" s="399">
        <v>0</v>
      </c>
      <c r="EC66" s="399">
        <v>-42.036744672388096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22.366961878568443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230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956</v>
      </c>
      <c r="C67" s="399" t="s">
        <v>2337</v>
      </c>
      <c r="D67" s="399" t="s">
        <v>533</v>
      </c>
      <c r="E67" s="399" t="s">
        <v>918</v>
      </c>
      <c r="F67" s="399" t="s">
        <v>1239</v>
      </c>
      <c r="G67" s="399" t="s">
        <v>1239</v>
      </c>
      <c r="H67" s="399" t="s">
        <v>1239</v>
      </c>
      <c r="I67" s="399" t="s">
        <v>893</v>
      </c>
      <c r="J67" s="399" t="s">
        <v>2329</v>
      </c>
      <c r="K67" s="789">
        <v>44470</v>
      </c>
      <c r="L67" s="399">
        <v>0</v>
      </c>
      <c r="M67" s="399">
        <v>0</v>
      </c>
      <c r="N67" s="399">
        <v>35.451000000000001</v>
      </c>
      <c r="O67" s="399">
        <v>35.451000000000001</v>
      </c>
      <c r="P67" s="399">
        <v>35.451000000000001</v>
      </c>
      <c r="Q67" s="399">
        <v>35.451000000000001</v>
      </c>
      <c r="R67" s="399"/>
      <c r="S67" s="399">
        <v>1351.49</v>
      </c>
      <c r="T67" s="399">
        <v>128.11000000000001</v>
      </c>
      <c r="U67" s="399"/>
      <c r="V67" s="399">
        <v>52453.299600000006</v>
      </c>
      <c r="W67" s="399">
        <v>52453.299600000006</v>
      </c>
      <c r="X67" s="399">
        <v>40481.851410000003</v>
      </c>
      <c r="Y67" s="399">
        <v>0</v>
      </c>
      <c r="Z67" s="399">
        <v>1888.0480778676585</v>
      </c>
      <c r="AA67" s="399">
        <v>0</v>
      </c>
      <c r="AB67" s="399">
        <v>0</v>
      </c>
      <c r="AC67" s="399">
        <v>0</v>
      </c>
      <c r="AD67" s="399">
        <v>0</v>
      </c>
      <c r="AE67" s="399">
        <v>39844.961111514211</v>
      </c>
      <c r="AF67" s="399">
        <v>4541.6647068191623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335.14845099663637</v>
      </c>
      <c r="AM67" s="399"/>
      <c r="AN67" s="399">
        <v>17.427734738588843</v>
      </c>
      <c r="AO67" s="399">
        <v>736.40692957427098</v>
      </c>
      <c r="AP67" s="399">
        <v>3917.0546396278764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185.71415150428206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4727.3788583234445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40480.709500000004</v>
      </c>
      <c r="CJ67" s="399">
        <v>-11972.620100000007</v>
      </c>
      <c r="CK67" s="399"/>
      <c r="CL67" s="399"/>
      <c r="CM67" s="399"/>
      <c r="CN67" s="399"/>
      <c r="CO67" s="399">
        <v>-12179.191049999999</v>
      </c>
      <c r="CP67" s="399">
        <v>207.74285999999947</v>
      </c>
      <c r="CQ67" s="399">
        <v>31</v>
      </c>
      <c r="CR67" s="399">
        <v>348.50491753315509</v>
      </c>
      <c r="CS67" s="399">
        <v>53.754620416460739</v>
      </c>
      <c r="CT67" s="399">
        <v>285.92857677950769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0</v>
      </c>
      <c r="DA67" s="399">
        <v>0</v>
      </c>
      <c r="DB67" s="399">
        <v>0</v>
      </c>
      <c r="DC67" s="399">
        <v>207.72280386422881</v>
      </c>
      <c r="DD67" s="399">
        <v>0</v>
      </c>
      <c r="DE67" s="399">
        <v>0</v>
      </c>
      <c r="DF67" s="399">
        <v>0</v>
      </c>
      <c r="DG67" s="399">
        <v>8.4940361647151406</v>
      </c>
      <c r="DH67" s="399">
        <v>0</v>
      </c>
      <c r="DI67" s="399">
        <v>-178.59270037877832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-26.760457896464459</v>
      </c>
      <c r="DP67" s="399">
        <v>-2.0419614165152673</v>
      </c>
      <c r="DQ67" s="399">
        <v>0</v>
      </c>
      <c r="DR67" s="399">
        <v>0</v>
      </c>
      <c r="DS67" s="399"/>
      <c r="DT67" s="399"/>
      <c r="DU67" s="399"/>
      <c r="DV67" s="399">
        <v>39844.961111514211</v>
      </c>
      <c r="DW67" s="399">
        <v>0</v>
      </c>
      <c r="DX67" s="399">
        <v>0</v>
      </c>
      <c r="DY67" s="399">
        <v>-12179.191050000001</v>
      </c>
      <c r="DZ67" s="399">
        <v>207.74285999999938</v>
      </c>
      <c r="EA67" s="399">
        <v>0</v>
      </c>
      <c r="EB67" s="399">
        <v>0</v>
      </c>
      <c r="EC67" s="399">
        <v>-12320.098828805651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986.9100343844093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230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956</v>
      </c>
      <c r="C68" s="399" t="s">
        <v>2337</v>
      </c>
      <c r="D68" s="399" t="s">
        <v>533</v>
      </c>
      <c r="E68" s="399" t="s">
        <v>918</v>
      </c>
      <c r="F68" s="399" t="s">
        <v>1239</v>
      </c>
      <c r="G68" s="399" t="s">
        <v>1239</v>
      </c>
      <c r="H68" s="399" t="s">
        <v>1239</v>
      </c>
      <c r="I68" s="399" t="s">
        <v>2326</v>
      </c>
      <c r="J68" s="399" t="s">
        <v>2329</v>
      </c>
      <c r="K68" s="789">
        <v>44470</v>
      </c>
      <c r="L68" s="399">
        <v>0</v>
      </c>
      <c r="M68" s="399">
        <v>0</v>
      </c>
      <c r="N68" s="399">
        <v>414.13499999999999</v>
      </c>
      <c r="O68" s="399">
        <v>414.13499999999999</v>
      </c>
      <c r="P68" s="399">
        <v>414.13499999999999</v>
      </c>
      <c r="Q68" s="399">
        <v>414.13499999999999</v>
      </c>
      <c r="R68" s="399"/>
      <c r="S68" s="399">
        <v>96.28</v>
      </c>
      <c r="T68" s="399">
        <v>128.11000000000001</v>
      </c>
      <c r="U68" s="399"/>
      <c r="V68" s="399">
        <v>92927.752650000009</v>
      </c>
      <c r="W68" s="399">
        <v>92927.752650000009</v>
      </c>
      <c r="X68" s="399">
        <v>93031.286399999997</v>
      </c>
      <c r="Y68" s="399">
        <v>0</v>
      </c>
      <c r="Z68" s="399">
        <v>22055.986875623334</v>
      </c>
      <c r="AA68" s="399">
        <v>0</v>
      </c>
      <c r="AB68" s="399">
        <v>0</v>
      </c>
      <c r="AC68" s="399">
        <v>0</v>
      </c>
      <c r="AD68" s="399">
        <v>0</v>
      </c>
      <c r="AE68" s="399">
        <v>0</v>
      </c>
      <c r="AF68" s="399">
        <v>53055.268211293158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3915.1703408505259</v>
      </c>
      <c r="AM68" s="399"/>
      <c r="AN68" s="399">
        <v>203.58903630265689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2169.4939531529676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55224.762164446125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93032.409599999999</v>
      </c>
      <c r="CJ68" s="399">
        <v>104.62694999999076</v>
      </c>
      <c r="CK68" s="399"/>
      <c r="CL68" s="399"/>
      <c r="CM68" s="399"/>
      <c r="CN68" s="399"/>
      <c r="CO68" s="399">
        <v>-2323.2973499999998</v>
      </c>
      <c r="CP68" s="399">
        <v>2426.831099999994</v>
      </c>
      <c r="CQ68" s="399">
        <v>31</v>
      </c>
      <c r="CR68" s="399">
        <v>103.05444562465709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0</v>
      </c>
      <c r="DA68" s="399">
        <v>0</v>
      </c>
      <c r="DB68" s="399">
        <v>0</v>
      </c>
      <c r="DC68" s="399">
        <v>2426.5968062484026</v>
      </c>
      <c r="DD68" s="399">
        <v>0</v>
      </c>
      <c r="DE68" s="399">
        <v>0</v>
      </c>
      <c r="DF68" s="399">
        <v>0</v>
      </c>
      <c r="DG68" s="399">
        <v>99.22647223137028</v>
      </c>
      <c r="DH68" s="399">
        <v>0</v>
      </c>
      <c r="DI68" s="399">
        <v>-2086.301880662475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-312.6129652464615</v>
      </c>
      <c r="DP68" s="399">
        <v>-23.853986946166543</v>
      </c>
      <c r="DQ68" s="399">
        <v>0</v>
      </c>
      <c r="DR68" s="399">
        <v>0</v>
      </c>
      <c r="DS68" s="399"/>
      <c r="DT68" s="399"/>
      <c r="DU68" s="399"/>
      <c r="DV68" s="399">
        <v>0</v>
      </c>
      <c r="DW68" s="399">
        <v>0</v>
      </c>
      <c r="DX68" s="399">
        <v>0</v>
      </c>
      <c r="DY68" s="399">
        <v>-2323.2973500000007</v>
      </c>
      <c r="DZ68" s="399">
        <v>2426.8310999999885</v>
      </c>
      <c r="EA68" s="399">
        <v>0</v>
      </c>
      <c r="EB68" s="399">
        <v>0</v>
      </c>
      <c r="EC68" s="399">
        <v>0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11528.983303426909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230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956</v>
      </c>
      <c r="C69" s="399" t="s">
        <v>2337</v>
      </c>
      <c r="D69" s="399" t="s">
        <v>533</v>
      </c>
      <c r="E69" s="399" t="s">
        <v>918</v>
      </c>
      <c r="F69" s="399" t="s">
        <v>1239</v>
      </c>
      <c r="G69" s="399" t="s">
        <v>1239</v>
      </c>
      <c r="H69" s="399" t="s">
        <v>1239</v>
      </c>
      <c r="I69" s="399" t="s">
        <v>1239</v>
      </c>
      <c r="J69" s="399" t="s">
        <v>2329</v>
      </c>
      <c r="K69" s="789">
        <v>44470</v>
      </c>
      <c r="L69" s="399">
        <v>1656</v>
      </c>
      <c r="M69" s="399">
        <v>1656</v>
      </c>
      <c r="N69" s="399">
        <v>0</v>
      </c>
      <c r="O69" s="399">
        <v>0</v>
      </c>
      <c r="P69" s="399">
        <v>0</v>
      </c>
      <c r="Q69" s="399">
        <v>0</v>
      </c>
      <c r="R69" s="399">
        <v>18.12</v>
      </c>
      <c r="S69" s="399"/>
      <c r="T69" s="399"/>
      <c r="U69" s="399">
        <v>30006.720000000001</v>
      </c>
      <c r="V69" s="399"/>
      <c r="W69" s="399">
        <v>30006.720000000001</v>
      </c>
      <c r="X69" s="399">
        <v>23929.199999999997</v>
      </c>
      <c r="Y69" s="399">
        <v>0</v>
      </c>
      <c r="Z69" s="399">
        <v>0</v>
      </c>
      <c r="AA69" s="399">
        <v>0</v>
      </c>
      <c r="AB69" s="399">
        <v>0</v>
      </c>
      <c r="AC69" s="399">
        <v>0</v>
      </c>
      <c r="AD69" s="399">
        <v>0</v>
      </c>
      <c r="AE69" s="399">
        <v>21625.601854586308</v>
      </c>
      <c r="AF69" s="399"/>
      <c r="AG69" s="399"/>
      <c r="AH69" s="399"/>
      <c r="AI69" s="399">
        <v>0</v>
      </c>
      <c r="AJ69" s="399">
        <v>0</v>
      </c>
      <c r="AK69" s="399">
        <v>0</v>
      </c>
      <c r="AL69" s="399">
        <v>0</v>
      </c>
      <c r="AM69" s="399"/>
      <c r="AN69" s="399">
        <v>0</v>
      </c>
      <c r="AO69" s="399">
        <v>1316.3054022222802</v>
      </c>
      <c r="AP69" s="399">
        <v>7056.7476419913182</v>
      </c>
      <c r="AQ69" s="399">
        <v>0</v>
      </c>
      <c r="AR69" s="399">
        <v>0</v>
      </c>
      <c r="AS69" s="399"/>
      <c r="AT69" s="399"/>
      <c r="AU69" s="399">
        <v>0</v>
      </c>
      <c r="AV69" s="399">
        <v>0</v>
      </c>
      <c r="AW69" s="399">
        <v>0</v>
      </c>
      <c r="AX69" s="399"/>
      <c r="AY69" s="399"/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/>
      <c r="BG69" s="399">
        <v>0</v>
      </c>
      <c r="BH69" s="399">
        <v>0</v>
      </c>
      <c r="BI69" s="399">
        <v>0</v>
      </c>
      <c r="BJ69" s="399">
        <v>0</v>
      </c>
      <c r="BK69" s="399">
        <v>71384.86</v>
      </c>
      <c r="BL69" s="399">
        <v>17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0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23929.199999999997</v>
      </c>
      <c r="CJ69" s="399">
        <v>-6077.5499999999993</v>
      </c>
      <c r="CK69" s="399"/>
      <c r="CL69" s="399"/>
      <c r="CM69" s="399"/>
      <c r="CN69" s="399"/>
      <c r="CO69" s="399">
        <v>-6077.5200000000032</v>
      </c>
      <c r="CP69" s="399">
        <v>0</v>
      </c>
      <c r="CQ69" s="399">
        <v>31</v>
      </c>
      <c r="CR69" s="399">
        <v>611.19779030161953</v>
      </c>
      <c r="CS69" s="399">
        <v>96.084779225938519</v>
      </c>
      <c r="CT69" s="399">
        <v>515.11301107568124</v>
      </c>
      <c r="CU69" s="399">
        <v>0</v>
      </c>
      <c r="CV69" s="399">
        <v>0</v>
      </c>
      <c r="CW69" s="399"/>
      <c r="CX69" s="399"/>
      <c r="CY69" s="399"/>
      <c r="CZ69" s="399">
        <v>0</v>
      </c>
      <c r="DA69" s="399">
        <v>0</v>
      </c>
      <c r="DB69" s="399">
        <v>0</v>
      </c>
      <c r="DC69" s="399"/>
      <c r="DD69" s="399"/>
      <c r="DE69" s="399">
        <v>0</v>
      </c>
      <c r="DF69" s="399">
        <v>0</v>
      </c>
      <c r="DG69" s="399">
        <v>0</v>
      </c>
      <c r="DH69" s="399">
        <v>0</v>
      </c>
      <c r="DI69" s="399">
        <v>0</v>
      </c>
      <c r="DJ69" s="399"/>
      <c r="DK69" s="399">
        <v>0</v>
      </c>
      <c r="DL69" s="399">
        <v>0</v>
      </c>
      <c r="DM69" s="399"/>
      <c r="DN69" s="399">
        <v>0</v>
      </c>
      <c r="DO69" s="399">
        <v>0</v>
      </c>
      <c r="DP69" s="399">
        <v>0</v>
      </c>
      <c r="DQ69" s="399">
        <v>0</v>
      </c>
      <c r="DR69" s="399">
        <v>0</v>
      </c>
      <c r="DS69" s="399"/>
      <c r="DT69" s="399"/>
      <c r="DU69" s="399">
        <v>21625.601854586308</v>
      </c>
      <c r="DV69" s="399"/>
      <c r="DW69" s="399">
        <v>0</v>
      </c>
      <c r="DX69" s="399">
        <v>0</v>
      </c>
      <c r="DY69" s="399">
        <v>-6077.5200000000041</v>
      </c>
      <c r="DZ69" s="399"/>
      <c r="EA69" s="399">
        <v>0</v>
      </c>
      <c r="EB69" s="399"/>
      <c r="EC69" s="399">
        <v>-6686.6560952400214</v>
      </c>
      <c r="ED69" s="399"/>
      <c r="EE69" s="399">
        <v>0</v>
      </c>
      <c r="EF69" s="399">
        <v>0</v>
      </c>
      <c r="EG69" s="399"/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/>
      <c r="EN69" s="399"/>
      <c r="EO69" s="399">
        <v>0</v>
      </c>
      <c r="EP69" s="399">
        <v>0</v>
      </c>
      <c r="EQ69" s="399"/>
      <c r="ER69" s="399">
        <v>0</v>
      </c>
      <c r="ES69" s="399"/>
      <c r="ET69" s="399">
        <v>0</v>
      </c>
      <c r="EU69" s="399"/>
      <c r="EV69" s="399">
        <v>230</v>
      </c>
      <c r="EW69" s="399"/>
      <c r="EX69" s="399"/>
      <c r="EY69" s="399"/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956</v>
      </c>
      <c r="C70" s="399" t="s">
        <v>2328</v>
      </c>
      <c r="D70" s="399" t="s">
        <v>2340</v>
      </c>
      <c r="E70" s="399" t="s">
        <v>894</v>
      </c>
      <c r="F70" s="399" t="s">
        <v>1239</v>
      </c>
      <c r="G70" s="399" t="s">
        <v>1239</v>
      </c>
      <c r="H70" s="399" t="s">
        <v>1239</v>
      </c>
      <c r="I70" s="399" t="s">
        <v>1239</v>
      </c>
      <c r="J70" s="399" t="s">
        <v>2329</v>
      </c>
      <c r="K70" s="789">
        <v>44470</v>
      </c>
      <c r="L70" s="399">
        <v>0</v>
      </c>
      <c r="M70" s="399">
        <v>0</v>
      </c>
      <c r="N70" s="399">
        <v>1150.972</v>
      </c>
      <c r="O70" s="399">
        <v>1150.972</v>
      </c>
      <c r="P70" s="399">
        <v>1150.972</v>
      </c>
      <c r="Q70" s="399">
        <v>1150.972</v>
      </c>
      <c r="R70" s="399"/>
      <c r="S70" s="399">
        <v>333.61</v>
      </c>
      <c r="T70" s="399">
        <v>128.11000000000001</v>
      </c>
      <c r="U70" s="399"/>
      <c r="V70" s="399">
        <v>531426.79184000008</v>
      </c>
      <c r="W70" s="399">
        <v>531426.79184000008</v>
      </c>
      <c r="X70" s="399">
        <v>463876.24515999999</v>
      </c>
      <c r="Y70" s="399">
        <v>0</v>
      </c>
      <c r="Z70" s="399">
        <v>70457.960016674901</v>
      </c>
      <c r="AA70" s="399">
        <v>0</v>
      </c>
      <c r="AB70" s="399">
        <v>0</v>
      </c>
      <c r="AC70" s="399">
        <v>0</v>
      </c>
      <c r="AD70" s="399">
        <v>0</v>
      </c>
      <c r="AE70" s="399">
        <v>223859.67830868208</v>
      </c>
      <c r="AF70" s="399">
        <v>147452.2273260857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10881.117117725889</v>
      </c>
      <c r="AM70" s="399"/>
      <c r="AN70" s="399">
        <v>990.2823892488949</v>
      </c>
      <c r="AO70" s="399">
        <v>4000.8018852828486</v>
      </c>
      <c r="AP70" s="399">
        <v>21342.054360823746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15616.814918965236</v>
      </c>
      <c r="BH70" s="399">
        <v>0</v>
      </c>
      <c r="BI70" s="399">
        <v>0</v>
      </c>
      <c r="BJ70" s="399">
        <v>0</v>
      </c>
      <c r="BK70" s="399">
        <v>118185.78</v>
      </c>
      <c r="BL70" s="399">
        <v>2375</v>
      </c>
      <c r="BM70" s="399"/>
      <c r="BN70" s="399"/>
      <c r="BO70" s="399"/>
      <c r="BP70" s="399"/>
      <c r="BQ70" s="399"/>
      <c r="BR70" s="399">
        <v>55672.515639999983</v>
      </c>
      <c r="BS70" s="399"/>
      <c r="BT70" s="399"/>
      <c r="BU70" s="399"/>
      <c r="BV70" s="399">
        <v>163069.04224505095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408203.02020000003</v>
      </c>
      <c r="CJ70" s="399">
        <v>-59459.952839999925</v>
      </c>
      <c r="CK70" s="399"/>
      <c r="CL70" s="399"/>
      <c r="CM70" s="399"/>
      <c r="CN70" s="399"/>
      <c r="CO70" s="399">
        <v>-74295.242600000012</v>
      </c>
      <c r="CP70" s="399">
        <v>6744.6959199999828</v>
      </c>
      <c r="CQ70" s="399">
        <v>31</v>
      </c>
      <c r="CR70" s="399">
        <v>1658.6851950756973</v>
      </c>
      <c r="CS70" s="399">
        <v>292.04177482302612</v>
      </c>
      <c r="CT70" s="399">
        <v>1557.8805481052077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0</v>
      </c>
      <c r="DA70" s="399">
        <v>0</v>
      </c>
      <c r="DB70" s="399">
        <v>0</v>
      </c>
      <c r="DC70" s="399">
        <v>6744.0447662751249</v>
      </c>
      <c r="DD70" s="399">
        <v>0</v>
      </c>
      <c r="DE70" s="399">
        <v>0</v>
      </c>
      <c r="DF70" s="399">
        <v>0</v>
      </c>
      <c r="DG70" s="399">
        <v>714.26861994564388</v>
      </c>
      <c r="DH70" s="399">
        <v>0</v>
      </c>
      <c r="DI70" s="399">
        <v>-6664.7017573668927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-868.81999791287853</v>
      </c>
      <c r="DP70" s="399">
        <v>-116.02875879349915</v>
      </c>
      <c r="DQ70" s="399">
        <v>0</v>
      </c>
      <c r="DR70" s="399">
        <v>0</v>
      </c>
      <c r="DS70" s="399"/>
      <c r="DT70" s="399"/>
      <c r="DU70" s="399"/>
      <c r="DV70" s="399">
        <v>223859.67830868208</v>
      </c>
      <c r="DW70" s="399">
        <v>0</v>
      </c>
      <c r="DX70" s="399">
        <v>0</v>
      </c>
      <c r="DY70" s="399">
        <v>-74295.242599999998</v>
      </c>
      <c r="DZ70" s="399">
        <v>6744.6959199999692</v>
      </c>
      <c r="EA70" s="399">
        <v>0</v>
      </c>
      <c r="EB70" s="399">
        <v>0</v>
      </c>
      <c r="EC70" s="399">
        <v>-69217.619583788095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36829.394631330011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230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2331</v>
      </c>
      <c r="C71" s="399" t="s">
        <v>2328</v>
      </c>
      <c r="D71" s="399" t="s">
        <v>2340</v>
      </c>
      <c r="E71" s="399" t="s">
        <v>894</v>
      </c>
      <c r="F71" s="399" t="s">
        <v>1239</v>
      </c>
      <c r="G71" s="399" t="s">
        <v>1239</v>
      </c>
      <c r="H71" s="399" t="s">
        <v>1239</v>
      </c>
      <c r="I71" s="399" t="s">
        <v>1239</v>
      </c>
      <c r="J71" s="399" t="s">
        <v>2329</v>
      </c>
      <c r="K71" s="789">
        <v>44470</v>
      </c>
      <c r="L71" s="399">
        <v>0</v>
      </c>
      <c r="M71" s="399">
        <v>0</v>
      </c>
      <c r="N71" s="399">
        <v>22.286000000000001</v>
      </c>
      <c r="O71" s="399">
        <v>22.286000000000001</v>
      </c>
      <c r="P71" s="399">
        <v>22.286000000000001</v>
      </c>
      <c r="Q71" s="399">
        <v>22.286000000000001</v>
      </c>
      <c r="R71" s="399"/>
      <c r="S71" s="399">
        <v>333.61</v>
      </c>
      <c r="T71" s="399">
        <v>128.11000000000001</v>
      </c>
      <c r="U71" s="399"/>
      <c r="V71" s="399">
        <v>10289.891920000002</v>
      </c>
      <c r="W71" s="399">
        <v>10289.891920000002</v>
      </c>
      <c r="X71" s="399">
        <v>8981.9265799999994</v>
      </c>
      <c r="Y71" s="399">
        <v>0</v>
      </c>
      <c r="Z71" s="399">
        <v>1364.260900292637</v>
      </c>
      <c r="AA71" s="399">
        <v>0</v>
      </c>
      <c r="AB71" s="399">
        <v>0</v>
      </c>
      <c r="AC71" s="399">
        <v>0</v>
      </c>
      <c r="AD71" s="399">
        <v>0</v>
      </c>
      <c r="AE71" s="399">
        <v>4334.5422745186579</v>
      </c>
      <c r="AF71" s="399">
        <v>2855.0827806316283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210.68851030749593</v>
      </c>
      <c r="AM71" s="399"/>
      <c r="AN71" s="399">
        <v>19.174604879007372</v>
      </c>
      <c r="AO71" s="399">
        <v>77.466585473333467</v>
      </c>
      <c r="AP71" s="399">
        <v>413.24117657537977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302.38471247263988</v>
      </c>
      <c r="BH71" s="399">
        <v>0</v>
      </c>
      <c r="BI71" s="399">
        <v>0</v>
      </c>
      <c r="BJ71" s="399">
        <v>0</v>
      </c>
      <c r="BK71" s="399">
        <v>5648.81</v>
      </c>
      <c r="BL71" s="399">
        <v>15</v>
      </c>
      <c r="BM71" s="399"/>
      <c r="BN71" s="399"/>
      <c r="BO71" s="399"/>
      <c r="BP71" s="399"/>
      <c r="BQ71" s="399"/>
      <c r="BR71" s="399">
        <v>1077.9738199999997</v>
      </c>
      <c r="BS71" s="399"/>
      <c r="BT71" s="399"/>
      <c r="BU71" s="399"/>
      <c r="BV71" s="399">
        <v>3157.4674931042682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7905.3714</v>
      </c>
      <c r="CJ71" s="399">
        <v>-1149.9061200000015</v>
      </c>
      <c r="CK71" s="399"/>
      <c r="CL71" s="399"/>
      <c r="CM71" s="399"/>
      <c r="CN71" s="399"/>
      <c r="CO71" s="399">
        <v>-1438.5613000000003</v>
      </c>
      <c r="CP71" s="399">
        <v>130.59595999999968</v>
      </c>
      <c r="CQ71" s="399">
        <v>31</v>
      </c>
      <c r="CR71" s="399">
        <v>32.116731125916886</v>
      </c>
      <c r="CS71" s="399">
        <v>5.6547361653506414</v>
      </c>
      <c r="CT71" s="399">
        <v>30.164874467035418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0</v>
      </c>
      <c r="DA71" s="399">
        <v>0</v>
      </c>
      <c r="DB71" s="399">
        <v>0</v>
      </c>
      <c r="DC71" s="399">
        <v>130.5833518636482</v>
      </c>
      <c r="DD71" s="399">
        <v>0</v>
      </c>
      <c r="DE71" s="399">
        <v>0</v>
      </c>
      <c r="DF71" s="399">
        <v>0</v>
      </c>
      <c r="DG71" s="399">
        <v>13.830215212975304</v>
      </c>
      <c r="DH71" s="399">
        <v>0</v>
      </c>
      <c r="DI71" s="399">
        <v>-129.04705185241573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-16.822757176965581</v>
      </c>
      <c r="DP71" s="399">
        <v>-2.2466375537127945</v>
      </c>
      <c r="DQ71" s="399">
        <v>0</v>
      </c>
      <c r="DR71" s="399">
        <v>0</v>
      </c>
      <c r="DS71" s="399"/>
      <c r="DT71" s="399"/>
      <c r="DU71" s="399"/>
      <c r="DV71" s="399">
        <v>4334.5422745186579</v>
      </c>
      <c r="DW71" s="399">
        <v>0</v>
      </c>
      <c r="DX71" s="399">
        <v>0</v>
      </c>
      <c r="DY71" s="399">
        <v>-1438.5613000000003</v>
      </c>
      <c r="DZ71" s="399">
        <v>130.59595999999965</v>
      </c>
      <c r="EA71" s="399">
        <v>0</v>
      </c>
      <c r="EB71" s="399">
        <v>0</v>
      </c>
      <c r="EC71" s="399">
        <v>-1340.2444803559961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713.11890189667577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230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956</v>
      </c>
      <c r="C72" s="399" t="s">
        <v>2328</v>
      </c>
      <c r="D72" s="399" t="s">
        <v>1826</v>
      </c>
      <c r="E72" s="399" t="s">
        <v>2341</v>
      </c>
      <c r="F72" s="399" t="s">
        <v>1239</v>
      </c>
      <c r="G72" s="399" t="s">
        <v>1239</v>
      </c>
      <c r="H72" s="399" t="s">
        <v>1239</v>
      </c>
      <c r="I72" s="399" t="s">
        <v>1239</v>
      </c>
      <c r="J72" s="399" t="s">
        <v>2329</v>
      </c>
      <c r="K72" s="789">
        <v>44470</v>
      </c>
      <c r="L72" s="399">
        <v>0</v>
      </c>
      <c r="M72" s="399">
        <v>0</v>
      </c>
      <c r="N72" s="399">
        <v>160.94</v>
      </c>
      <c r="O72" s="399">
        <v>160.94</v>
      </c>
      <c r="P72" s="399">
        <v>160.94</v>
      </c>
      <c r="Q72" s="399">
        <v>160.94</v>
      </c>
      <c r="R72" s="399"/>
      <c r="S72" s="399">
        <v>333.61</v>
      </c>
      <c r="T72" s="399">
        <v>128.11000000000001</v>
      </c>
      <c r="U72" s="399"/>
      <c r="V72" s="399">
        <v>74309.216800000009</v>
      </c>
      <c r="W72" s="399">
        <v>74309.216800000009</v>
      </c>
      <c r="X72" s="399">
        <v>64863.648199999996</v>
      </c>
      <c r="Y72" s="399">
        <v>0</v>
      </c>
      <c r="Z72" s="399">
        <v>9852.1111591625668</v>
      </c>
      <c r="AA72" s="399">
        <v>0</v>
      </c>
      <c r="AB72" s="399">
        <v>0</v>
      </c>
      <c r="AC72" s="399">
        <v>0</v>
      </c>
      <c r="AD72" s="399">
        <v>0</v>
      </c>
      <c r="AE72" s="399">
        <v>31302.218148659824</v>
      </c>
      <c r="AF72" s="399">
        <v>20618.191811668949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1521.5026854926139</v>
      </c>
      <c r="AM72" s="399"/>
      <c r="AN72" s="399">
        <v>138.47082963418498</v>
      </c>
      <c r="AO72" s="399">
        <v>559.43068590497569</v>
      </c>
      <c r="AP72" s="399">
        <v>2984.2517705304504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2183.6936025014206</v>
      </c>
      <c r="BH72" s="399">
        <v>0</v>
      </c>
      <c r="BI72" s="399">
        <v>0</v>
      </c>
      <c r="BJ72" s="399">
        <v>0</v>
      </c>
      <c r="BK72" s="399">
        <v>24330.34</v>
      </c>
      <c r="BL72" s="399">
        <v>210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22801.88541417037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64863.648199999996</v>
      </c>
      <c r="CJ72" s="399">
        <v>-9445.5986000000121</v>
      </c>
      <c r="CK72" s="399"/>
      <c r="CL72" s="399"/>
      <c r="CM72" s="399"/>
      <c r="CN72" s="399"/>
      <c r="CO72" s="399">
        <v>-10388.677000000001</v>
      </c>
      <c r="CP72" s="399">
        <v>943.10839999999757</v>
      </c>
      <c r="CQ72" s="399">
        <v>31</v>
      </c>
      <c r="CR72" s="399">
        <v>231.9333531098091</v>
      </c>
      <c r="CS72" s="399">
        <v>40.836096134413197</v>
      </c>
      <c r="CT72" s="399">
        <v>217.83787564949625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0</v>
      </c>
      <c r="DA72" s="399">
        <v>0</v>
      </c>
      <c r="DB72" s="399">
        <v>0</v>
      </c>
      <c r="DC72" s="399">
        <v>943.017349409296</v>
      </c>
      <c r="DD72" s="399">
        <v>0</v>
      </c>
      <c r="DE72" s="399">
        <v>0</v>
      </c>
      <c r="DF72" s="399">
        <v>0</v>
      </c>
      <c r="DG72" s="399">
        <v>99.875923735809465</v>
      </c>
      <c r="DH72" s="399">
        <v>0</v>
      </c>
      <c r="DI72" s="399">
        <v>-931.92284506541182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-121.48678722340651</v>
      </c>
      <c r="DP72" s="399">
        <v>-16.224259530401923</v>
      </c>
      <c r="DQ72" s="399">
        <v>0</v>
      </c>
      <c r="DR72" s="399">
        <v>0</v>
      </c>
      <c r="DS72" s="399"/>
      <c r="DT72" s="399"/>
      <c r="DU72" s="399"/>
      <c r="DV72" s="399">
        <v>31302.218148659824</v>
      </c>
      <c r="DW72" s="399">
        <v>0</v>
      </c>
      <c r="DX72" s="399">
        <v>0</v>
      </c>
      <c r="DY72" s="399">
        <v>-10388.677000000003</v>
      </c>
      <c r="DZ72" s="399">
        <v>943.10839999999735</v>
      </c>
      <c r="EA72" s="399">
        <v>0</v>
      </c>
      <c r="EB72" s="399">
        <v>0</v>
      </c>
      <c r="EC72" s="399">
        <v>-9678.6748033964832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5149.8409795948573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230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956</v>
      </c>
      <c r="C73" s="399" t="s">
        <v>2337</v>
      </c>
      <c r="D73" s="399" t="s">
        <v>533</v>
      </c>
      <c r="E73" s="399" t="s">
        <v>2341</v>
      </c>
      <c r="F73" s="399" t="s">
        <v>1239</v>
      </c>
      <c r="G73" s="399" t="s">
        <v>1239</v>
      </c>
      <c r="H73" s="399" t="s">
        <v>1239</v>
      </c>
      <c r="I73" s="399" t="s">
        <v>893</v>
      </c>
      <c r="J73" s="399" t="s">
        <v>2329</v>
      </c>
      <c r="K73" s="789">
        <v>44470</v>
      </c>
      <c r="L73" s="399">
        <v>0</v>
      </c>
      <c r="M73" s="399">
        <v>0</v>
      </c>
      <c r="N73" s="399">
        <v>1.923</v>
      </c>
      <c r="O73" s="399">
        <v>1.923</v>
      </c>
      <c r="P73" s="399">
        <v>1.923</v>
      </c>
      <c r="Q73" s="399">
        <v>1.923</v>
      </c>
      <c r="R73" s="399"/>
      <c r="S73" s="399">
        <v>1351.49</v>
      </c>
      <c r="T73" s="399">
        <v>128.11000000000001</v>
      </c>
      <c r="U73" s="399"/>
      <c r="V73" s="399">
        <v>2845.2708000000002</v>
      </c>
      <c r="W73" s="399">
        <v>2845.2708000000002</v>
      </c>
      <c r="X73" s="399">
        <v>2195.89293</v>
      </c>
      <c r="Y73" s="399">
        <v>0</v>
      </c>
      <c r="Z73" s="399">
        <v>102.41506456064729</v>
      </c>
      <c r="AA73" s="399">
        <v>0</v>
      </c>
      <c r="AB73" s="399">
        <v>0</v>
      </c>
      <c r="AC73" s="399">
        <v>0</v>
      </c>
      <c r="AD73" s="399">
        <v>0</v>
      </c>
      <c r="AE73" s="399">
        <v>2161.3455253008892</v>
      </c>
      <c r="AF73" s="399">
        <v>246.35754227562688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18.179754344490473</v>
      </c>
      <c r="AM73" s="399"/>
      <c r="AN73" s="399">
        <v>0.94534805512697373</v>
      </c>
      <c r="AO73" s="399">
        <v>39.945573483719023</v>
      </c>
      <c r="AP73" s="399">
        <v>212.4762650420131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10.073857249237946</v>
      </c>
      <c r="BH73" s="399">
        <v>0</v>
      </c>
      <c r="BI73" s="399">
        <v>0</v>
      </c>
      <c r="BJ73" s="399">
        <v>0</v>
      </c>
      <c r="BK73" s="399">
        <v>0</v>
      </c>
      <c r="BL73" s="399">
        <v>0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256.43139952486484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2192.4672</v>
      </c>
      <c r="CJ73" s="399">
        <v>-652.83360000000084</v>
      </c>
      <c r="CK73" s="399"/>
      <c r="CL73" s="399"/>
      <c r="CM73" s="399"/>
      <c r="CN73" s="399"/>
      <c r="CO73" s="399">
        <v>-660.64664999999991</v>
      </c>
      <c r="CP73" s="399">
        <v>11.268779999999971</v>
      </c>
      <c r="CQ73" s="399">
        <v>31</v>
      </c>
      <c r="CR73" s="399">
        <v>18.90426099168576</v>
      </c>
      <c r="CS73" s="399">
        <v>2.9158594979225967</v>
      </c>
      <c r="CT73" s="399">
        <v>15.509877102112569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11.267692077259085</v>
      </c>
      <c r="DD73" s="399">
        <v>0</v>
      </c>
      <c r="DE73" s="399">
        <v>0</v>
      </c>
      <c r="DF73" s="399">
        <v>0</v>
      </c>
      <c r="DG73" s="399">
        <v>0.46074952877908082</v>
      </c>
      <c r="DH73" s="399">
        <v>0</v>
      </c>
      <c r="DI73" s="399">
        <v>-9.6875620667510276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-1.4515912254915548</v>
      </c>
      <c r="DP73" s="399">
        <v>-0.11076392214490027</v>
      </c>
      <c r="DQ73" s="399">
        <v>0</v>
      </c>
      <c r="DR73" s="399">
        <v>0</v>
      </c>
      <c r="DS73" s="399"/>
      <c r="DT73" s="399"/>
      <c r="DU73" s="399"/>
      <c r="DV73" s="399">
        <v>2161.3455253008892</v>
      </c>
      <c r="DW73" s="399">
        <v>0</v>
      </c>
      <c r="DX73" s="399">
        <v>0</v>
      </c>
      <c r="DY73" s="399">
        <v>-660.64664999999991</v>
      </c>
      <c r="DZ73" s="399">
        <v>11.268779999999936</v>
      </c>
      <c r="EA73" s="399">
        <v>0</v>
      </c>
      <c r="EB73" s="399">
        <v>0</v>
      </c>
      <c r="EC73" s="399">
        <v>-668.29003547976822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53.533835325413079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230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956</v>
      </c>
      <c r="C74" s="399" t="s">
        <v>2337</v>
      </c>
      <c r="D74" s="399" t="s">
        <v>533</v>
      </c>
      <c r="E74" s="399" t="s">
        <v>2341</v>
      </c>
      <c r="F74" s="399" t="s">
        <v>1239</v>
      </c>
      <c r="G74" s="399" t="s">
        <v>1239</v>
      </c>
      <c r="H74" s="399" t="s">
        <v>1239</v>
      </c>
      <c r="I74" s="399" t="s">
        <v>2326</v>
      </c>
      <c r="J74" s="399" t="s">
        <v>2329</v>
      </c>
      <c r="K74" s="789">
        <v>44470</v>
      </c>
      <c r="L74" s="399">
        <v>0</v>
      </c>
      <c r="M74" s="399">
        <v>0</v>
      </c>
      <c r="N74" s="399">
        <v>21.516999999999999</v>
      </c>
      <c r="O74" s="399">
        <v>21.516999999999999</v>
      </c>
      <c r="P74" s="399">
        <v>21.516999999999999</v>
      </c>
      <c r="Q74" s="399">
        <v>21.516999999999999</v>
      </c>
      <c r="R74" s="399"/>
      <c r="S74" s="399">
        <v>96.28</v>
      </c>
      <c r="T74" s="399">
        <v>128.11000000000001</v>
      </c>
      <c r="U74" s="399"/>
      <c r="V74" s="399">
        <v>4828.1996300000001</v>
      </c>
      <c r="W74" s="399">
        <v>4828.1996300000001</v>
      </c>
      <c r="X74" s="399">
        <v>4833.57888</v>
      </c>
      <c r="Y74" s="399">
        <v>0</v>
      </c>
      <c r="Z74" s="399">
        <v>1145.9516090231139</v>
      </c>
      <c r="AA74" s="399">
        <v>0</v>
      </c>
      <c r="AB74" s="399">
        <v>0</v>
      </c>
      <c r="AC74" s="399">
        <v>0</v>
      </c>
      <c r="AD74" s="399">
        <v>0</v>
      </c>
      <c r="AE74" s="399">
        <v>0</v>
      </c>
      <c r="AF74" s="399">
        <v>2756.5653859306622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203.41849933978236</v>
      </c>
      <c r="AM74" s="399"/>
      <c r="AN74" s="399">
        <v>10.577771243976647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112.71928571599213</v>
      </c>
      <c r="BH74" s="399">
        <v>0</v>
      </c>
      <c r="BI74" s="399">
        <v>0</v>
      </c>
      <c r="BJ74" s="399">
        <v>0</v>
      </c>
      <c r="BK74" s="399">
        <v>0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2869.2846716466543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4834.2528000000002</v>
      </c>
      <c r="CJ74" s="399">
        <v>6.0231699999994817</v>
      </c>
      <c r="CK74" s="399"/>
      <c r="CL74" s="399"/>
      <c r="CM74" s="399"/>
      <c r="CN74" s="399"/>
      <c r="CO74" s="399">
        <v>-120.71036999999998</v>
      </c>
      <c r="CP74" s="399">
        <v>126.08961999999968</v>
      </c>
      <c r="CQ74" s="399">
        <v>31</v>
      </c>
      <c r="CR74" s="399">
        <v>5.3543470281583723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0</v>
      </c>
      <c r="DA74" s="399">
        <v>0</v>
      </c>
      <c r="DB74" s="399">
        <v>0</v>
      </c>
      <c r="DC74" s="399">
        <v>126.07744691959624</v>
      </c>
      <c r="DD74" s="399">
        <v>0</v>
      </c>
      <c r="DE74" s="399">
        <v>0</v>
      </c>
      <c r="DF74" s="399">
        <v>0</v>
      </c>
      <c r="DG74" s="399">
        <v>5.1554589759435743</v>
      </c>
      <c r="DH74" s="399">
        <v>0</v>
      </c>
      <c r="DI74" s="399">
        <v>-108.39691783165995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-16.242271658295266</v>
      </c>
      <c r="DP74" s="399">
        <v>-1.2393693774268435</v>
      </c>
      <c r="DQ74" s="399">
        <v>0</v>
      </c>
      <c r="DR74" s="399">
        <v>0</v>
      </c>
      <c r="DS74" s="399"/>
      <c r="DT74" s="399"/>
      <c r="DU74" s="399"/>
      <c r="DV74" s="399">
        <v>0</v>
      </c>
      <c r="DW74" s="399">
        <v>0</v>
      </c>
      <c r="DX74" s="399">
        <v>0</v>
      </c>
      <c r="DY74" s="399">
        <v>-120.71036999999978</v>
      </c>
      <c r="DZ74" s="399">
        <v>126.08961999999974</v>
      </c>
      <c r="EA74" s="399">
        <v>0</v>
      </c>
      <c r="EB74" s="399">
        <v>0</v>
      </c>
      <c r="EC74" s="399">
        <v>0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599.00547826152524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230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956</v>
      </c>
      <c r="C75" s="399" t="s">
        <v>2337</v>
      </c>
      <c r="D75" s="399" t="s">
        <v>533</v>
      </c>
      <c r="E75" s="399" t="s">
        <v>2341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2329</v>
      </c>
      <c r="K75" s="789">
        <v>44470</v>
      </c>
      <c r="L75" s="399">
        <v>320</v>
      </c>
      <c r="M75" s="399">
        <v>320</v>
      </c>
      <c r="N75" s="399">
        <v>0</v>
      </c>
      <c r="O75" s="399">
        <v>0</v>
      </c>
      <c r="P75" s="399">
        <v>0</v>
      </c>
      <c r="Q75" s="399">
        <v>0</v>
      </c>
      <c r="R75" s="399">
        <v>18.12</v>
      </c>
      <c r="S75" s="399"/>
      <c r="T75" s="399"/>
      <c r="U75" s="399">
        <v>5798.4000000000005</v>
      </c>
      <c r="V75" s="399"/>
      <c r="W75" s="399">
        <v>5798.4000000000005</v>
      </c>
      <c r="X75" s="399">
        <v>4624</v>
      </c>
      <c r="Y75" s="399">
        <v>0</v>
      </c>
      <c r="Z75" s="399">
        <v>0</v>
      </c>
      <c r="AA75" s="399">
        <v>0</v>
      </c>
      <c r="AB75" s="399">
        <v>0</v>
      </c>
      <c r="AC75" s="399">
        <v>0</v>
      </c>
      <c r="AD75" s="399">
        <v>0</v>
      </c>
      <c r="AE75" s="399">
        <v>4178.8602617558081</v>
      </c>
      <c r="AF75" s="399"/>
      <c r="AG75" s="399"/>
      <c r="AH75" s="399"/>
      <c r="AI75" s="399">
        <v>0</v>
      </c>
      <c r="AJ75" s="399">
        <v>0</v>
      </c>
      <c r="AK75" s="399">
        <v>0</v>
      </c>
      <c r="AL75" s="399">
        <v>0</v>
      </c>
      <c r="AM75" s="399"/>
      <c r="AN75" s="399">
        <v>0</v>
      </c>
      <c r="AO75" s="399">
        <v>254.35853183039231</v>
      </c>
      <c r="AP75" s="399">
        <v>1363.6227327519455</v>
      </c>
      <c r="AQ75" s="399">
        <v>0</v>
      </c>
      <c r="AR75" s="399">
        <v>0</v>
      </c>
      <c r="AS75" s="399"/>
      <c r="AT75" s="399"/>
      <c r="AU75" s="399">
        <v>0</v>
      </c>
      <c r="AV75" s="399">
        <v>0</v>
      </c>
      <c r="AW75" s="399">
        <v>0</v>
      </c>
      <c r="AX75" s="399"/>
      <c r="AY75" s="399"/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/>
      <c r="BG75" s="399">
        <v>0</v>
      </c>
      <c r="BH75" s="399">
        <v>0</v>
      </c>
      <c r="BI75" s="399">
        <v>0</v>
      </c>
      <c r="BJ75" s="399">
        <v>0</v>
      </c>
      <c r="BK75" s="399">
        <v>4473.75</v>
      </c>
      <c r="BL75" s="399">
        <v>3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0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4624</v>
      </c>
      <c r="CJ75" s="399">
        <v>-1174.4300000000012</v>
      </c>
      <c r="CK75" s="399"/>
      <c r="CL75" s="399"/>
      <c r="CM75" s="399"/>
      <c r="CN75" s="399"/>
      <c r="CO75" s="399">
        <v>-1174.4000000000005</v>
      </c>
      <c r="CP75" s="399">
        <v>0</v>
      </c>
      <c r="CQ75" s="399">
        <v>31</v>
      </c>
      <c r="CR75" s="399">
        <v>118.1058531983806</v>
      </c>
      <c r="CS75" s="399">
        <v>18.567107096799731</v>
      </c>
      <c r="CT75" s="399">
        <v>99.538746101580955</v>
      </c>
      <c r="CU75" s="399">
        <v>0</v>
      </c>
      <c r="CV75" s="399">
        <v>0</v>
      </c>
      <c r="CW75" s="399"/>
      <c r="CX75" s="399"/>
      <c r="CY75" s="399"/>
      <c r="CZ75" s="399">
        <v>0</v>
      </c>
      <c r="DA75" s="399">
        <v>0</v>
      </c>
      <c r="DB75" s="399">
        <v>0</v>
      </c>
      <c r="DC75" s="399"/>
      <c r="DD75" s="399"/>
      <c r="DE75" s="399">
        <v>0</v>
      </c>
      <c r="DF75" s="399">
        <v>0</v>
      </c>
      <c r="DG75" s="399">
        <v>0</v>
      </c>
      <c r="DH75" s="399">
        <v>0</v>
      </c>
      <c r="DI75" s="399">
        <v>0</v>
      </c>
      <c r="DJ75" s="399"/>
      <c r="DK75" s="399">
        <v>0</v>
      </c>
      <c r="DL75" s="399">
        <v>0</v>
      </c>
      <c r="DM75" s="399"/>
      <c r="DN75" s="399">
        <v>0</v>
      </c>
      <c r="DO75" s="399">
        <v>0</v>
      </c>
      <c r="DP75" s="399">
        <v>0</v>
      </c>
      <c r="DQ75" s="399">
        <v>0</v>
      </c>
      <c r="DR75" s="399">
        <v>0</v>
      </c>
      <c r="DS75" s="399"/>
      <c r="DT75" s="399"/>
      <c r="DU75" s="399">
        <v>4178.8602617558081</v>
      </c>
      <c r="DV75" s="399"/>
      <c r="DW75" s="399">
        <v>0</v>
      </c>
      <c r="DX75" s="399">
        <v>0</v>
      </c>
      <c r="DY75" s="399">
        <v>-1174.4000000000005</v>
      </c>
      <c r="DZ75" s="399"/>
      <c r="EA75" s="399">
        <v>0</v>
      </c>
      <c r="EB75" s="399"/>
      <c r="EC75" s="399">
        <v>-1292.1074580173949</v>
      </c>
      <c r="ED75" s="399"/>
      <c r="EE75" s="399">
        <v>0</v>
      </c>
      <c r="EF75" s="399">
        <v>0</v>
      </c>
      <c r="EG75" s="399"/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/>
      <c r="EN75" s="399"/>
      <c r="EO75" s="399">
        <v>0</v>
      </c>
      <c r="EP75" s="399">
        <v>0</v>
      </c>
      <c r="EQ75" s="399"/>
      <c r="ER75" s="399">
        <v>0</v>
      </c>
      <c r="ES75" s="399"/>
      <c r="ET75" s="399">
        <v>0</v>
      </c>
      <c r="EU75" s="399"/>
      <c r="EV75" s="399">
        <v>230</v>
      </c>
      <c r="EW75" s="399"/>
      <c r="EX75" s="399"/>
      <c r="EY75" s="399"/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956</v>
      </c>
      <c r="C76" s="399" t="s">
        <v>2328</v>
      </c>
      <c r="D76" s="399" t="s">
        <v>2342</v>
      </c>
      <c r="E76" s="399" t="s">
        <v>2343</v>
      </c>
      <c r="F76" s="399" t="s">
        <v>2344</v>
      </c>
      <c r="G76" s="399" t="s">
        <v>1239</v>
      </c>
      <c r="H76" s="399" t="s">
        <v>1239</v>
      </c>
      <c r="I76" s="399" t="s">
        <v>1239</v>
      </c>
      <c r="J76" s="399" t="s">
        <v>2329</v>
      </c>
      <c r="K76" s="789">
        <v>44470</v>
      </c>
      <c r="L76" s="399">
        <v>0</v>
      </c>
      <c r="M76" s="399">
        <v>0</v>
      </c>
      <c r="N76" s="399">
        <v>817.678</v>
      </c>
      <c r="O76" s="399">
        <v>817.678</v>
      </c>
      <c r="P76" s="399">
        <v>817.678</v>
      </c>
      <c r="Q76" s="399">
        <v>817.678</v>
      </c>
      <c r="R76" s="399"/>
      <c r="S76" s="399">
        <v>183.49</v>
      </c>
      <c r="T76" s="399">
        <v>70.459999999999994</v>
      </c>
      <c r="U76" s="399"/>
      <c r="V76" s="399">
        <v>207649.32810000001</v>
      </c>
      <c r="W76" s="399">
        <v>207649.32810000001</v>
      </c>
      <c r="X76" s="399">
        <v>181246.50547999999</v>
      </c>
      <c r="Y76" s="399">
        <v>0</v>
      </c>
      <c r="Z76" s="399">
        <v>27530.259734192572</v>
      </c>
      <c r="AA76" s="399">
        <v>0</v>
      </c>
      <c r="AB76" s="399">
        <v>0</v>
      </c>
      <c r="AC76" s="399">
        <v>0</v>
      </c>
      <c r="AD76" s="399">
        <v>0</v>
      </c>
      <c r="AE76" s="399">
        <v>87469.394322405773</v>
      </c>
      <c r="AF76" s="399">
        <v>57614.471320368139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4251.6130239687191</v>
      </c>
      <c r="AM76" s="399"/>
      <c r="AN76" s="399">
        <v>386.93614433013283</v>
      </c>
      <c r="AO76" s="399">
        <v>1563.2458705988263</v>
      </c>
      <c r="AP76" s="399">
        <v>8339.0478474778538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6102.0070810760708</v>
      </c>
      <c r="BH76" s="399">
        <v>0</v>
      </c>
      <c r="BI76" s="399">
        <v>0</v>
      </c>
      <c r="BJ76" s="399">
        <v>0</v>
      </c>
      <c r="BK76" s="399">
        <v>99116.46</v>
      </c>
      <c r="BL76" s="399">
        <v>13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63716.478401444212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181246.94879999998</v>
      </c>
      <c r="CJ76" s="399">
        <v>-26402.409300000058</v>
      </c>
      <c r="CK76" s="399"/>
      <c r="CL76" s="399"/>
      <c r="CM76" s="399"/>
      <c r="CN76" s="399"/>
      <c r="CO76" s="399">
        <v>-29035.745780000016</v>
      </c>
      <c r="CP76" s="399">
        <v>2632.9231600000107</v>
      </c>
      <c r="CQ76" s="399">
        <v>31</v>
      </c>
      <c r="CR76" s="399">
        <v>648.1032693379384</v>
      </c>
      <c r="CS76" s="399">
        <v>114.11039877126382</v>
      </c>
      <c r="CT76" s="399">
        <v>608.71555341702697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0</v>
      </c>
      <c r="DA76" s="399">
        <v>0</v>
      </c>
      <c r="DB76" s="399">
        <v>0</v>
      </c>
      <c r="DC76" s="399">
        <v>2635.1217666623634</v>
      </c>
      <c r="DD76" s="399">
        <v>0</v>
      </c>
      <c r="DE76" s="399">
        <v>0</v>
      </c>
      <c r="DF76" s="399">
        <v>0</v>
      </c>
      <c r="DG76" s="399">
        <v>279.08841843328901</v>
      </c>
      <c r="DH76" s="399">
        <v>0</v>
      </c>
      <c r="DI76" s="399">
        <v>-2604.119823903784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-339.47676315267881</v>
      </c>
      <c r="DP76" s="399">
        <v>-45.336280889555042</v>
      </c>
      <c r="DQ76" s="399">
        <v>0</v>
      </c>
      <c r="DR76" s="399">
        <v>0</v>
      </c>
      <c r="DS76" s="399"/>
      <c r="DT76" s="399"/>
      <c r="DU76" s="399"/>
      <c r="DV76" s="399">
        <v>87469.394322405773</v>
      </c>
      <c r="DW76" s="399">
        <v>0</v>
      </c>
      <c r="DX76" s="399">
        <v>0</v>
      </c>
      <c r="DY76" s="399">
        <v>-29035.745780000027</v>
      </c>
      <c r="DZ76" s="399">
        <v>2632.923160000013</v>
      </c>
      <c r="EA76" s="399">
        <v>0</v>
      </c>
      <c r="EB76" s="399">
        <v>0</v>
      </c>
      <c r="EC76" s="399">
        <v>-27045.617626074483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14390.464893017546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230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956</v>
      </c>
      <c r="C77" s="399" t="s">
        <v>2328</v>
      </c>
      <c r="D77" s="399" t="s">
        <v>1826</v>
      </c>
      <c r="E77" s="399" t="s">
        <v>921</v>
      </c>
      <c r="F77" s="399" t="s">
        <v>2345</v>
      </c>
      <c r="G77" s="399" t="s">
        <v>1239</v>
      </c>
      <c r="H77" s="399" t="s">
        <v>1239</v>
      </c>
      <c r="I77" s="399" t="s">
        <v>1239</v>
      </c>
      <c r="J77" s="399" t="s">
        <v>2329</v>
      </c>
      <c r="K77" s="789">
        <v>44470</v>
      </c>
      <c r="L77" s="399">
        <v>0</v>
      </c>
      <c r="M77" s="399">
        <v>0</v>
      </c>
      <c r="N77" s="399">
        <v>77.210999999999999</v>
      </c>
      <c r="O77" s="399">
        <v>72.578339999999997</v>
      </c>
      <c r="P77" s="399">
        <v>77.210999999999999</v>
      </c>
      <c r="Q77" s="399">
        <v>72.578339999999997</v>
      </c>
      <c r="R77" s="399"/>
      <c r="S77" s="399">
        <v>333.61</v>
      </c>
      <c r="T77" s="399">
        <v>128.11000000000001</v>
      </c>
      <c r="U77" s="399"/>
      <c r="V77" s="399">
        <v>35649.86292</v>
      </c>
      <c r="W77" s="399">
        <v>35649.86292</v>
      </c>
      <c r="X77" s="399">
        <v>31118.349330000001</v>
      </c>
      <c r="Y77" s="399">
        <v>0</v>
      </c>
      <c r="Z77" s="399">
        <v>4726.5524711700073</v>
      </c>
      <c r="AA77" s="399">
        <v>0</v>
      </c>
      <c r="AB77" s="399">
        <v>0</v>
      </c>
      <c r="AC77" s="399">
        <v>0</v>
      </c>
      <c r="AD77" s="399">
        <v>0</v>
      </c>
      <c r="AE77" s="399">
        <v>15017.24596418649</v>
      </c>
      <c r="AF77" s="399">
        <v>9891.5820055348031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729.94124424984591</v>
      </c>
      <c r="AM77" s="399"/>
      <c r="AN77" s="399">
        <v>66.431410630576963</v>
      </c>
      <c r="AO77" s="399">
        <v>268.38699322361794</v>
      </c>
      <c r="AP77" s="399">
        <v>1431.6954359042288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1047.627480693036</v>
      </c>
      <c r="BH77" s="399">
        <v>0</v>
      </c>
      <c r="BI77" s="399">
        <v>0</v>
      </c>
      <c r="BJ77" s="399">
        <v>0</v>
      </c>
      <c r="BK77" s="399">
        <v>13148.14</v>
      </c>
      <c r="BL77" s="399">
        <v>28</v>
      </c>
      <c r="BM77" s="399"/>
      <c r="BN77" s="399"/>
      <c r="BO77" s="399"/>
      <c r="BP77" s="399"/>
      <c r="BQ77" s="399">
        <v>1867.1009598000005</v>
      </c>
      <c r="BR77" s="399"/>
      <c r="BS77" s="399"/>
      <c r="BT77" s="399"/>
      <c r="BU77" s="399"/>
      <c r="BV77" s="399">
        <v>10939.209486227839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29251.917399999998</v>
      </c>
      <c r="CJ77" s="399">
        <v>-4258.9837448000035</v>
      </c>
      <c r="CK77" s="399"/>
      <c r="CL77" s="399"/>
      <c r="CM77" s="399"/>
      <c r="CN77" s="399"/>
      <c r="CO77" s="399">
        <v>-4983.9700500000008</v>
      </c>
      <c r="CP77" s="399">
        <v>452.45645999999886</v>
      </c>
      <c r="CQ77" s="399">
        <v>31</v>
      </c>
      <c r="CR77" s="399">
        <v>111.27007659351148</v>
      </c>
      <c r="CS77" s="399">
        <v>19.591126001206533</v>
      </c>
      <c r="CT77" s="399">
        <v>104.50776821656063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452.41277845930927</v>
      </c>
      <c r="DD77" s="399">
        <v>0</v>
      </c>
      <c r="DE77" s="399">
        <v>0</v>
      </c>
      <c r="DF77" s="399">
        <v>0</v>
      </c>
      <c r="DG77" s="399">
        <v>47.915496132506178</v>
      </c>
      <c r="DH77" s="399">
        <v>0</v>
      </c>
      <c r="DI77" s="399">
        <v>-447.09018758758248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-58.283312590446371</v>
      </c>
      <c r="DP77" s="399">
        <v>-7.7835920380381651</v>
      </c>
      <c r="DQ77" s="399">
        <v>0</v>
      </c>
      <c r="DR77" s="399">
        <v>0</v>
      </c>
      <c r="DS77" s="399"/>
      <c r="DT77" s="399"/>
      <c r="DU77" s="399"/>
      <c r="DV77" s="399">
        <v>15017.24596418649</v>
      </c>
      <c r="DW77" s="399">
        <v>0</v>
      </c>
      <c r="DX77" s="399">
        <v>0</v>
      </c>
      <c r="DY77" s="399">
        <v>-4983.9700499999999</v>
      </c>
      <c r="DZ77" s="399">
        <v>452.45645999999942</v>
      </c>
      <c r="EA77" s="399">
        <v>0</v>
      </c>
      <c r="EB77" s="399">
        <v>0</v>
      </c>
      <c r="EC77" s="399">
        <v>-4643.3463417736166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2470.6373299086522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230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956</v>
      </c>
      <c r="C78" s="399" t="s">
        <v>2336</v>
      </c>
      <c r="D78" s="399" t="s">
        <v>533</v>
      </c>
      <c r="E78" s="399" t="s">
        <v>921</v>
      </c>
      <c r="F78" s="399" t="s">
        <v>2345</v>
      </c>
      <c r="G78" s="399" t="s">
        <v>1239</v>
      </c>
      <c r="H78" s="399" t="s">
        <v>1239</v>
      </c>
      <c r="I78" s="399" t="s">
        <v>893</v>
      </c>
      <c r="J78" s="399" t="s">
        <v>2329</v>
      </c>
      <c r="K78" s="789">
        <v>44470</v>
      </c>
      <c r="L78" s="399">
        <v>403</v>
      </c>
      <c r="M78" s="399">
        <v>378.82</v>
      </c>
      <c r="N78" s="399">
        <v>19.538</v>
      </c>
      <c r="O78" s="399">
        <v>18.36572</v>
      </c>
      <c r="P78" s="399">
        <v>19.538</v>
      </c>
      <c r="Q78" s="399">
        <v>18.36572</v>
      </c>
      <c r="R78" s="399">
        <v>52.19</v>
      </c>
      <c r="S78" s="399">
        <v>96.28</v>
      </c>
      <c r="T78" s="399">
        <v>128.11000000000001</v>
      </c>
      <c r="U78" s="399">
        <v>21032.57</v>
      </c>
      <c r="V78" s="399">
        <v>4384.1318200000005</v>
      </c>
      <c r="W78" s="399">
        <v>25416.701820000002</v>
      </c>
      <c r="X78" s="399">
        <v>19759.436320000001</v>
      </c>
      <c r="Y78" s="399">
        <v>0</v>
      </c>
      <c r="Z78" s="399">
        <v>1040.5540984846214</v>
      </c>
      <c r="AA78" s="399">
        <v>0</v>
      </c>
      <c r="AB78" s="399">
        <v>0</v>
      </c>
      <c r="AC78" s="399">
        <v>0</v>
      </c>
      <c r="AD78" s="399">
        <v>0</v>
      </c>
      <c r="AE78" s="399">
        <v>18833.659551020683</v>
      </c>
      <c r="AF78" s="399">
        <v>2503.0336250552255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184.70932937215539</v>
      </c>
      <c r="AM78" s="399"/>
      <c r="AN78" s="399">
        <v>9.6048935522989147</v>
      </c>
      <c r="AO78" s="399">
        <v>348.04274276226141</v>
      </c>
      <c r="AP78" s="399">
        <v>1851.4964782856871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102.35206600915808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>
        <v>1185.5661792000005</v>
      </c>
      <c r="BR78" s="399"/>
      <c r="BS78" s="399"/>
      <c r="BT78" s="399"/>
      <c r="BU78" s="399"/>
      <c r="BV78" s="399">
        <v>2605.3856910643835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18574.831600000001</v>
      </c>
      <c r="CJ78" s="399">
        <v>-5316.8981107999934</v>
      </c>
      <c r="CK78" s="399"/>
      <c r="CL78" s="399"/>
      <c r="CM78" s="399"/>
      <c r="CN78" s="399"/>
      <c r="CO78" s="399">
        <v>-5771.7581799999989</v>
      </c>
      <c r="CP78" s="399">
        <v>114.49267999999971</v>
      </c>
      <c r="CQ78" s="399">
        <v>31</v>
      </c>
      <c r="CR78" s="399">
        <v>165.41903482235193</v>
      </c>
      <c r="CS78" s="399">
        <v>25.405661971031805</v>
      </c>
      <c r="CT78" s="399">
        <v>135.15148540250539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0</v>
      </c>
      <c r="DA78" s="399">
        <v>0</v>
      </c>
      <c r="DB78" s="399">
        <v>0</v>
      </c>
      <c r="DC78" s="399">
        <v>114.4816265239142</v>
      </c>
      <c r="DD78" s="399">
        <v>0</v>
      </c>
      <c r="DE78" s="399">
        <v>0</v>
      </c>
      <c r="DF78" s="399">
        <v>0</v>
      </c>
      <c r="DG78" s="399">
        <v>4.6812918841839206</v>
      </c>
      <c r="DH78" s="399">
        <v>0</v>
      </c>
      <c r="DI78" s="399">
        <v>-98.427242673001388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-14.748408405436294</v>
      </c>
      <c r="DP78" s="399">
        <v>-1.125379880846106</v>
      </c>
      <c r="DQ78" s="399">
        <v>0</v>
      </c>
      <c r="DR78" s="399">
        <v>0</v>
      </c>
      <c r="DS78" s="399"/>
      <c r="DT78" s="399"/>
      <c r="DU78" s="399">
        <v>18833.659551020683</v>
      </c>
      <c r="DV78" s="399">
        <v>0</v>
      </c>
      <c r="DW78" s="399">
        <v>0</v>
      </c>
      <c r="DX78" s="399">
        <v>0</v>
      </c>
      <c r="DY78" s="399">
        <v>-5771.7581800000007</v>
      </c>
      <c r="DZ78" s="399">
        <v>114.49267999999984</v>
      </c>
      <c r="EA78" s="399">
        <v>0</v>
      </c>
      <c r="EB78" s="399">
        <v>0</v>
      </c>
      <c r="EC78" s="399">
        <v>-5823.3849526735612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543.91267529273046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230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956</v>
      </c>
      <c r="C79" s="399" t="s">
        <v>2336</v>
      </c>
      <c r="D79" s="399" t="s">
        <v>533</v>
      </c>
      <c r="E79" s="399" t="s">
        <v>921</v>
      </c>
      <c r="F79" s="399" t="s">
        <v>2345</v>
      </c>
      <c r="G79" s="399" t="s">
        <v>1239</v>
      </c>
      <c r="H79" s="399" t="s">
        <v>1239</v>
      </c>
      <c r="I79" s="399" t="s">
        <v>2326</v>
      </c>
      <c r="J79" s="399" t="s">
        <v>2329</v>
      </c>
      <c r="K79" s="789">
        <v>44470</v>
      </c>
      <c r="L79" s="399">
        <v>447</v>
      </c>
      <c r="M79" s="399">
        <v>420.18</v>
      </c>
      <c r="N79" s="399">
        <v>144.97499999999999</v>
      </c>
      <c r="O79" s="399">
        <v>136.2765</v>
      </c>
      <c r="P79" s="399">
        <v>144.97499999999999</v>
      </c>
      <c r="Q79" s="399">
        <v>136.2765</v>
      </c>
      <c r="R79" s="399">
        <v>18.12</v>
      </c>
      <c r="S79" s="399">
        <v>96.28</v>
      </c>
      <c r="T79" s="399">
        <v>128.11000000000001</v>
      </c>
      <c r="U79" s="399">
        <v>8099.64</v>
      </c>
      <c r="V79" s="399">
        <v>32530.94025</v>
      </c>
      <c r="W79" s="399">
        <v>40630.580249999999</v>
      </c>
      <c r="X79" s="399">
        <v>39026.334000000003</v>
      </c>
      <c r="Y79" s="399">
        <v>0</v>
      </c>
      <c r="Z79" s="399">
        <v>7721.0733149661164</v>
      </c>
      <c r="AA79" s="399">
        <v>0</v>
      </c>
      <c r="AB79" s="399">
        <v>0</v>
      </c>
      <c r="AC79" s="399">
        <v>0</v>
      </c>
      <c r="AD79" s="399">
        <v>0</v>
      </c>
      <c r="AE79" s="399">
        <v>5837.3454281401446</v>
      </c>
      <c r="AF79" s="399">
        <v>18572.898955490902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1370.571963646649</v>
      </c>
      <c r="AM79" s="399"/>
      <c r="AN79" s="399">
        <v>71.269804624042123</v>
      </c>
      <c r="AO79" s="399">
        <v>355.30707415057924</v>
      </c>
      <c r="AP79" s="399">
        <v>1904.8105048128739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759.46825517850812</v>
      </c>
      <c r="BH79" s="399">
        <v>0</v>
      </c>
      <c r="BI79" s="399">
        <v>0</v>
      </c>
      <c r="BJ79" s="399">
        <v>0</v>
      </c>
      <c r="BK79" s="399">
        <v>0</v>
      </c>
      <c r="BL79" s="399">
        <v>0</v>
      </c>
      <c r="BM79" s="399"/>
      <c r="BN79" s="399"/>
      <c r="BO79" s="399"/>
      <c r="BP79" s="399"/>
      <c r="BQ79" s="399">
        <v>2341.5800399999989</v>
      </c>
      <c r="BR79" s="399"/>
      <c r="BS79" s="399"/>
      <c r="BT79" s="399"/>
      <c r="BU79" s="399"/>
      <c r="BV79" s="399">
        <v>19332.36721066941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36685.540200000003</v>
      </c>
      <c r="CJ79" s="399">
        <v>-1507.2352349999928</v>
      </c>
      <c r="CK79" s="399"/>
      <c r="CL79" s="399"/>
      <c r="CM79" s="399"/>
      <c r="CN79" s="399"/>
      <c r="CO79" s="399">
        <v>-2453.7997500000006</v>
      </c>
      <c r="CP79" s="399">
        <v>849.55349999999783</v>
      </c>
      <c r="CQ79" s="399">
        <v>31</v>
      </c>
      <c r="CR79" s="399">
        <v>201.05507503830449</v>
      </c>
      <c r="CS79" s="399">
        <v>25.935927725842078</v>
      </c>
      <c r="CT79" s="399">
        <v>139.04318596064581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0</v>
      </c>
      <c r="DA79" s="399">
        <v>0</v>
      </c>
      <c r="DB79" s="399">
        <v>0</v>
      </c>
      <c r="DC79" s="399">
        <v>849.47148148759152</v>
      </c>
      <c r="DD79" s="399">
        <v>0</v>
      </c>
      <c r="DE79" s="399">
        <v>0</v>
      </c>
      <c r="DF79" s="399">
        <v>0</v>
      </c>
      <c r="DG79" s="399">
        <v>34.73591416263514</v>
      </c>
      <c r="DH79" s="399">
        <v>0</v>
      </c>
      <c r="DI79" s="399">
        <v>-730.34545534437439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-109.43548513553719</v>
      </c>
      <c r="DP79" s="399">
        <v>-8.3504938184903352</v>
      </c>
      <c r="DQ79" s="399">
        <v>0</v>
      </c>
      <c r="DR79" s="399">
        <v>0</v>
      </c>
      <c r="DS79" s="399"/>
      <c r="DT79" s="399"/>
      <c r="DU79" s="399">
        <v>5837.3454281401446</v>
      </c>
      <c r="DV79" s="399">
        <v>0</v>
      </c>
      <c r="DW79" s="399">
        <v>0</v>
      </c>
      <c r="DX79" s="399">
        <v>0</v>
      </c>
      <c r="DY79" s="399">
        <v>-2453.7997499999983</v>
      </c>
      <c r="DZ79" s="399">
        <v>849.55349999999817</v>
      </c>
      <c r="EA79" s="399">
        <v>0</v>
      </c>
      <c r="EB79" s="399">
        <v>0</v>
      </c>
      <c r="EC79" s="399">
        <v>-1804.9126054180488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4035.916680344129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230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956</v>
      </c>
      <c r="C80" s="399" t="s">
        <v>2336</v>
      </c>
      <c r="D80" s="399" t="s">
        <v>533</v>
      </c>
      <c r="E80" s="399" t="s">
        <v>921</v>
      </c>
      <c r="F80" s="399" t="s">
        <v>2345</v>
      </c>
      <c r="G80" s="399" t="s">
        <v>1239</v>
      </c>
      <c r="H80" s="399" t="s">
        <v>1239</v>
      </c>
      <c r="I80" s="399" t="s">
        <v>1239</v>
      </c>
      <c r="J80" s="399" t="s">
        <v>2329</v>
      </c>
      <c r="K80" s="789">
        <v>44470</v>
      </c>
      <c r="L80" s="399">
        <v>0</v>
      </c>
      <c r="M80" s="399">
        <v>0</v>
      </c>
      <c r="N80" s="399">
        <v>0</v>
      </c>
      <c r="O80" s="399">
        <v>0</v>
      </c>
      <c r="P80" s="399">
        <v>0</v>
      </c>
      <c r="Q80" s="399">
        <v>0</v>
      </c>
      <c r="R80" s="399"/>
      <c r="S80" s="399"/>
      <c r="T80" s="399"/>
      <c r="U80" s="399"/>
      <c r="V80" s="399"/>
      <c r="W80" s="399"/>
      <c r="X80" s="399"/>
      <c r="Y80" s="399"/>
      <c r="Z80" s="399"/>
      <c r="AA80" s="399">
        <v>0</v>
      </c>
      <c r="AB80" s="399"/>
      <c r="AC80" s="399"/>
      <c r="AD80" s="399"/>
      <c r="AE80" s="399"/>
      <c r="AF80" s="399"/>
      <c r="AG80" s="399"/>
      <c r="AH80" s="399"/>
      <c r="AI80" s="399"/>
      <c r="AJ80" s="399"/>
      <c r="AK80" s="399"/>
      <c r="AL80" s="399"/>
      <c r="AM80" s="399"/>
      <c r="AN80" s="399"/>
      <c r="AO80" s="399"/>
      <c r="AP80" s="399"/>
      <c r="AQ80" s="399"/>
      <c r="AR80" s="399"/>
      <c r="AS80" s="399"/>
      <c r="AT80" s="399"/>
      <c r="AU80" s="399"/>
      <c r="AV80" s="399"/>
      <c r="AW80" s="399"/>
      <c r="AX80" s="399"/>
      <c r="AY80" s="399"/>
      <c r="AZ80" s="399">
        <v>0</v>
      </c>
      <c r="BA80" s="399"/>
      <c r="BB80" s="399"/>
      <c r="BC80" s="399"/>
      <c r="BD80" s="399"/>
      <c r="BE80" s="399"/>
      <c r="BF80" s="399"/>
      <c r="BG80" s="399"/>
      <c r="BH80" s="399"/>
      <c r="BI80" s="399">
        <v>0</v>
      </c>
      <c r="BJ80" s="399">
        <v>0</v>
      </c>
      <c r="BK80" s="399">
        <v>25835.31</v>
      </c>
      <c r="BL80" s="399">
        <v>2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/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/>
      <c r="CJ80" s="399">
        <v>-0.03</v>
      </c>
      <c r="CK80" s="399"/>
      <c r="CL80" s="399"/>
      <c r="CM80" s="399"/>
      <c r="CN80" s="399"/>
      <c r="CO80" s="399">
        <v>0</v>
      </c>
      <c r="CP80" s="399">
        <v>0</v>
      </c>
      <c r="CQ80" s="399">
        <v>31</v>
      </c>
      <c r="CR80" s="399"/>
      <c r="CS80" s="399"/>
      <c r="CT80" s="399"/>
      <c r="CU80" s="399"/>
      <c r="CV80" s="399"/>
      <c r="CW80" s="399"/>
      <c r="CX80" s="399"/>
      <c r="CY80" s="399"/>
      <c r="CZ80" s="399"/>
      <c r="DA80" s="399"/>
      <c r="DB80" s="399"/>
      <c r="DC80" s="399"/>
      <c r="DD80" s="399"/>
      <c r="DE80" s="399"/>
      <c r="DF80" s="399"/>
      <c r="DG80" s="399"/>
      <c r="DH80" s="399"/>
      <c r="DI80" s="399"/>
      <c r="DJ80" s="399"/>
      <c r="DK80" s="399">
        <v>0</v>
      </c>
      <c r="DL80" s="399"/>
      <c r="DM80" s="399"/>
      <c r="DN80" s="399"/>
      <c r="DO80" s="399"/>
      <c r="DP80" s="399"/>
      <c r="DQ80" s="399"/>
      <c r="DR80" s="399"/>
      <c r="DS80" s="399"/>
      <c r="DT80" s="399"/>
      <c r="DU80" s="399"/>
      <c r="DV80" s="399"/>
      <c r="DW80" s="399"/>
      <c r="DX80" s="399"/>
      <c r="DY80" s="399"/>
      <c r="DZ80" s="399"/>
      <c r="EA80" s="399"/>
      <c r="EB80" s="399"/>
      <c r="EC80" s="399"/>
      <c r="ED80" s="399"/>
      <c r="EE80" s="399"/>
      <c r="EF80" s="399"/>
      <c r="EG80" s="399"/>
      <c r="EH80" s="399"/>
      <c r="EI80" s="399"/>
      <c r="EJ80" s="399"/>
      <c r="EK80" s="399"/>
      <c r="EL80" s="399"/>
      <c r="EM80" s="399"/>
      <c r="EN80" s="399"/>
      <c r="EO80" s="399"/>
      <c r="EP80" s="399"/>
      <c r="EQ80" s="399"/>
      <c r="ER80" s="399"/>
      <c r="ES80" s="399"/>
      <c r="ET80" s="399"/>
      <c r="EU80" s="399"/>
      <c r="EV80" s="399">
        <v>230</v>
      </c>
      <c r="EW80" s="399"/>
      <c r="EX80" s="399"/>
      <c r="EY80" s="399"/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956</v>
      </c>
      <c r="C81" s="399" t="s">
        <v>2328</v>
      </c>
      <c r="D81" s="399" t="s">
        <v>1826</v>
      </c>
      <c r="E81" s="399" t="s">
        <v>2346</v>
      </c>
      <c r="F81" s="399" t="s">
        <v>1239</v>
      </c>
      <c r="G81" s="399" t="s">
        <v>1239</v>
      </c>
      <c r="H81" s="399" t="s">
        <v>1239</v>
      </c>
      <c r="I81" s="399" t="s">
        <v>1239</v>
      </c>
      <c r="J81" s="399" t="s">
        <v>2329</v>
      </c>
      <c r="K81" s="789">
        <v>44470</v>
      </c>
      <c r="L81" s="399">
        <v>0</v>
      </c>
      <c r="M81" s="399">
        <v>0</v>
      </c>
      <c r="N81" s="399">
        <v>0.51800000000000002</v>
      </c>
      <c r="O81" s="399">
        <v>0.51800000000000002</v>
      </c>
      <c r="P81" s="399">
        <v>0.51800000000000002</v>
      </c>
      <c r="Q81" s="399">
        <v>0.51800000000000002</v>
      </c>
      <c r="R81" s="399"/>
      <c r="S81" s="399">
        <v>333.61</v>
      </c>
      <c r="T81" s="399">
        <v>128.11000000000001</v>
      </c>
      <c r="U81" s="399"/>
      <c r="V81" s="399">
        <v>239.17096000000004</v>
      </c>
      <c r="W81" s="399">
        <v>239.17096000000004</v>
      </c>
      <c r="X81" s="399">
        <v>208.76954000000001</v>
      </c>
      <c r="Y81" s="399">
        <v>0</v>
      </c>
      <c r="Z81" s="399">
        <v>31.709914132261773</v>
      </c>
      <c r="AA81" s="399">
        <v>0</v>
      </c>
      <c r="AB81" s="399">
        <v>0</v>
      </c>
      <c r="AC81" s="399">
        <v>0</v>
      </c>
      <c r="AD81" s="399">
        <v>0</v>
      </c>
      <c r="AE81" s="399">
        <v>100.74903070091828</v>
      </c>
      <c r="AF81" s="399">
        <v>66.361522048244794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4.8970945140125135</v>
      </c>
      <c r="AM81" s="399"/>
      <c r="AN81" s="399">
        <v>0.44568093544493487</v>
      </c>
      <c r="AO81" s="399">
        <v>1.8005784472398247</v>
      </c>
      <c r="AP81" s="399">
        <v>9.605085231358105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7.028416093548751</v>
      </c>
      <c r="BH81" s="399">
        <v>0</v>
      </c>
      <c r="BI81" s="399">
        <v>0</v>
      </c>
      <c r="BJ81" s="399">
        <v>0</v>
      </c>
      <c r="BK81" s="399">
        <v>30.17</v>
      </c>
      <c r="BL81" s="399">
        <v>2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73.38993814179355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209.57560000000001</v>
      </c>
      <c r="CJ81" s="399">
        <v>-29.625360000000001</v>
      </c>
      <c r="CK81" s="399"/>
      <c r="CL81" s="399"/>
      <c r="CM81" s="399"/>
      <c r="CN81" s="399"/>
      <c r="CO81" s="399">
        <v>-33.436900000000009</v>
      </c>
      <c r="CP81" s="399">
        <v>3.0354799999999926</v>
      </c>
      <c r="CQ81" s="399">
        <v>31</v>
      </c>
      <c r="CR81" s="399">
        <v>0.74649855170170554</v>
      </c>
      <c r="CS81" s="399">
        <v>0.13143468247561851</v>
      </c>
      <c r="CT81" s="399">
        <v>0.70113097791996459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0</v>
      </c>
      <c r="DA81" s="399">
        <v>0</v>
      </c>
      <c r="DB81" s="399">
        <v>0</v>
      </c>
      <c r="DC81" s="399">
        <v>3.0351869454083129</v>
      </c>
      <c r="DD81" s="399">
        <v>0</v>
      </c>
      <c r="DE81" s="399">
        <v>0</v>
      </c>
      <c r="DF81" s="399">
        <v>0</v>
      </c>
      <c r="DG81" s="399">
        <v>0.32145972719739735</v>
      </c>
      <c r="DH81" s="399">
        <v>0</v>
      </c>
      <c r="DI81" s="399">
        <v>-2.9994782760276095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-0.39101625314853106</v>
      </c>
      <c r="DP81" s="399">
        <v>-5.221925212345091E-2</v>
      </c>
      <c r="DQ81" s="399">
        <v>0</v>
      </c>
      <c r="DR81" s="399">
        <v>0</v>
      </c>
      <c r="DS81" s="399"/>
      <c r="DT81" s="399"/>
      <c r="DU81" s="399"/>
      <c r="DV81" s="399">
        <v>100.74903070091828</v>
      </c>
      <c r="DW81" s="399">
        <v>0</v>
      </c>
      <c r="DX81" s="399">
        <v>0</v>
      </c>
      <c r="DY81" s="399">
        <v>-33.436900000000009</v>
      </c>
      <c r="DZ81" s="399">
        <v>3.0354799999999926</v>
      </c>
      <c r="EA81" s="399">
        <v>0</v>
      </c>
      <c r="EB81" s="399">
        <v>0</v>
      </c>
      <c r="EC81" s="399">
        <v>-31.151693476819801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16.575230691127974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230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956</v>
      </c>
      <c r="C82" s="399" t="s">
        <v>2337</v>
      </c>
      <c r="D82" s="399" t="s">
        <v>533</v>
      </c>
      <c r="E82" s="399" t="s">
        <v>2346</v>
      </c>
      <c r="F82" s="399" t="s">
        <v>1239</v>
      </c>
      <c r="G82" s="399" t="s">
        <v>1239</v>
      </c>
      <c r="H82" s="399" t="s">
        <v>1239</v>
      </c>
      <c r="I82" s="399" t="s">
        <v>893</v>
      </c>
      <c r="J82" s="399" t="s">
        <v>2329</v>
      </c>
      <c r="K82" s="789">
        <v>44470</v>
      </c>
      <c r="L82" s="399">
        <v>0</v>
      </c>
      <c r="M82" s="399">
        <v>0</v>
      </c>
      <c r="N82" s="399">
        <v>1.0249999999999999</v>
      </c>
      <c r="O82" s="399">
        <v>1.0249999999999999</v>
      </c>
      <c r="P82" s="399">
        <v>1.0249999999999999</v>
      </c>
      <c r="Q82" s="399">
        <v>1.0249999999999999</v>
      </c>
      <c r="R82" s="399"/>
      <c r="S82" s="399">
        <v>1351.49</v>
      </c>
      <c r="T82" s="399">
        <v>128.11000000000001</v>
      </c>
      <c r="U82" s="399"/>
      <c r="V82" s="399">
        <v>1516.59</v>
      </c>
      <c r="W82" s="399">
        <v>1516.59</v>
      </c>
      <c r="X82" s="399">
        <v>1170.45775</v>
      </c>
      <c r="Y82" s="399">
        <v>0</v>
      </c>
      <c r="Z82" s="399">
        <v>54.589412987344502</v>
      </c>
      <c r="AA82" s="399">
        <v>0</v>
      </c>
      <c r="AB82" s="399">
        <v>0</v>
      </c>
      <c r="AC82" s="399">
        <v>0</v>
      </c>
      <c r="AD82" s="399">
        <v>0</v>
      </c>
      <c r="AE82" s="399">
        <v>1152.0432467152425</v>
      </c>
      <c r="AF82" s="399">
        <v>131.31382258581255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9.6901966734803597</v>
      </c>
      <c r="AM82" s="399"/>
      <c r="AN82" s="399">
        <v>0.50389066900943724</v>
      </c>
      <c r="AO82" s="399">
        <v>21.29184234051586</v>
      </c>
      <c r="AP82" s="399">
        <v>113.25437944257067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5.369580697071707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136.68340328288426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1176.1673000000001</v>
      </c>
      <c r="CJ82" s="399">
        <v>-340.45269999999982</v>
      </c>
      <c r="CK82" s="399"/>
      <c r="CL82" s="399"/>
      <c r="CM82" s="399"/>
      <c r="CN82" s="399"/>
      <c r="CO82" s="399">
        <v>-352.1387499999999</v>
      </c>
      <c r="CP82" s="399">
        <v>6.006499999999984</v>
      </c>
      <c r="CQ82" s="399">
        <v>31</v>
      </c>
      <c r="CR82" s="399">
        <v>10.076374163535093</v>
      </c>
      <c r="CS82" s="399">
        <v>1.5542152810039838</v>
      </c>
      <c r="CT82" s="399">
        <v>8.2670951792331664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6.0059201139836489</v>
      </c>
      <c r="DD82" s="399">
        <v>0</v>
      </c>
      <c r="DE82" s="399">
        <v>0</v>
      </c>
      <c r="DF82" s="399">
        <v>0</v>
      </c>
      <c r="DG82" s="399">
        <v>0.24558932241214748</v>
      </c>
      <c r="DH82" s="399">
        <v>0</v>
      </c>
      <c r="DI82" s="399">
        <v>-5.1636771286634513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-0.77372907234989263</v>
      </c>
      <c r="DP82" s="399">
        <v>-5.9039532084515178E-2</v>
      </c>
      <c r="DQ82" s="399">
        <v>0</v>
      </c>
      <c r="DR82" s="399">
        <v>0</v>
      </c>
      <c r="DS82" s="399"/>
      <c r="DT82" s="399"/>
      <c r="DU82" s="399"/>
      <c r="DV82" s="399">
        <v>1152.0432467152425</v>
      </c>
      <c r="DW82" s="399">
        <v>0</v>
      </c>
      <c r="DX82" s="399">
        <v>0</v>
      </c>
      <c r="DY82" s="399">
        <v>-352.13874999999985</v>
      </c>
      <c r="DZ82" s="399">
        <v>6.0064999999999884</v>
      </c>
      <c r="EA82" s="399">
        <v>0</v>
      </c>
      <c r="EB82" s="399">
        <v>0</v>
      </c>
      <c r="EC82" s="399">
        <v>-356.21283742421349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28.534675615469787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230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81</v>
      </c>
      <c r="B83" s="399" t="s">
        <v>956</v>
      </c>
      <c r="C83" s="399" t="s">
        <v>2337</v>
      </c>
      <c r="D83" s="399" t="s">
        <v>533</v>
      </c>
      <c r="E83" s="399" t="s">
        <v>2346</v>
      </c>
      <c r="F83" s="399" t="s">
        <v>1239</v>
      </c>
      <c r="G83" s="399" t="s">
        <v>1239</v>
      </c>
      <c r="H83" s="399" t="s">
        <v>1239</v>
      </c>
      <c r="I83" s="399" t="s">
        <v>2326</v>
      </c>
      <c r="J83" s="399" t="s">
        <v>2329</v>
      </c>
      <c r="K83" s="789">
        <v>44470</v>
      </c>
      <c r="L83" s="399">
        <v>0</v>
      </c>
      <c r="M83" s="399">
        <v>0</v>
      </c>
      <c r="N83" s="399">
        <v>12.083</v>
      </c>
      <c r="O83" s="399">
        <v>12.083</v>
      </c>
      <c r="P83" s="399">
        <v>12.083</v>
      </c>
      <c r="Q83" s="399">
        <v>12.083</v>
      </c>
      <c r="R83" s="399"/>
      <c r="S83" s="399">
        <v>96.28</v>
      </c>
      <c r="T83" s="399">
        <v>128.11000000000001</v>
      </c>
      <c r="U83" s="399"/>
      <c r="V83" s="399">
        <v>2711.3043699999998</v>
      </c>
      <c r="W83" s="399">
        <v>2711.3043699999998</v>
      </c>
      <c r="X83" s="399">
        <v>2714.3251200000004</v>
      </c>
      <c r="Y83" s="399">
        <v>0</v>
      </c>
      <c r="Z83" s="399">
        <v>643.51597768398403</v>
      </c>
      <c r="AA83" s="399">
        <v>0</v>
      </c>
      <c r="AB83" s="399">
        <v>0</v>
      </c>
      <c r="AC83" s="399">
        <v>0</v>
      </c>
      <c r="AD83" s="399">
        <v>0</v>
      </c>
      <c r="AE83" s="399">
        <v>0</v>
      </c>
      <c r="AF83" s="399">
        <v>1547.9657739554862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114.23087454211043</v>
      </c>
      <c r="AM83" s="399"/>
      <c r="AN83" s="399">
        <v>5.9400106864790549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63.298188841675561</v>
      </c>
      <c r="BH83" s="399">
        <v>0</v>
      </c>
      <c r="BI83" s="399">
        <v>0</v>
      </c>
      <c r="BJ83" s="399">
        <v>0</v>
      </c>
      <c r="BK83" s="399">
        <v>0</v>
      </c>
      <c r="BL83" s="399">
        <v>0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1611.2639627971616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2713.6512000000002</v>
      </c>
      <c r="CJ83" s="399">
        <v>2.3168299999997544</v>
      </c>
      <c r="CK83" s="399"/>
      <c r="CL83" s="399"/>
      <c r="CM83" s="399"/>
      <c r="CN83" s="399"/>
      <c r="CO83" s="399">
        <v>-67.785629999999998</v>
      </c>
      <c r="CP83" s="399">
        <v>70.80637999999982</v>
      </c>
      <c r="CQ83" s="399">
        <v>31</v>
      </c>
      <c r="CR83" s="399">
        <v>3.0067655872671821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0</v>
      </c>
      <c r="DA83" s="399">
        <v>0</v>
      </c>
      <c r="DB83" s="399">
        <v>0</v>
      </c>
      <c r="DC83" s="399">
        <v>70.79954413391647</v>
      </c>
      <c r="DD83" s="399">
        <v>0</v>
      </c>
      <c r="DE83" s="399">
        <v>0</v>
      </c>
      <c r="DF83" s="399">
        <v>0</v>
      </c>
      <c r="DG83" s="399">
        <v>2.895078812396072</v>
      </c>
      <c r="DH83" s="399">
        <v>0</v>
      </c>
      <c r="DI83" s="399">
        <v>-60.870937312819933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-9.1209447621499891</v>
      </c>
      <c r="DP83" s="399">
        <v>-0.69597528407531417</v>
      </c>
      <c r="DQ83" s="399">
        <v>0</v>
      </c>
      <c r="DR83" s="399">
        <v>0</v>
      </c>
      <c r="DS83" s="399"/>
      <c r="DT83" s="399"/>
      <c r="DU83" s="399"/>
      <c r="DV83" s="399">
        <v>0</v>
      </c>
      <c r="DW83" s="399">
        <v>0</v>
      </c>
      <c r="DX83" s="399">
        <v>0</v>
      </c>
      <c r="DY83" s="399">
        <v>-67.785629999999855</v>
      </c>
      <c r="DZ83" s="399">
        <v>70.80637999999999</v>
      </c>
      <c r="EA83" s="399">
        <v>0</v>
      </c>
      <c r="EB83" s="399">
        <v>0</v>
      </c>
      <c r="EC83" s="399">
        <v>0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336.37510776753311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230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82</v>
      </c>
      <c r="B84" s="399" t="s">
        <v>956</v>
      </c>
      <c r="C84" s="399" t="s">
        <v>2337</v>
      </c>
      <c r="D84" s="399" t="s">
        <v>533</v>
      </c>
      <c r="E84" s="399" t="s">
        <v>2346</v>
      </c>
      <c r="F84" s="399" t="s">
        <v>1239</v>
      </c>
      <c r="G84" s="399" t="s">
        <v>1239</v>
      </c>
      <c r="H84" s="399" t="s">
        <v>1239</v>
      </c>
      <c r="I84" s="399" t="s">
        <v>1239</v>
      </c>
      <c r="J84" s="399" t="s">
        <v>2329</v>
      </c>
      <c r="K84" s="789">
        <v>44470</v>
      </c>
      <c r="L84" s="399">
        <v>95</v>
      </c>
      <c r="M84" s="399">
        <v>95</v>
      </c>
      <c r="N84" s="399">
        <v>0</v>
      </c>
      <c r="O84" s="399">
        <v>0</v>
      </c>
      <c r="P84" s="399">
        <v>0</v>
      </c>
      <c r="Q84" s="399">
        <v>0</v>
      </c>
      <c r="R84" s="399">
        <v>18.12</v>
      </c>
      <c r="S84" s="399"/>
      <c r="T84" s="399"/>
      <c r="U84" s="399">
        <v>1721.4</v>
      </c>
      <c r="V84" s="399"/>
      <c r="W84" s="399">
        <v>1721.4</v>
      </c>
      <c r="X84" s="399">
        <v>1372.75</v>
      </c>
      <c r="Y84" s="399">
        <v>0</v>
      </c>
      <c r="Z84" s="399">
        <v>0</v>
      </c>
      <c r="AA84" s="399">
        <v>0</v>
      </c>
      <c r="AB84" s="399">
        <v>0</v>
      </c>
      <c r="AC84" s="399">
        <v>0</v>
      </c>
      <c r="AD84" s="399">
        <v>0</v>
      </c>
      <c r="AE84" s="399">
        <v>1240.5991402087554</v>
      </c>
      <c r="AF84" s="399"/>
      <c r="AG84" s="399"/>
      <c r="AH84" s="399"/>
      <c r="AI84" s="399">
        <v>0</v>
      </c>
      <c r="AJ84" s="399">
        <v>0</v>
      </c>
      <c r="AK84" s="399">
        <v>0</v>
      </c>
      <c r="AL84" s="399">
        <v>0</v>
      </c>
      <c r="AM84" s="399"/>
      <c r="AN84" s="399">
        <v>0</v>
      </c>
      <c r="AO84" s="399">
        <v>75.512689137147717</v>
      </c>
      <c r="AP84" s="399">
        <v>404.82549878573383</v>
      </c>
      <c r="AQ84" s="399">
        <v>0</v>
      </c>
      <c r="AR84" s="399">
        <v>0</v>
      </c>
      <c r="AS84" s="399"/>
      <c r="AT84" s="399"/>
      <c r="AU84" s="399">
        <v>0</v>
      </c>
      <c r="AV84" s="399">
        <v>0</v>
      </c>
      <c r="AW84" s="399">
        <v>0</v>
      </c>
      <c r="AX84" s="399"/>
      <c r="AY84" s="399"/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/>
      <c r="BG84" s="399">
        <v>0</v>
      </c>
      <c r="BH84" s="399">
        <v>0</v>
      </c>
      <c r="BI84" s="399">
        <v>0</v>
      </c>
      <c r="BJ84" s="399">
        <v>0</v>
      </c>
      <c r="BK84" s="399">
        <v>0</v>
      </c>
      <c r="BL84" s="399">
        <v>1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>
        <v>0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1372.75</v>
      </c>
      <c r="CJ84" s="399">
        <v>-348.68000000000006</v>
      </c>
      <c r="CK84" s="399"/>
      <c r="CL84" s="399"/>
      <c r="CM84" s="399"/>
      <c r="CN84" s="399"/>
      <c r="CO84" s="399">
        <v>-348.65000000000015</v>
      </c>
      <c r="CP84" s="399">
        <v>0</v>
      </c>
      <c r="CQ84" s="399">
        <v>31</v>
      </c>
      <c r="CR84" s="399">
        <v>35.062675168269209</v>
      </c>
      <c r="CS84" s="399">
        <v>5.5121099193624161</v>
      </c>
      <c r="CT84" s="399">
        <v>29.550565248906821</v>
      </c>
      <c r="CU84" s="399">
        <v>0</v>
      </c>
      <c r="CV84" s="399">
        <v>0</v>
      </c>
      <c r="CW84" s="399"/>
      <c r="CX84" s="399"/>
      <c r="CY84" s="399"/>
      <c r="CZ84" s="399">
        <v>0</v>
      </c>
      <c r="DA84" s="399">
        <v>0</v>
      </c>
      <c r="DB84" s="399">
        <v>0</v>
      </c>
      <c r="DC84" s="399"/>
      <c r="DD84" s="399"/>
      <c r="DE84" s="399">
        <v>0</v>
      </c>
      <c r="DF84" s="399">
        <v>0</v>
      </c>
      <c r="DG84" s="399">
        <v>0</v>
      </c>
      <c r="DH84" s="399">
        <v>0</v>
      </c>
      <c r="DI84" s="399">
        <v>0</v>
      </c>
      <c r="DJ84" s="399"/>
      <c r="DK84" s="399">
        <v>0</v>
      </c>
      <c r="DL84" s="399">
        <v>0</v>
      </c>
      <c r="DM84" s="399"/>
      <c r="DN84" s="399">
        <v>0</v>
      </c>
      <c r="DO84" s="399">
        <v>0</v>
      </c>
      <c r="DP84" s="399">
        <v>0</v>
      </c>
      <c r="DQ84" s="399">
        <v>0</v>
      </c>
      <c r="DR84" s="399">
        <v>0</v>
      </c>
      <c r="DS84" s="399"/>
      <c r="DT84" s="399"/>
      <c r="DU84" s="399">
        <v>1240.5991402087554</v>
      </c>
      <c r="DV84" s="399"/>
      <c r="DW84" s="399">
        <v>0</v>
      </c>
      <c r="DX84" s="399">
        <v>0</v>
      </c>
      <c r="DY84" s="399">
        <v>-348.65000000000009</v>
      </c>
      <c r="DZ84" s="399"/>
      <c r="EA84" s="399">
        <v>0</v>
      </c>
      <c r="EB84" s="399"/>
      <c r="EC84" s="399">
        <v>-383.59440159891403</v>
      </c>
      <c r="ED84" s="399"/>
      <c r="EE84" s="399">
        <v>0</v>
      </c>
      <c r="EF84" s="399">
        <v>0</v>
      </c>
      <c r="EG84" s="399"/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/>
      <c r="EN84" s="399"/>
      <c r="EO84" s="399">
        <v>0</v>
      </c>
      <c r="EP84" s="399">
        <v>0</v>
      </c>
      <c r="EQ84" s="399"/>
      <c r="ER84" s="399">
        <v>0</v>
      </c>
      <c r="ES84" s="399"/>
      <c r="ET84" s="399">
        <v>0</v>
      </c>
      <c r="EU84" s="399"/>
      <c r="EV84" s="399">
        <v>230</v>
      </c>
      <c r="EW84" s="399"/>
      <c r="EX84" s="399"/>
      <c r="EY84" s="399"/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83</v>
      </c>
      <c r="B85" s="399" t="s">
        <v>956</v>
      </c>
      <c r="C85" s="399" t="s">
        <v>2328</v>
      </c>
      <c r="D85" s="399" t="s">
        <v>2340</v>
      </c>
      <c r="E85" s="399" t="s">
        <v>894</v>
      </c>
      <c r="F85" s="399" t="s">
        <v>2347</v>
      </c>
      <c r="G85" s="399" t="s">
        <v>2348</v>
      </c>
      <c r="H85" s="399" t="s">
        <v>1239</v>
      </c>
      <c r="I85" s="399" t="s">
        <v>1239</v>
      </c>
      <c r="J85" s="399" t="s">
        <v>2329</v>
      </c>
      <c r="K85" s="789">
        <v>44470</v>
      </c>
      <c r="L85" s="399">
        <v>0</v>
      </c>
      <c r="M85" s="399">
        <v>0</v>
      </c>
      <c r="N85" s="399">
        <v>0</v>
      </c>
      <c r="O85" s="399">
        <v>0</v>
      </c>
      <c r="P85" s="399">
        <v>0</v>
      </c>
      <c r="Q85" s="399">
        <v>0</v>
      </c>
      <c r="R85" s="399"/>
      <c r="S85" s="399"/>
      <c r="T85" s="399"/>
      <c r="U85" s="399"/>
      <c r="V85" s="399"/>
      <c r="W85" s="399"/>
      <c r="X85" s="399"/>
      <c r="Y85" s="399"/>
      <c r="Z85" s="399"/>
      <c r="AA85" s="399">
        <v>0</v>
      </c>
      <c r="AB85" s="399"/>
      <c r="AC85" s="399"/>
      <c r="AD85" s="399"/>
      <c r="AE85" s="399"/>
      <c r="AF85" s="399"/>
      <c r="AG85" s="399"/>
      <c r="AH85" s="399"/>
      <c r="AI85" s="399"/>
      <c r="AJ85" s="399"/>
      <c r="AK85" s="399"/>
      <c r="AL85" s="399"/>
      <c r="AM85" s="399"/>
      <c r="AN85" s="399"/>
      <c r="AO85" s="399"/>
      <c r="AP85" s="399"/>
      <c r="AQ85" s="399"/>
      <c r="AR85" s="399"/>
      <c r="AS85" s="399"/>
      <c r="AT85" s="399"/>
      <c r="AU85" s="399"/>
      <c r="AV85" s="399"/>
      <c r="AW85" s="399"/>
      <c r="AX85" s="399"/>
      <c r="AY85" s="399"/>
      <c r="AZ85" s="399">
        <v>0</v>
      </c>
      <c r="BA85" s="399"/>
      <c r="BB85" s="399"/>
      <c r="BC85" s="399"/>
      <c r="BD85" s="399"/>
      <c r="BE85" s="399"/>
      <c r="BF85" s="399"/>
      <c r="BG85" s="399"/>
      <c r="BH85" s="399"/>
      <c r="BI85" s="399">
        <v>0</v>
      </c>
      <c r="BJ85" s="399">
        <v>0</v>
      </c>
      <c r="BK85" s="399">
        <v>24171.05</v>
      </c>
      <c r="BL85" s="399">
        <v>155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/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/>
      <c r="CJ85" s="399">
        <v>-0.03</v>
      </c>
      <c r="CK85" s="399"/>
      <c r="CL85" s="399"/>
      <c r="CM85" s="399"/>
      <c r="CN85" s="399"/>
      <c r="CO85" s="399">
        <v>0</v>
      </c>
      <c r="CP85" s="399">
        <v>0</v>
      </c>
      <c r="CQ85" s="399">
        <v>31</v>
      </c>
      <c r="CR85" s="399"/>
      <c r="CS85" s="399"/>
      <c r="CT85" s="399"/>
      <c r="CU85" s="399"/>
      <c r="CV85" s="399"/>
      <c r="CW85" s="399"/>
      <c r="CX85" s="399"/>
      <c r="CY85" s="399"/>
      <c r="CZ85" s="399"/>
      <c r="DA85" s="399"/>
      <c r="DB85" s="399"/>
      <c r="DC85" s="399"/>
      <c r="DD85" s="399"/>
      <c r="DE85" s="399"/>
      <c r="DF85" s="399"/>
      <c r="DG85" s="399"/>
      <c r="DH85" s="399"/>
      <c r="DI85" s="399"/>
      <c r="DJ85" s="399"/>
      <c r="DK85" s="399">
        <v>0</v>
      </c>
      <c r="DL85" s="399"/>
      <c r="DM85" s="399"/>
      <c r="DN85" s="399"/>
      <c r="DO85" s="399"/>
      <c r="DP85" s="399"/>
      <c r="DQ85" s="399"/>
      <c r="DR85" s="399"/>
      <c r="DS85" s="399"/>
      <c r="DT85" s="399"/>
      <c r="DU85" s="399"/>
      <c r="DV85" s="399"/>
      <c r="DW85" s="399"/>
      <c r="DX85" s="399"/>
      <c r="DY85" s="399"/>
      <c r="DZ85" s="399"/>
      <c r="EA85" s="399"/>
      <c r="EB85" s="399"/>
      <c r="EC85" s="399"/>
      <c r="ED85" s="399"/>
      <c r="EE85" s="399"/>
      <c r="EF85" s="399"/>
      <c r="EG85" s="399"/>
      <c r="EH85" s="399"/>
      <c r="EI85" s="399"/>
      <c r="EJ85" s="399"/>
      <c r="EK85" s="399"/>
      <c r="EL85" s="399"/>
      <c r="EM85" s="399"/>
      <c r="EN85" s="399"/>
      <c r="EO85" s="399"/>
      <c r="EP85" s="399"/>
      <c r="EQ85" s="399"/>
      <c r="ER85" s="399"/>
      <c r="ES85" s="399"/>
      <c r="ET85" s="399"/>
      <c r="EU85" s="399"/>
      <c r="EV85" s="399">
        <v>230</v>
      </c>
      <c r="EW85" s="399"/>
      <c r="EX85" s="399"/>
      <c r="EY85" s="399"/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84</v>
      </c>
      <c r="B86" s="399" t="s">
        <v>956</v>
      </c>
      <c r="C86" s="399" t="s">
        <v>2328</v>
      </c>
      <c r="D86" s="399" t="s">
        <v>2340</v>
      </c>
      <c r="E86" s="399" t="s">
        <v>894</v>
      </c>
      <c r="F86" s="399" t="s">
        <v>2347</v>
      </c>
      <c r="G86" s="399" t="s">
        <v>2348</v>
      </c>
      <c r="H86" s="399" t="s">
        <v>1239</v>
      </c>
      <c r="I86" s="399" t="s">
        <v>1239</v>
      </c>
      <c r="J86" s="399" t="s">
        <v>2329</v>
      </c>
      <c r="K86" s="789">
        <v>44470</v>
      </c>
      <c r="L86" s="399">
        <v>0</v>
      </c>
      <c r="M86" s="399">
        <v>0</v>
      </c>
      <c r="N86" s="399">
        <v>139.84200000000001</v>
      </c>
      <c r="O86" s="399">
        <v>139.84200000000001</v>
      </c>
      <c r="P86" s="399">
        <v>139.84200000000001</v>
      </c>
      <c r="Q86" s="399">
        <v>139.84200000000001</v>
      </c>
      <c r="R86" s="399"/>
      <c r="S86" s="399">
        <v>333.61</v>
      </c>
      <c r="T86" s="399">
        <v>128.11000000000001</v>
      </c>
      <c r="U86" s="399"/>
      <c r="V86" s="399">
        <v>64567.848240000007</v>
      </c>
      <c r="W86" s="399">
        <v>64567.848240000007</v>
      </c>
      <c r="X86" s="399">
        <v>56360.521260000001</v>
      </c>
      <c r="Y86" s="399">
        <v>0</v>
      </c>
      <c r="Z86" s="399">
        <v>8560.5749268026084</v>
      </c>
      <c r="AA86" s="399">
        <v>0</v>
      </c>
      <c r="AB86" s="399">
        <v>0</v>
      </c>
      <c r="AC86" s="399">
        <v>0</v>
      </c>
      <c r="AD86" s="399">
        <v>0</v>
      </c>
      <c r="AE86" s="399">
        <v>27198.73735767918</v>
      </c>
      <c r="AF86" s="399">
        <v>17915.30495419044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1322.045349475942</v>
      </c>
      <c r="AM86" s="399"/>
      <c r="AN86" s="399">
        <v>120.31836558781967</v>
      </c>
      <c r="AO86" s="399">
        <v>486.09361239172125</v>
      </c>
      <c r="AP86" s="399">
        <v>2593.0392450262166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1897.4281145830976</v>
      </c>
      <c r="BH86" s="399">
        <v>0</v>
      </c>
      <c r="BI86" s="399">
        <v>0</v>
      </c>
      <c r="BJ86" s="399">
        <v>0</v>
      </c>
      <c r="BK86" s="399">
        <v>0</v>
      </c>
      <c r="BL86" s="399">
        <v>0</v>
      </c>
      <c r="BM86" s="399"/>
      <c r="BN86" s="399"/>
      <c r="BO86" s="399"/>
      <c r="BP86" s="399"/>
      <c r="BQ86" s="399"/>
      <c r="BR86" s="399">
        <v>6764.1575400000002</v>
      </c>
      <c r="BS86" s="399"/>
      <c r="BT86" s="399"/>
      <c r="BU86" s="399"/>
      <c r="BV86" s="399">
        <v>19812.733068773538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49595.654399999999</v>
      </c>
      <c r="CJ86" s="399">
        <v>-7224.9770400000125</v>
      </c>
      <c r="CK86" s="399"/>
      <c r="CL86" s="399"/>
      <c r="CM86" s="399"/>
      <c r="CN86" s="399"/>
      <c r="CO86" s="399">
        <v>-9026.8011000000024</v>
      </c>
      <c r="CP86" s="399">
        <v>819.47411999999804</v>
      </c>
      <c r="CQ86" s="399">
        <v>31</v>
      </c>
      <c r="CR86" s="399">
        <v>201.52866885535332</v>
      </c>
      <c r="CS86" s="399">
        <v>35.482797040068419</v>
      </c>
      <c r="CT86" s="399">
        <v>189.28100041367497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0</v>
      </c>
      <c r="DA86" s="399">
        <v>0</v>
      </c>
      <c r="DB86" s="399">
        <v>0</v>
      </c>
      <c r="DC86" s="399">
        <v>819.39500544361363</v>
      </c>
      <c r="DD86" s="399">
        <v>0</v>
      </c>
      <c r="DE86" s="399">
        <v>0</v>
      </c>
      <c r="DF86" s="399">
        <v>0</v>
      </c>
      <c r="DG86" s="399">
        <v>86.782955928066485</v>
      </c>
      <c r="DH86" s="399">
        <v>0</v>
      </c>
      <c r="DI86" s="399">
        <v>-809.75490555261149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-105.5608009127352</v>
      </c>
      <c r="DP86" s="399">
        <v>-14.097383504725144</v>
      </c>
      <c r="DQ86" s="399">
        <v>0</v>
      </c>
      <c r="DR86" s="399">
        <v>0</v>
      </c>
      <c r="DS86" s="399"/>
      <c r="DT86" s="399"/>
      <c r="DU86" s="399"/>
      <c r="DV86" s="399">
        <v>27198.73735767918</v>
      </c>
      <c r="DW86" s="399">
        <v>0</v>
      </c>
      <c r="DX86" s="399">
        <v>0</v>
      </c>
      <c r="DY86" s="399">
        <v>-9026.8011000000042</v>
      </c>
      <c r="DZ86" s="399">
        <v>819.47411999999895</v>
      </c>
      <c r="EA86" s="399">
        <v>0</v>
      </c>
      <c r="EB86" s="399">
        <v>0</v>
      </c>
      <c r="EC86" s="399">
        <v>-8409.8747474622287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4474.7363133372937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230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85</v>
      </c>
      <c r="B87" s="399" t="s">
        <v>956</v>
      </c>
      <c r="C87" s="399" t="s">
        <v>2328</v>
      </c>
      <c r="D87" s="399" t="s">
        <v>2340</v>
      </c>
      <c r="E87" s="399" t="s">
        <v>894</v>
      </c>
      <c r="F87" s="399" t="s">
        <v>2347</v>
      </c>
      <c r="G87" s="399" t="s">
        <v>2349</v>
      </c>
      <c r="H87" s="399" t="s">
        <v>1239</v>
      </c>
      <c r="I87" s="399" t="s">
        <v>1239</v>
      </c>
      <c r="J87" s="399" t="s">
        <v>2329</v>
      </c>
      <c r="K87" s="789">
        <v>44470</v>
      </c>
      <c r="L87" s="399">
        <v>0</v>
      </c>
      <c r="M87" s="399">
        <v>0</v>
      </c>
      <c r="N87" s="399">
        <v>79.552000000000007</v>
      </c>
      <c r="O87" s="399">
        <v>31.820799999999998</v>
      </c>
      <c r="P87" s="399">
        <v>79.552000000000007</v>
      </c>
      <c r="Q87" s="399">
        <v>31.820799999999998</v>
      </c>
      <c r="R87" s="399"/>
      <c r="S87" s="399">
        <v>333.61</v>
      </c>
      <c r="T87" s="399">
        <v>128.11000000000001</v>
      </c>
      <c r="U87" s="399"/>
      <c r="V87" s="399">
        <v>36730.749440000007</v>
      </c>
      <c r="W87" s="399">
        <v>36730.749440000007</v>
      </c>
      <c r="X87" s="399">
        <v>32061.842560000005</v>
      </c>
      <c r="Y87" s="399">
        <v>0</v>
      </c>
      <c r="Z87" s="399">
        <v>4869.8592452696694</v>
      </c>
      <c r="AA87" s="399">
        <v>0</v>
      </c>
      <c r="AB87" s="399">
        <v>0</v>
      </c>
      <c r="AC87" s="399">
        <v>0</v>
      </c>
      <c r="AD87" s="399">
        <v>0</v>
      </c>
      <c r="AE87" s="399">
        <v>15472.561564323267</v>
      </c>
      <c r="AF87" s="399">
        <v>10191.489965216158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752.07270806703377</v>
      </c>
      <c r="AM87" s="399"/>
      <c r="AN87" s="399">
        <v>68.445578719141821</v>
      </c>
      <c r="AO87" s="399">
        <v>276.52435643788135</v>
      </c>
      <c r="AP87" s="399">
        <v>1475.1037458011583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1079.3910368223751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/>
      <c r="BR87" s="399"/>
      <c r="BS87" s="399">
        <v>20776.277632000001</v>
      </c>
      <c r="BT87" s="399"/>
      <c r="BU87" s="399"/>
      <c r="BV87" s="399">
        <v>11270.881002038534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11285.281200000001</v>
      </c>
      <c r="CJ87" s="399">
        <v>-1644.1762559999988</v>
      </c>
      <c r="CK87" s="399"/>
      <c r="CL87" s="399"/>
      <c r="CM87" s="399"/>
      <c r="CN87" s="399"/>
      <c r="CO87" s="399">
        <v>-5135.0816000000013</v>
      </c>
      <c r="CP87" s="399">
        <v>466.17471999999884</v>
      </c>
      <c r="CQ87" s="399">
        <v>31</v>
      </c>
      <c r="CR87" s="399">
        <v>114.64373124512713</v>
      </c>
      <c r="CS87" s="399">
        <v>20.185119421429363</v>
      </c>
      <c r="CT87" s="399">
        <v>107.67639296426455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0</v>
      </c>
      <c r="DA87" s="399">
        <v>0</v>
      </c>
      <c r="DB87" s="399">
        <v>0</v>
      </c>
      <c r="DC87" s="399">
        <v>466.12971405622193</v>
      </c>
      <c r="DD87" s="399">
        <v>0</v>
      </c>
      <c r="DE87" s="399">
        <v>0</v>
      </c>
      <c r="DF87" s="399">
        <v>0</v>
      </c>
      <c r="DG87" s="399">
        <v>49.36827069113383</v>
      </c>
      <c r="DH87" s="399">
        <v>0</v>
      </c>
      <c r="DI87" s="399">
        <v>-460.64574481573072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-60.050434305930366</v>
      </c>
      <c r="DP87" s="399">
        <v>-8.0195867662640339</v>
      </c>
      <c r="DQ87" s="399">
        <v>0</v>
      </c>
      <c r="DR87" s="399">
        <v>0</v>
      </c>
      <c r="DS87" s="399"/>
      <c r="DT87" s="399"/>
      <c r="DU87" s="399"/>
      <c r="DV87" s="399">
        <v>15472.561564323267</v>
      </c>
      <c r="DW87" s="399">
        <v>0</v>
      </c>
      <c r="DX87" s="399">
        <v>0</v>
      </c>
      <c r="DY87" s="399">
        <v>-5135.0816000000013</v>
      </c>
      <c r="DZ87" s="399">
        <v>466.17471999999725</v>
      </c>
      <c r="EA87" s="399">
        <v>0</v>
      </c>
      <c r="EB87" s="399">
        <v>0</v>
      </c>
      <c r="EC87" s="399">
        <v>-4784.1303464632601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2545.5458531672057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230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86</v>
      </c>
      <c r="B88" s="399" t="s">
        <v>956</v>
      </c>
      <c r="C88" s="399" t="s">
        <v>2328</v>
      </c>
      <c r="D88" s="399" t="s">
        <v>2340</v>
      </c>
      <c r="E88" s="399" t="s">
        <v>894</v>
      </c>
      <c r="F88" s="399" t="s">
        <v>2350</v>
      </c>
      <c r="G88" s="399" t="s">
        <v>2348</v>
      </c>
      <c r="H88" s="399" t="s">
        <v>1239</v>
      </c>
      <c r="I88" s="399" t="s">
        <v>1239</v>
      </c>
      <c r="J88" s="399" t="s">
        <v>2329</v>
      </c>
      <c r="K88" s="789">
        <v>44470</v>
      </c>
      <c r="L88" s="399">
        <v>0</v>
      </c>
      <c r="M88" s="399">
        <v>0</v>
      </c>
      <c r="N88" s="399">
        <v>0</v>
      </c>
      <c r="O88" s="399">
        <v>0</v>
      </c>
      <c r="P88" s="399">
        <v>0</v>
      </c>
      <c r="Q88" s="399">
        <v>0</v>
      </c>
      <c r="R88" s="399"/>
      <c r="S88" s="399"/>
      <c r="T88" s="399"/>
      <c r="U88" s="399"/>
      <c r="V88" s="399"/>
      <c r="W88" s="399"/>
      <c r="X88" s="399"/>
      <c r="Y88" s="399"/>
      <c r="Z88" s="399"/>
      <c r="AA88" s="399">
        <v>0</v>
      </c>
      <c r="AB88" s="399"/>
      <c r="AC88" s="399"/>
      <c r="AD88" s="399"/>
      <c r="AE88" s="399"/>
      <c r="AF88" s="399"/>
      <c r="AG88" s="399"/>
      <c r="AH88" s="399"/>
      <c r="AI88" s="399"/>
      <c r="AJ88" s="399"/>
      <c r="AK88" s="399"/>
      <c r="AL88" s="399"/>
      <c r="AM88" s="399"/>
      <c r="AN88" s="399"/>
      <c r="AO88" s="399"/>
      <c r="AP88" s="399"/>
      <c r="AQ88" s="399"/>
      <c r="AR88" s="399"/>
      <c r="AS88" s="399"/>
      <c r="AT88" s="399"/>
      <c r="AU88" s="399"/>
      <c r="AV88" s="399"/>
      <c r="AW88" s="399"/>
      <c r="AX88" s="399"/>
      <c r="AY88" s="399"/>
      <c r="AZ88" s="399">
        <v>0</v>
      </c>
      <c r="BA88" s="399"/>
      <c r="BB88" s="399"/>
      <c r="BC88" s="399"/>
      <c r="BD88" s="399"/>
      <c r="BE88" s="399"/>
      <c r="BF88" s="399"/>
      <c r="BG88" s="399"/>
      <c r="BH88" s="399"/>
      <c r="BI88" s="399">
        <v>0</v>
      </c>
      <c r="BJ88" s="399">
        <v>0</v>
      </c>
      <c r="BK88" s="399">
        <v>5.41</v>
      </c>
      <c r="BL88" s="399">
        <v>1</v>
      </c>
      <c r="BM88" s="399"/>
      <c r="BN88" s="399"/>
      <c r="BO88" s="399"/>
      <c r="BP88" s="399"/>
      <c r="BQ88" s="399"/>
      <c r="BR88" s="399"/>
      <c r="BS88" s="399"/>
      <c r="BT88" s="399"/>
      <c r="BU88" s="399"/>
      <c r="BV88" s="399"/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/>
      <c r="CJ88" s="399">
        <v>-0.03</v>
      </c>
      <c r="CK88" s="399"/>
      <c r="CL88" s="399"/>
      <c r="CM88" s="399"/>
      <c r="CN88" s="399"/>
      <c r="CO88" s="399">
        <v>0</v>
      </c>
      <c r="CP88" s="399">
        <v>0</v>
      </c>
      <c r="CQ88" s="399">
        <v>31</v>
      </c>
      <c r="CR88" s="399"/>
      <c r="CS88" s="399"/>
      <c r="CT88" s="399"/>
      <c r="CU88" s="399"/>
      <c r="CV88" s="399"/>
      <c r="CW88" s="399"/>
      <c r="CX88" s="399"/>
      <c r="CY88" s="399"/>
      <c r="CZ88" s="399"/>
      <c r="DA88" s="399"/>
      <c r="DB88" s="399"/>
      <c r="DC88" s="399"/>
      <c r="DD88" s="399"/>
      <c r="DE88" s="399"/>
      <c r="DF88" s="399"/>
      <c r="DG88" s="399"/>
      <c r="DH88" s="399"/>
      <c r="DI88" s="399"/>
      <c r="DJ88" s="399"/>
      <c r="DK88" s="399">
        <v>0</v>
      </c>
      <c r="DL88" s="399"/>
      <c r="DM88" s="399"/>
      <c r="DN88" s="399"/>
      <c r="DO88" s="399"/>
      <c r="DP88" s="399"/>
      <c r="DQ88" s="399"/>
      <c r="DR88" s="399"/>
      <c r="DS88" s="399"/>
      <c r="DT88" s="399"/>
      <c r="DU88" s="399"/>
      <c r="DV88" s="399"/>
      <c r="DW88" s="399"/>
      <c r="DX88" s="399"/>
      <c r="DY88" s="399"/>
      <c r="DZ88" s="399"/>
      <c r="EA88" s="399"/>
      <c r="EB88" s="399"/>
      <c r="EC88" s="399"/>
      <c r="ED88" s="399"/>
      <c r="EE88" s="399"/>
      <c r="EF88" s="399"/>
      <c r="EG88" s="399"/>
      <c r="EH88" s="399"/>
      <c r="EI88" s="399"/>
      <c r="EJ88" s="399"/>
      <c r="EK88" s="399"/>
      <c r="EL88" s="399"/>
      <c r="EM88" s="399"/>
      <c r="EN88" s="399"/>
      <c r="EO88" s="399"/>
      <c r="EP88" s="399"/>
      <c r="EQ88" s="399"/>
      <c r="ER88" s="399"/>
      <c r="ES88" s="399"/>
      <c r="ET88" s="399"/>
      <c r="EU88" s="399"/>
      <c r="EV88" s="399">
        <v>230</v>
      </c>
      <c r="EW88" s="399"/>
      <c r="EX88" s="399"/>
      <c r="EY88" s="399"/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87</v>
      </c>
      <c r="B89" s="399" t="s">
        <v>956</v>
      </c>
      <c r="C89" s="399" t="s">
        <v>2328</v>
      </c>
      <c r="D89" s="399" t="s">
        <v>2340</v>
      </c>
      <c r="E89" s="399" t="s">
        <v>894</v>
      </c>
      <c r="F89" s="399" t="s">
        <v>2350</v>
      </c>
      <c r="G89" s="399" t="s">
        <v>2348</v>
      </c>
      <c r="H89" s="399" t="s">
        <v>1239</v>
      </c>
      <c r="I89" s="399" t="s">
        <v>1239</v>
      </c>
      <c r="J89" s="399" t="s">
        <v>2329</v>
      </c>
      <c r="K89" s="789">
        <v>44470</v>
      </c>
      <c r="L89" s="399">
        <v>0</v>
      </c>
      <c r="M89" s="399">
        <v>0</v>
      </c>
      <c r="N89" s="399">
        <v>6.7000000000000004E-2</v>
      </c>
      <c r="O89" s="399">
        <v>6.7000000000000004E-2</v>
      </c>
      <c r="P89" s="399">
        <v>6.7000000000000004E-2</v>
      </c>
      <c r="Q89" s="399">
        <v>6.7000000000000004E-2</v>
      </c>
      <c r="R89" s="399"/>
      <c r="S89" s="399">
        <v>333.61</v>
      </c>
      <c r="T89" s="399">
        <v>128.11000000000001</v>
      </c>
      <c r="U89" s="399"/>
      <c r="V89" s="399">
        <v>30.935240000000004</v>
      </c>
      <c r="W89" s="399">
        <v>30.935240000000004</v>
      </c>
      <c r="X89" s="399">
        <v>27.003010000000003</v>
      </c>
      <c r="Y89" s="399">
        <v>0</v>
      </c>
      <c r="Z89" s="399">
        <v>4.1014753800415811</v>
      </c>
      <c r="AA89" s="399">
        <v>0</v>
      </c>
      <c r="AB89" s="399">
        <v>0</v>
      </c>
      <c r="AC89" s="399">
        <v>0</v>
      </c>
      <c r="AD89" s="399">
        <v>0</v>
      </c>
      <c r="AE89" s="399">
        <v>13.031245283709508</v>
      </c>
      <c r="AF89" s="399">
        <v>8.5834401104872615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0.63340797768115531</v>
      </c>
      <c r="AM89" s="399"/>
      <c r="AN89" s="399">
        <v>5.7645989719711653E-2</v>
      </c>
      <c r="AO89" s="399">
        <v>0.23289335128391556</v>
      </c>
      <c r="AP89" s="399">
        <v>1.2423565839787509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0.90908084607676898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>
        <v>3.2407899999999996</v>
      </c>
      <c r="BS89" s="399"/>
      <c r="BT89" s="399"/>
      <c r="BU89" s="399"/>
      <c r="BV89" s="399">
        <v>9.4925209565640305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24.8262</v>
      </c>
      <c r="CJ89" s="399">
        <v>-2.4272400000000047</v>
      </c>
      <c r="CK89" s="399"/>
      <c r="CL89" s="399"/>
      <c r="CM89" s="399"/>
      <c r="CN89" s="399"/>
      <c r="CO89" s="399">
        <v>-4.3248500000000014</v>
      </c>
      <c r="CP89" s="399">
        <v>0.39261999999999903</v>
      </c>
      <c r="CQ89" s="399">
        <v>31</v>
      </c>
      <c r="CR89" s="399">
        <v>9.6554831976863653E-2</v>
      </c>
      <c r="CS89" s="399">
        <v>1.7000238853024041E-2</v>
      </c>
      <c r="CT89" s="399">
        <v>9.068682532941641E-2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0</v>
      </c>
      <c r="DA89" s="399">
        <v>0</v>
      </c>
      <c r="DB89" s="399">
        <v>0</v>
      </c>
      <c r="DC89" s="399">
        <v>0.39258209525551635</v>
      </c>
      <c r="DD89" s="399">
        <v>0</v>
      </c>
      <c r="DE89" s="399">
        <v>0</v>
      </c>
      <c r="DF89" s="399">
        <v>0</v>
      </c>
      <c r="DG89" s="399">
        <v>4.157876780352443E-2</v>
      </c>
      <c r="DH89" s="399">
        <v>0</v>
      </c>
      <c r="DI89" s="399">
        <v>-0.38796340635878357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-5.0575461314578352E-2</v>
      </c>
      <c r="DP89" s="399">
        <v>-6.7542275912571628E-3</v>
      </c>
      <c r="DQ89" s="399">
        <v>0</v>
      </c>
      <c r="DR89" s="399">
        <v>0</v>
      </c>
      <c r="DS89" s="399"/>
      <c r="DT89" s="399"/>
      <c r="DU89" s="399"/>
      <c r="DV89" s="399">
        <v>13.031245283709508</v>
      </c>
      <c r="DW89" s="399">
        <v>0</v>
      </c>
      <c r="DX89" s="399">
        <v>0</v>
      </c>
      <c r="DY89" s="399">
        <v>-4.3248500000000014</v>
      </c>
      <c r="DZ89" s="399">
        <v>0.39261999999999908</v>
      </c>
      <c r="EA89" s="399">
        <v>0</v>
      </c>
      <c r="EB89" s="399">
        <v>0</v>
      </c>
      <c r="EC89" s="399">
        <v>-4.0292730944921349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2.1439004947984062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230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88</v>
      </c>
      <c r="B90" s="399" t="s">
        <v>956</v>
      </c>
      <c r="C90" s="399" t="s">
        <v>2328</v>
      </c>
      <c r="D90" s="399" t="s">
        <v>2340</v>
      </c>
      <c r="E90" s="399" t="s">
        <v>894</v>
      </c>
      <c r="F90" s="399" t="s">
        <v>2350</v>
      </c>
      <c r="G90" s="399" t="s">
        <v>2349</v>
      </c>
      <c r="H90" s="399" t="s">
        <v>1239</v>
      </c>
      <c r="I90" s="399" t="s">
        <v>1239</v>
      </c>
      <c r="J90" s="399" t="s">
        <v>2329</v>
      </c>
      <c r="K90" s="789">
        <v>44470</v>
      </c>
      <c r="L90" s="399">
        <v>0</v>
      </c>
      <c r="M90" s="399">
        <v>0</v>
      </c>
      <c r="N90" s="399">
        <v>3.3000000000000002E-2</v>
      </c>
      <c r="O90" s="399">
        <v>1.32E-2</v>
      </c>
      <c r="P90" s="399">
        <v>3.3000000000000002E-2</v>
      </c>
      <c r="Q90" s="399">
        <v>1.32E-2</v>
      </c>
      <c r="R90" s="399"/>
      <c r="S90" s="399">
        <v>333.61</v>
      </c>
      <c r="T90" s="399">
        <v>128.11000000000001</v>
      </c>
      <c r="U90" s="399"/>
      <c r="V90" s="399">
        <v>15.23676</v>
      </c>
      <c r="W90" s="399">
        <v>15.23676</v>
      </c>
      <c r="X90" s="399">
        <v>13.299990000000001</v>
      </c>
      <c r="Y90" s="399">
        <v>0</v>
      </c>
      <c r="Z90" s="399">
        <v>2.0201296647965994</v>
      </c>
      <c r="AA90" s="399">
        <v>0</v>
      </c>
      <c r="AB90" s="399">
        <v>0</v>
      </c>
      <c r="AC90" s="399">
        <v>0</v>
      </c>
      <c r="AD90" s="399">
        <v>0</v>
      </c>
      <c r="AE90" s="399">
        <v>6.418374542722594</v>
      </c>
      <c r="AF90" s="399">
        <v>4.2276645320310386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0.31197706363400185</v>
      </c>
      <c r="AM90" s="399"/>
      <c r="AN90" s="399">
        <v>2.839280090672365E-2</v>
      </c>
      <c r="AO90" s="399">
        <v>0.11470866555774946</v>
      </c>
      <c r="AP90" s="399">
        <v>0.61190697419848927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0.44775623761990113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>
        <v>8.6184779999999996</v>
      </c>
      <c r="BT90" s="399"/>
      <c r="BU90" s="399"/>
      <c r="BV90" s="399">
        <v>4.6754207696509393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3.5466000000000002</v>
      </c>
      <c r="CJ90" s="399">
        <v>-1.8468239999999994</v>
      </c>
      <c r="CK90" s="399"/>
      <c r="CL90" s="399"/>
      <c r="CM90" s="399"/>
      <c r="CN90" s="399"/>
      <c r="CO90" s="399">
        <v>-2.1301500000000004</v>
      </c>
      <c r="CP90" s="399">
        <v>0.19337999999999952</v>
      </c>
      <c r="CQ90" s="399">
        <v>31</v>
      </c>
      <c r="CR90" s="399">
        <v>4.7556857540843822E-2</v>
      </c>
      <c r="CS90" s="399">
        <v>8.3732519723849624E-3</v>
      </c>
      <c r="CT90" s="399">
        <v>4.466664531150355E-2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0.19336133049898585</v>
      </c>
      <c r="DD90" s="399">
        <v>0</v>
      </c>
      <c r="DE90" s="399">
        <v>0</v>
      </c>
      <c r="DF90" s="399">
        <v>0</v>
      </c>
      <c r="DG90" s="399">
        <v>2.0479094589795632E-2</v>
      </c>
      <c r="DH90" s="399">
        <v>0</v>
      </c>
      <c r="DI90" s="399">
        <v>-0.19108645387820666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-2.491030184150872E-2</v>
      </c>
      <c r="DP90" s="399">
        <v>-3.3267091121117372E-3</v>
      </c>
      <c r="DQ90" s="399">
        <v>0</v>
      </c>
      <c r="DR90" s="399">
        <v>0</v>
      </c>
      <c r="DS90" s="399"/>
      <c r="DT90" s="399"/>
      <c r="DU90" s="399"/>
      <c r="DV90" s="399">
        <v>6.418374542722594</v>
      </c>
      <c r="DW90" s="399">
        <v>0</v>
      </c>
      <c r="DX90" s="399">
        <v>0</v>
      </c>
      <c r="DY90" s="399">
        <v>-2.1301500000000004</v>
      </c>
      <c r="DZ90" s="399">
        <v>0.19337999999999944</v>
      </c>
      <c r="EA90" s="399">
        <v>0</v>
      </c>
      <c r="EB90" s="399">
        <v>0</v>
      </c>
      <c r="EC90" s="399">
        <v>-1.9845673450483661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1.0559509899753343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230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89</v>
      </c>
      <c r="B91" s="399" t="s">
        <v>956</v>
      </c>
      <c r="C91" s="399" t="s">
        <v>2328</v>
      </c>
      <c r="D91" s="399" t="s">
        <v>1823</v>
      </c>
      <c r="E91" s="399" t="s">
        <v>889</v>
      </c>
      <c r="F91" s="399" t="s">
        <v>889</v>
      </c>
      <c r="G91" s="399" t="s">
        <v>1239</v>
      </c>
      <c r="H91" s="399" t="s">
        <v>1239</v>
      </c>
      <c r="I91" s="399" t="s">
        <v>1239</v>
      </c>
      <c r="J91" s="399" t="s">
        <v>2329</v>
      </c>
      <c r="K91" s="789">
        <v>44501</v>
      </c>
      <c r="L91" s="399">
        <v>0</v>
      </c>
      <c r="M91" s="399">
        <v>0</v>
      </c>
      <c r="N91" s="399">
        <v>4383.5619999999999</v>
      </c>
      <c r="O91" s="399">
        <v>4383.5619999999999</v>
      </c>
      <c r="P91" s="399">
        <v>4383.5619999999999</v>
      </c>
      <c r="Q91" s="399">
        <v>4383.5619999999999</v>
      </c>
      <c r="R91" s="399"/>
      <c r="S91" s="399">
        <v>333.61</v>
      </c>
      <c r="T91" s="399">
        <v>128.11000000000001</v>
      </c>
      <c r="U91" s="399"/>
      <c r="V91" s="399">
        <v>2023978.24664</v>
      </c>
      <c r="W91" s="399">
        <v>2023978.24664</v>
      </c>
      <c r="X91" s="399">
        <v>1766706.9928600001</v>
      </c>
      <c r="Y91" s="399">
        <v>0</v>
      </c>
      <c r="Z91" s="399">
        <v>268344.35253560939</v>
      </c>
      <c r="AA91" s="399">
        <v>0</v>
      </c>
      <c r="AB91" s="399">
        <v>0</v>
      </c>
      <c r="AC91" s="399">
        <v>0</v>
      </c>
      <c r="AD91" s="399">
        <v>0</v>
      </c>
      <c r="AE91" s="399">
        <v>852586.14385594346</v>
      </c>
      <c r="AF91" s="399">
        <v>561582.71488966804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41441.539424775525</v>
      </c>
      <c r="AM91" s="399"/>
      <c r="AN91" s="399">
        <v>3771.5637311599799</v>
      </c>
      <c r="AO91" s="399">
        <v>15237.349921504827</v>
      </c>
      <c r="AP91" s="399">
        <v>81282.792716105396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59477.794802835422</v>
      </c>
      <c r="BH91" s="399">
        <v>0</v>
      </c>
      <c r="BI91" s="399">
        <v>0</v>
      </c>
      <c r="BJ91" s="399">
        <v>0</v>
      </c>
      <c r="BK91" s="399">
        <v>507782.77</v>
      </c>
      <c r="BL91" s="399">
        <v>20643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>
        <v>621060.50969250349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1766706.1868000003</v>
      </c>
      <c r="CJ91" s="399">
        <v>-257272.0898399998</v>
      </c>
      <c r="CK91" s="399"/>
      <c r="CL91" s="399"/>
      <c r="CM91" s="399"/>
      <c r="CN91" s="399"/>
      <c r="CO91" s="399">
        <v>-282958.92710000003</v>
      </c>
      <c r="CP91" s="399">
        <v>25687.673319999936</v>
      </c>
      <c r="CQ91" s="399">
        <v>30</v>
      </c>
      <c r="CR91" s="399">
        <v>6317.2252592560835</v>
      </c>
      <c r="CS91" s="399">
        <v>1112.2627018961139</v>
      </c>
      <c r="CT91" s="399">
        <v>5933.3033046965138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0</v>
      </c>
      <c r="DA91" s="399">
        <v>0</v>
      </c>
      <c r="DB91" s="399">
        <v>0</v>
      </c>
      <c r="DC91" s="399">
        <v>25685.193352872506</v>
      </c>
      <c r="DD91" s="399">
        <v>0</v>
      </c>
      <c r="DE91" s="399">
        <v>0</v>
      </c>
      <c r="DF91" s="399">
        <v>0</v>
      </c>
      <c r="DG91" s="399">
        <v>2720.3448738858642</v>
      </c>
      <c r="DH91" s="399">
        <v>0</v>
      </c>
      <c r="DI91" s="399">
        <v>-25383.009634401795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-3308.9652291202292</v>
      </c>
      <c r="DP91" s="399">
        <v>-441.90411057293204</v>
      </c>
      <c r="DQ91" s="399">
        <v>0</v>
      </c>
      <c r="DR91" s="399">
        <v>0</v>
      </c>
      <c r="DS91" s="399"/>
      <c r="DT91" s="399"/>
      <c r="DU91" s="399"/>
      <c r="DV91" s="399">
        <v>852586.14385594346</v>
      </c>
      <c r="DW91" s="399">
        <v>0</v>
      </c>
      <c r="DX91" s="399">
        <v>0</v>
      </c>
      <c r="DY91" s="399">
        <v>-282958.92709999997</v>
      </c>
      <c r="DZ91" s="399">
        <v>25687.673319999943</v>
      </c>
      <c r="EA91" s="399">
        <v>0</v>
      </c>
      <c r="EB91" s="399">
        <v>0</v>
      </c>
      <c r="EC91" s="399">
        <v>-263620.42424833041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140267.47374297745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230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90</v>
      </c>
      <c r="B92" s="399" t="s">
        <v>2330</v>
      </c>
      <c r="C92" s="399" t="s">
        <v>2328</v>
      </c>
      <c r="D92" s="399" t="s">
        <v>1823</v>
      </c>
      <c r="E92" s="399" t="s">
        <v>889</v>
      </c>
      <c r="F92" s="399" t="s">
        <v>889</v>
      </c>
      <c r="G92" s="399" t="s">
        <v>1239</v>
      </c>
      <c r="H92" s="399" t="s">
        <v>1239</v>
      </c>
      <c r="I92" s="399" t="s">
        <v>1239</v>
      </c>
      <c r="J92" s="399" t="s">
        <v>2329</v>
      </c>
      <c r="K92" s="789">
        <v>44501</v>
      </c>
      <c r="L92" s="399">
        <v>0</v>
      </c>
      <c r="M92" s="399">
        <v>0</v>
      </c>
      <c r="N92" s="399">
        <v>-2.2719999999999998</v>
      </c>
      <c r="O92" s="399">
        <v>-2.2719999999999998</v>
      </c>
      <c r="P92" s="399">
        <v>-2.2719999999999998</v>
      </c>
      <c r="Q92" s="399">
        <v>-2.2719999999999998</v>
      </c>
      <c r="R92" s="399"/>
      <c r="S92" s="399">
        <v>333.61</v>
      </c>
      <c r="T92" s="399">
        <v>128.11000000000001</v>
      </c>
      <c r="U92" s="399"/>
      <c r="V92" s="399">
        <v>-1049.02784</v>
      </c>
      <c r="W92" s="399">
        <v>-1049.02784</v>
      </c>
      <c r="X92" s="399">
        <v>-915.68415999999991</v>
      </c>
      <c r="Y92" s="399">
        <v>0</v>
      </c>
      <c r="Z92" s="399">
        <v>-139.08286661872344</v>
      </c>
      <c r="AA92" s="399">
        <v>0</v>
      </c>
      <c r="AB92" s="399">
        <v>0</v>
      </c>
      <c r="AC92" s="399">
        <v>0</v>
      </c>
      <c r="AD92" s="399">
        <v>0</v>
      </c>
      <c r="AE92" s="399">
        <v>-441.89536245653727</v>
      </c>
      <c r="AF92" s="399">
        <v>-291.06829747801572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-21.479148138680365</v>
      </c>
      <c r="AM92" s="399"/>
      <c r="AN92" s="399">
        <v>-1.9548013230326098</v>
      </c>
      <c r="AO92" s="399">
        <v>-7.8975178226426284</v>
      </c>
      <c r="AP92" s="399">
        <v>-42.128868041786895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-30.82733854158834</v>
      </c>
      <c r="BH92" s="399">
        <v>0</v>
      </c>
      <c r="BI92" s="399">
        <v>0</v>
      </c>
      <c r="BJ92" s="399">
        <v>0</v>
      </c>
      <c r="BK92" s="399">
        <v>-384.92</v>
      </c>
      <c r="BL92" s="399">
        <v>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-321.89563601960407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-914.87810000000002</v>
      </c>
      <c r="CJ92" s="399">
        <v>134.11973999999998</v>
      </c>
      <c r="CK92" s="399"/>
      <c r="CL92" s="399"/>
      <c r="CM92" s="399"/>
      <c r="CN92" s="399"/>
      <c r="CO92" s="399">
        <v>146.6576</v>
      </c>
      <c r="CP92" s="399">
        <v>-13.313919999999966</v>
      </c>
      <c r="CQ92" s="399">
        <v>30</v>
      </c>
      <c r="CR92" s="399">
        <v>-3.274217585842166</v>
      </c>
      <c r="CS92" s="399">
        <v>-0.57648571155329265</v>
      </c>
      <c r="CT92" s="399">
        <v>-3.0752308529616954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0</v>
      </c>
      <c r="DA92" s="399">
        <v>0</v>
      </c>
      <c r="DB92" s="399">
        <v>0</v>
      </c>
      <c r="DC92" s="399">
        <v>-13.312634633142295</v>
      </c>
      <c r="DD92" s="399">
        <v>0</v>
      </c>
      <c r="DE92" s="399">
        <v>0</v>
      </c>
      <c r="DF92" s="399">
        <v>0</v>
      </c>
      <c r="DG92" s="399">
        <v>-1.4099546335762341</v>
      </c>
      <c r="DH92" s="399">
        <v>0</v>
      </c>
      <c r="DI92" s="399">
        <v>13.156012824584423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1.7150365389062969</v>
      </c>
      <c r="DP92" s="399">
        <v>0.22903888190054134</v>
      </c>
      <c r="DQ92" s="399">
        <v>0</v>
      </c>
      <c r="DR92" s="399">
        <v>0</v>
      </c>
      <c r="DS92" s="399"/>
      <c r="DT92" s="399"/>
      <c r="DU92" s="399"/>
      <c r="DV92" s="399">
        <v>-441.89536245653727</v>
      </c>
      <c r="DW92" s="399">
        <v>0</v>
      </c>
      <c r="DX92" s="399">
        <v>0</v>
      </c>
      <c r="DY92" s="399">
        <v>146.6576</v>
      </c>
      <c r="DZ92" s="399">
        <v>-13.313919999999939</v>
      </c>
      <c r="EA92" s="399">
        <v>0</v>
      </c>
      <c r="EB92" s="399">
        <v>0</v>
      </c>
      <c r="EC92" s="399">
        <v>136.63445478636015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-72.700625734059372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230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91</v>
      </c>
      <c r="B93" s="399" t="s">
        <v>2331</v>
      </c>
      <c r="C93" s="399" t="s">
        <v>2328</v>
      </c>
      <c r="D93" s="399" t="s">
        <v>1823</v>
      </c>
      <c r="E93" s="399" t="s">
        <v>889</v>
      </c>
      <c r="F93" s="399" t="s">
        <v>889</v>
      </c>
      <c r="G93" s="399" t="s">
        <v>1239</v>
      </c>
      <c r="H93" s="399" t="s">
        <v>1239</v>
      </c>
      <c r="I93" s="399" t="s">
        <v>1239</v>
      </c>
      <c r="J93" s="399" t="s">
        <v>2329</v>
      </c>
      <c r="K93" s="789">
        <v>44501</v>
      </c>
      <c r="L93" s="399">
        <v>0</v>
      </c>
      <c r="M93" s="399">
        <v>0</v>
      </c>
      <c r="N93" s="399">
        <v>12.273999999999999</v>
      </c>
      <c r="O93" s="399">
        <v>12.273999999999999</v>
      </c>
      <c r="P93" s="399">
        <v>12.273999999999999</v>
      </c>
      <c r="Q93" s="399">
        <v>12.273999999999999</v>
      </c>
      <c r="R93" s="399"/>
      <c r="S93" s="399">
        <v>333.61</v>
      </c>
      <c r="T93" s="399">
        <v>128.11000000000001</v>
      </c>
      <c r="U93" s="399"/>
      <c r="V93" s="399">
        <v>5667.15128</v>
      </c>
      <c r="W93" s="399">
        <v>5667.15128</v>
      </c>
      <c r="X93" s="399">
        <v>4946.7902199999999</v>
      </c>
      <c r="Y93" s="399">
        <v>0</v>
      </c>
      <c r="Z93" s="399">
        <v>751.36580320343819</v>
      </c>
      <c r="AA93" s="399">
        <v>0</v>
      </c>
      <c r="AB93" s="399">
        <v>0</v>
      </c>
      <c r="AC93" s="399">
        <v>0</v>
      </c>
      <c r="AD93" s="399">
        <v>0</v>
      </c>
      <c r="AE93" s="399">
        <v>2387.2463374962758</v>
      </c>
      <c r="AF93" s="399">
        <v>1572.4349838226958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116.03655997102237</v>
      </c>
      <c r="AM93" s="399"/>
      <c r="AN93" s="399">
        <v>10.560401161488668</v>
      </c>
      <c r="AO93" s="399">
        <v>42.664671547145957</v>
      </c>
      <c r="AP93" s="399">
        <v>227.59230913067444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166.53818365292926</v>
      </c>
      <c r="BH93" s="399">
        <v>0</v>
      </c>
      <c r="BI93" s="399">
        <v>0</v>
      </c>
      <c r="BJ93" s="399">
        <v>0</v>
      </c>
      <c r="BK93" s="399">
        <v>3272.65</v>
      </c>
      <c r="BL93" s="399">
        <v>44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1738.9731674756251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4945.1781000000001</v>
      </c>
      <c r="CJ93" s="399">
        <v>-722.00318000000061</v>
      </c>
      <c r="CK93" s="399"/>
      <c r="CL93" s="399"/>
      <c r="CM93" s="399"/>
      <c r="CN93" s="399"/>
      <c r="CO93" s="399">
        <v>-792.28670000000011</v>
      </c>
      <c r="CP93" s="399">
        <v>71.925639999999817</v>
      </c>
      <c r="CQ93" s="399">
        <v>30</v>
      </c>
      <c r="CR93" s="399">
        <v>17.688268771403273</v>
      </c>
      <c r="CS93" s="399">
        <v>3.1143422639107001</v>
      </c>
      <c r="CT93" s="399">
        <v>16.61328498646651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0</v>
      </c>
      <c r="DA93" s="399">
        <v>0</v>
      </c>
      <c r="DB93" s="399">
        <v>0</v>
      </c>
      <c r="DC93" s="399">
        <v>71.918696077107597</v>
      </c>
      <c r="DD93" s="399">
        <v>0</v>
      </c>
      <c r="DE93" s="399">
        <v>0</v>
      </c>
      <c r="DF93" s="399">
        <v>0</v>
      </c>
      <c r="DG93" s="399">
        <v>7.6169820301560947</v>
      </c>
      <c r="DH93" s="399">
        <v>0</v>
      </c>
      <c r="DI93" s="399">
        <v>-71.072579845488235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-9.2651225697781285</v>
      </c>
      <c r="DP93" s="399">
        <v>-1.2373341709714989</v>
      </c>
      <c r="DQ93" s="399">
        <v>0</v>
      </c>
      <c r="DR93" s="399">
        <v>0</v>
      </c>
      <c r="DS93" s="399"/>
      <c r="DT93" s="399"/>
      <c r="DU93" s="399"/>
      <c r="DV93" s="399">
        <v>2387.2463374962758</v>
      </c>
      <c r="DW93" s="399">
        <v>0</v>
      </c>
      <c r="DX93" s="399">
        <v>0</v>
      </c>
      <c r="DY93" s="399">
        <v>-792.28670000000011</v>
      </c>
      <c r="DZ93" s="399">
        <v>71.925639999999703</v>
      </c>
      <c r="EA93" s="399">
        <v>0</v>
      </c>
      <c r="EB93" s="399">
        <v>0</v>
      </c>
      <c r="EC93" s="399">
        <v>-738.138775549201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392.74977124112883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230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92</v>
      </c>
      <c r="B94" s="399" t="s">
        <v>956</v>
      </c>
      <c r="C94" s="399" t="s">
        <v>2328</v>
      </c>
      <c r="D94" s="399" t="s">
        <v>1823</v>
      </c>
      <c r="E94" s="399" t="s">
        <v>889</v>
      </c>
      <c r="F94" s="399" t="s">
        <v>2332</v>
      </c>
      <c r="G94" s="399" t="s">
        <v>1239</v>
      </c>
      <c r="H94" s="399" t="s">
        <v>1239</v>
      </c>
      <c r="I94" s="399" t="s">
        <v>1239</v>
      </c>
      <c r="J94" s="399" t="s">
        <v>2329</v>
      </c>
      <c r="K94" s="789">
        <v>44501</v>
      </c>
      <c r="L94" s="399">
        <v>0</v>
      </c>
      <c r="M94" s="399">
        <v>0</v>
      </c>
      <c r="N94" s="399">
        <v>13.145</v>
      </c>
      <c r="O94" s="399">
        <v>13.145</v>
      </c>
      <c r="P94" s="399">
        <v>13.145</v>
      </c>
      <c r="Q94" s="399">
        <v>13.145</v>
      </c>
      <c r="R94" s="399"/>
      <c r="S94" s="399">
        <v>230.94</v>
      </c>
      <c r="T94" s="399">
        <v>128.11000000000001</v>
      </c>
      <c r="U94" s="399"/>
      <c r="V94" s="399">
        <v>4719.7122500000005</v>
      </c>
      <c r="W94" s="399">
        <v>4719.7122500000005</v>
      </c>
      <c r="X94" s="399">
        <v>4034.2004999999999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0</v>
      </c>
      <c r="AE94" s="399">
        <v>2556.6525261844995</v>
      </c>
      <c r="AF94" s="399">
        <v>1684.0197052590304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11.309799027844919</v>
      </c>
      <c r="AO94" s="399">
        <v>45.692285113836867</v>
      </c>
      <c r="AP94" s="399">
        <v>243.74294472239822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178.35623465192728</v>
      </c>
      <c r="BH94" s="399">
        <v>0</v>
      </c>
      <c r="BI94" s="399">
        <v>0</v>
      </c>
      <c r="BJ94" s="399">
        <v>0</v>
      </c>
      <c r="BK94" s="399">
        <v>189.16</v>
      </c>
      <c r="BL94" s="399">
        <v>10</v>
      </c>
      <c r="BM94" s="399"/>
      <c r="BN94" s="399"/>
      <c r="BO94" s="399"/>
      <c r="BP94" s="399"/>
      <c r="BQ94" s="399"/>
      <c r="BR94" s="399"/>
      <c r="BS94" s="399"/>
      <c r="BT94" s="399">
        <v>2622.1646000000001</v>
      </c>
      <c r="BU94" s="399"/>
      <c r="BV94" s="399">
        <v>1862.3759399109576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1412.5730000000001</v>
      </c>
      <c r="CJ94" s="399">
        <v>-239.38914999999997</v>
      </c>
      <c r="CK94" s="399"/>
      <c r="CL94" s="399"/>
      <c r="CM94" s="399"/>
      <c r="CN94" s="399"/>
      <c r="CO94" s="399">
        <v>-762.54144999999983</v>
      </c>
      <c r="CP94" s="399">
        <v>77.029699999999806</v>
      </c>
      <c r="CQ94" s="399">
        <v>30</v>
      </c>
      <c r="CR94" s="399">
        <v>104.98218928212236</v>
      </c>
      <c r="CS94" s="399">
        <v>3.3353453690000094</v>
      </c>
      <c r="CT94" s="399">
        <v>17.792213715748943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0</v>
      </c>
      <c r="DA94" s="399">
        <v>0</v>
      </c>
      <c r="DB94" s="399">
        <v>0</v>
      </c>
      <c r="DC94" s="399">
        <v>77.0222633154292</v>
      </c>
      <c r="DD94" s="399">
        <v>0</v>
      </c>
      <c r="DE94" s="399">
        <v>0</v>
      </c>
      <c r="DF94" s="399">
        <v>0</v>
      </c>
      <c r="DG94" s="399">
        <v>8.157506011601896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0</v>
      </c>
      <c r="DP94" s="399">
        <v>-1.3251391296578419</v>
      </c>
      <c r="DQ94" s="399">
        <v>0</v>
      </c>
      <c r="DR94" s="399">
        <v>0</v>
      </c>
      <c r="DS94" s="399"/>
      <c r="DT94" s="399"/>
      <c r="DU94" s="399"/>
      <c r="DV94" s="399">
        <v>2556.6525261844995</v>
      </c>
      <c r="DW94" s="399">
        <v>0</v>
      </c>
      <c r="DX94" s="399">
        <v>0</v>
      </c>
      <c r="DY94" s="399">
        <v>-762.54144999999971</v>
      </c>
      <c r="DZ94" s="399">
        <v>77.029699999999821</v>
      </c>
      <c r="EA94" s="399">
        <v>0</v>
      </c>
      <c r="EB94" s="399">
        <v>0</v>
      </c>
      <c r="EC94" s="399">
        <v>-790.51932577759885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230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93</v>
      </c>
      <c r="B95" s="399" t="s">
        <v>956</v>
      </c>
      <c r="C95" s="399" t="s">
        <v>2328</v>
      </c>
      <c r="D95" s="399" t="s">
        <v>1823</v>
      </c>
      <c r="E95" s="399" t="s">
        <v>889</v>
      </c>
      <c r="F95" s="399" t="s">
        <v>2333</v>
      </c>
      <c r="G95" s="399" t="s">
        <v>1239</v>
      </c>
      <c r="H95" s="399" t="s">
        <v>1239</v>
      </c>
      <c r="I95" s="399" t="s">
        <v>1239</v>
      </c>
      <c r="J95" s="399" t="s">
        <v>2329</v>
      </c>
      <c r="K95" s="789">
        <v>44501</v>
      </c>
      <c r="L95" s="399">
        <v>0</v>
      </c>
      <c r="M95" s="399">
        <v>0</v>
      </c>
      <c r="N95" s="399">
        <v>28.382000000000001</v>
      </c>
      <c r="O95" s="399">
        <v>28.382000000000001</v>
      </c>
      <c r="P95" s="399">
        <v>28.382000000000001</v>
      </c>
      <c r="Q95" s="399">
        <v>28.382000000000001</v>
      </c>
      <c r="R95" s="399"/>
      <c r="S95" s="399">
        <v>230.94</v>
      </c>
      <c r="T95" s="399">
        <v>128.11000000000001</v>
      </c>
      <c r="U95" s="399"/>
      <c r="V95" s="399">
        <v>10190.557100000002</v>
      </c>
      <c r="W95" s="399">
        <v>10190.557100000002</v>
      </c>
      <c r="X95" s="399">
        <v>8710.4358000000011</v>
      </c>
      <c r="Y95" s="399">
        <v>0</v>
      </c>
      <c r="Z95" s="399">
        <v>0</v>
      </c>
      <c r="AA95" s="399">
        <v>0</v>
      </c>
      <c r="AB95" s="399">
        <v>0</v>
      </c>
      <c r="AC95" s="399">
        <v>0</v>
      </c>
      <c r="AD95" s="399">
        <v>0</v>
      </c>
      <c r="AE95" s="399">
        <v>5520.1910991379591</v>
      </c>
      <c r="AF95" s="399">
        <v>3636.0477196395436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</v>
      </c>
      <c r="AM95" s="399"/>
      <c r="AN95" s="399">
        <v>24.41952955559487</v>
      </c>
      <c r="AO95" s="399">
        <v>98.656404420001365</v>
      </c>
      <c r="AP95" s="399">
        <v>526.27708308186436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385.09750109478892</v>
      </c>
      <c r="BH95" s="399">
        <v>0</v>
      </c>
      <c r="BI95" s="399">
        <v>0</v>
      </c>
      <c r="BJ95" s="399">
        <v>0</v>
      </c>
      <c r="BK95" s="399">
        <v>727.44</v>
      </c>
      <c r="BL95" s="399">
        <v>60</v>
      </c>
      <c r="BM95" s="399"/>
      <c r="BN95" s="399"/>
      <c r="BO95" s="399"/>
      <c r="BP95" s="399"/>
      <c r="BQ95" s="399"/>
      <c r="BR95" s="399"/>
      <c r="BS95" s="399"/>
      <c r="BT95" s="399">
        <v>3484.1743200000001</v>
      </c>
      <c r="BU95" s="399"/>
      <c r="BV95" s="399">
        <v>4021.1452207343327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5225.8931999999995</v>
      </c>
      <c r="CJ95" s="399">
        <v>-888.75488000000132</v>
      </c>
      <c r="CK95" s="399"/>
      <c r="CL95" s="399"/>
      <c r="CM95" s="399"/>
      <c r="CN95" s="399"/>
      <c r="CO95" s="399">
        <v>-1646.4398199999998</v>
      </c>
      <c r="CP95" s="399">
        <v>166.31851999999958</v>
      </c>
      <c r="CQ95" s="399">
        <v>30</v>
      </c>
      <c r="CR95" s="399">
        <v>226.67208035033764</v>
      </c>
      <c r="CS95" s="399">
        <v>7.2015041660675791</v>
      </c>
      <c r="CT95" s="399">
        <v>38.416022037305879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</v>
      </c>
      <c r="DA95" s="399">
        <v>0</v>
      </c>
      <c r="DB95" s="399">
        <v>0</v>
      </c>
      <c r="DC95" s="399">
        <v>166.30246309764289</v>
      </c>
      <c r="DD95" s="399">
        <v>0</v>
      </c>
      <c r="DE95" s="399">
        <v>0</v>
      </c>
      <c r="DF95" s="399">
        <v>0</v>
      </c>
      <c r="DG95" s="399">
        <v>17.613262504472061</v>
      </c>
      <c r="DH95" s="399">
        <v>0</v>
      </c>
      <c r="DI95" s="399">
        <v>0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0</v>
      </c>
      <c r="DP95" s="399">
        <v>-2.8611714551501635</v>
      </c>
      <c r="DQ95" s="399">
        <v>0</v>
      </c>
      <c r="DR95" s="399">
        <v>0</v>
      </c>
      <c r="DS95" s="399"/>
      <c r="DT95" s="399"/>
      <c r="DU95" s="399"/>
      <c r="DV95" s="399">
        <v>5520.1910991379591</v>
      </c>
      <c r="DW95" s="399">
        <v>0</v>
      </c>
      <c r="DX95" s="399">
        <v>0</v>
      </c>
      <c r="DY95" s="399">
        <v>-1646.4398199999996</v>
      </c>
      <c r="DZ95" s="399">
        <v>166.31851999999981</v>
      </c>
      <c r="EA95" s="399">
        <v>0</v>
      </c>
      <c r="EB95" s="399">
        <v>0</v>
      </c>
      <c r="EC95" s="399">
        <v>-1706.8481935503851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230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94</v>
      </c>
      <c r="B96" s="399" t="s">
        <v>956</v>
      </c>
      <c r="C96" s="399" t="s">
        <v>2328</v>
      </c>
      <c r="D96" s="399" t="s">
        <v>1823</v>
      </c>
      <c r="E96" s="399" t="s">
        <v>889</v>
      </c>
      <c r="F96" s="399" t="s">
        <v>2334</v>
      </c>
      <c r="G96" s="399" t="s">
        <v>1239</v>
      </c>
      <c r="H96" s="399" t="s">
        <v>1239</v>
      </c>
      <c r="I96" s="399" t="s">
        <v>1239</v>
      </c>
      <c r="J96" s="399" t="s">
        <v>2329</v>
      </c>
      <c r="K96" s="789">
        <v>44501</v>
      </c>
      <c r="L96" s="399">
        <v>0</v>
      </c>
      <c r="M96" s="399">
        <v>0</v>
      </c>
      <c r="N96" s="399">
        <v>32.201000000000001</v>
      </c>
      <c r="O96" s="399">
        <v>32.201000000000001</v>
      </c>
      <c r="P96" s="399">
        <v>32.201000000000001</v>
      </c>
      <c r="Q96" s="399">
        <v>32.201000000000001</v>
      </c>
      <c r="R96" s="399"/>
      <c r="S96" s="399">
        <v>230.94</v>
      </c>
      <c r="T96" s="399">
        <v>128.11000000000001</v>
      </c>
      <c r="U96" s="399"/>
      <c r="V96" s="399">
        <v>11561.769050000001</v>
      </c>
      <c r="W96" s="399">
        <v>11561.769050000001</v>
      </c>
      <c r="X96" s="399">
        <v>9882.4868999999999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0</v>
      </c>
      <c r="AE96" s="399">
        <v>6262.9720803094006</v>
      </c>
      <c r="AF96" s="399">
        <v>4125.3038059373175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27.705350969618433</v>
      </c>
      <c r="AO96" s="399">
        <v>111.93132544318455</v>
      </c>
      <c r="AP96" s="399">
        <v>597.09140836865311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436.91510932116472</v>
      </c>
      <c r="BH96" s="399">
        <v>0</v>
      </c>
      <c r="BI96" s="399">
        <v>0</v>
      </c>
      <c r="BJ96" s="399">
        <v>0</v>
      </c>
      <c r="BK96" s="399">
        <v>2258.2600000000002</v>
      </c>
      <c r="BL96" s="399">
        <v>224</v>
      </c>
      <c r="BM96" s="399"/>
      <c r="BN96" s="399"/>
      <c r="BO96" s="399"/>
      <c r="BP96" s="399"/>
      <c r="BQ96" s="399"/>
      <c r="BR96" s="399"/>
      <c r="BS96" s="399"/>
      <c r="BT96" s="399">
        <v>988.24869000000081</v>
      </c>
      <c r="BU96" s="399"/>
      <c r="BV96" s="399">
        <v>4562.2189152584824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8893.9619999999995</v>
      </c>
      <c r="CJ96" s="399">
        <v>-1511.8211500000016</v>
      </c>
      <c r="CK96" s="399"/>
      <c r="CL96" s="399"/>
      <c r="CM96" s="399"/>
      <c r="CN96" s="399"/>
      <c r="CO96" s="399">
        <v>-1867.9800099999998</v>
      </c>
      <c r="CP96" s="399">
        <v>188.69785999999954</v>
      </c>
      <c r="CQ96" s="399">
        <v>30</v>
      </c>
      <c r="CR96" s="399">
        <v>257.17242123040069</v>
      </c>
      <c r="CS96" s="399">
        <v>8.1705177806899485</v>
      </c>
      <c r="CT96" s="399">
        <v>43.585171081082649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0</v>
      </c>
      <c r="DA96" s="399">
        <v>0</v>
      </c>
      <c r="DB96" s="399">
        <v>0</v>
      </c>
      <c r="DC96" s="399">
        <v>188.67964252720685</v>
      </c>
      <c r="DD96" s="399">
        <v>0</v>
      </c>
      <c r="DE96" s="399">
        <v>0</v>
      </c>
      <c r="DF96" s="399">
        <v>0</v>
      </c>
      <c r="DG96" s="399">
        <v>19.983252269273009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0</v>
      </c>
      <c r="DP96" s="399">
        <v>-3.2461624278518215</v>
      </c>
      <c r="DQ96" s="399">
        <v>0</v>
      </c>
      <c r="DR96" s="399">
        <v>0</v>
      </c>
      <c r="DS96" s="399"/>
      <c r="DT96" s="399"/>
      <c r="DU96" s="399"/>
      <c r="DV96" s="399">
        <v>6262.9720803094006</v>
      </c>
      <c r="DW96" s="399">
        <v>0</v>
      </c>
      <c r="DX96" s="399">
        <v>0</v>
      </c>
      <c r="DY96" s="399">
        <v>-1867.9800100000002</v>
      </c>
      <c r="DZ96" s="399">
        <v>188.69785999999931</v>
      </c>
      <c r="EA96" s="399">
        <v>0</v>
      </c>
      <c r="EB96" s="399">
        <v>0</v>
      </c>
      <c r="EC96" s="399">
        <v>-1936.5167599364368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230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95</v>
      </c>
      <c r="B97" s="399" t="s">
        <v>956</v>
      </c>
      <c r="C97" s="399" t="s">
        <v>2328</v>
      </c>
      <c r="D97" s="399" t="s">
        <v>1823</v>
      </c>
      <c r="E97" s="399" t="s">
        <v>889</v>
      </c>
      <c r="F97" s="399" t="s">
        <v>2335</v>
      </c>
      <c r="G97" s="399" t="s">
        <v>1239</v>
      </c>
      <c r="H97" s="399" t="s">
        <v>1239</v>
      </c>
      <c r="I97" s="399" t="s">
        <v>1239</v>
      </c>
      <c r="J97" s="399" t="s">
        <v>2329</v>
      </c>
      <c r="K97" s="789">
        <v>44501</v>
      </c>
      <c r="L97" s="399">
        <v>0</v>
      </c>
      <c r="M97" s="399">
        <v>0</v>
      </c>
      <c r="N97" s="399">
        <v>10.77</v>
      </c>
      <c r="O97" s="399">
        <v>10.77</v>
      </c>
      <c r="P97" s="399">
        <v>10.77</v>
      </c>
      <c r="Q97" s="399">
        <v>10.77</v>
      </c>
      <c r="R97" s="399"/>
      <c r="S97" s="399">
        <v>230.94</v>
      </c>
      <c r="T97" s="399">
        <v>128.11000000000001</v>
      </c>
      <c r="U97" s="399"/>
      <c r="V97" s="399">
        <v>3866.9684999999999</v>
      </c>
      <c r="W97" s="399">
        <v>3866.9684999999999</v>
      </c>
      <c r="X97" s="399">
        <v>3305.3130000000001</v>
      </c>
      <c r="Y97" s="399">
        <v>0</v>
      </c>
      <c r="Z97" s="399">
        <v>0</v>
      </c>
      <c r="AA97" s="399">
        <v>0</v>
      </c>
      <c r="AB97" s="399">
        <v>0</v>
      </c>
      <c r="AC97" s="399">
        <v>0</v>
      </c>
      <c r="AD97" s="399">
        <v>0</v>
      </c>
      <c r="AE97" s="399">
        <v>2094.7240553067372</v>
      </c>
      <c r="AF97" s="399">
        <v>1379.7559699992207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0</v>
      </c>
      <c r="AM97" s="399"/>
      <c r="AN97" s="399">
        <v>9.2663777504670808</v>
      </c>
      <c r="AO97" s="399">
        <v>37.436737213847323</v>
      </c>
      <c r="AP97" s="399">
        <v>199.70418521568877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146.13135391413135</v>
      </c>
      <c r="BH97" s="399">
        <v>0</v>
      </c>
      <c r="BI97" s="399">
        <v>0</v>
      </c>
      <c r="BJ97" s="399">
        <v>0</v>
      </c>
      <c r="BK97" s="399">
        <v>1491.31</v>
      </c>
      <c r="BL97" s="399">
        <v>144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1525.887323913352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3305.3130000000001</v>
      </c>
      <c r="CJ97" s="399">
        <v>-561.6855000000005</v>
      </c>
      <c r="CK97" s="399"/>
      <c r="CL97" s="399"/>
      <c r="CM97" s="399"/>
      <c r="CN97" s="399"/>
      <c r="CO97" s="399">
        <v>-624.76769999999988</v>
      </c>
      <c r="CP97" s="399">
        <v>63.112199999999838</v>
      </c>
      <c r="CQ97" s="399">
        <v>30</v>
      </c>
      <c r="CR97" s="399">
        <v>86.0143156004915</v>
      </c>
      <c r="CS97" s="399">
        <v>2.7327249618965439</v>
      </c>
      <c r="CT97" s="399">
        <v>14.577568788027065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0</v>
      </c>
      <c r="DA97" s="399">
        <v>0</v>
      </c>
      <c r="DB97" s="399">
        <v>0</v>
      </c>
      <c r="DC97" s="399">
        <v>63.106106953759991</v>
      </c>
      <c r="DD97" s="399">
        <v>0</v>
      </c>
      <c r="DE97" s="399">
        <v>0</v>
      </c>
      <c r="DF97" s="399">
        <v>0</v>
      </c>
      <c r="DG97" s="399">
        <v>6.6836317797605602</v>
      </c>
      <c r="DH97" s="399">
        <v>0</v>
      </c>
      <c r="DI97" s="399">
        <v>0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0</v>
      </c>
      <c r="DP97" s="399">
        <v>-1.0857168829528305</v>
      </c>
      <c r="DQ97" s="399">
        <v>0</v>
      </c>
      <c r="DR97" s="399">
        <v>0</v>
      </c>
      <c r="DS97" s="399"/>
      <c r="DT97" s="399"/>
      <c r="DU97" s="399"/>
      <c r="DV97" s="399">
        <v>2094.7240553067372</v>
      </c>
      <c r="DW97" s="399">
        <v>0</v>
      </c>
      <c r="DX97" s="399">
        <v>0</v>
      </c>
      <c r="DY97" s="399">
        <v>-624.76769999999965</v>
      </c>
      <c r="DZ97" s="399">
        <v>63.112199999999802</v>
      </c>
      <c r="EA97" s="399">
        <v>0</v>
      </c>
      <c r="EB97" s="399">
        <v>0</v>
      </c>
      <c r="EC97" s="399">
        <v>-647.69061533851209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230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96</v>
      </c>
      <c r="B98" s="399" t="s">
        <v>2330</v>
      </c>
      <c r="C98" s="399" t="s">
        <v>2328</v>
      </c>
      <c r="D98" s="399" t="s">
        <v>1823</v>
      </c>
      <c r="E98" s="399" t="s">
        <v>889</v>
      </c>
      <c r="F98" s="399" t="s">
        <v>2335</v>
      </c>
      <c r="G98" s="399" t="s">
        <v>1239</v>
      </c>
      <c r="H98" s="399" t="s">
        <v>1239</v>
      </c>
      <c r="I98" s="399" t="s">
        <v>1239</v>
      </c>
      <c r="J98" s="399" t="s">
        <v>2329</v>
      </c>
      <c r="K98" s="789">
        <v>44501</v>
      </c>
      <c r="L98" s="399">
        <v>0</v>
      </c>
      <c r="M98" s="399">
        <v>0</v>
      </c>
      <c r="N98" s="399">
        <v>0.23300000000000001</v>
      </c>
      <c r="O98" s="399">
        <v>0.23300000000000001</v>
      </c>
      <c r="P98" s="399">
        <v>0.23300000000000001</v>
      </c>
      <c r="Q98" s="399">
        <v>0.23300000000000001</v>
      </c>
      <c r="R98" s="399"/>
      <c r="S98" s="399">
        <v>230.94</v>
      </c>
      <c r="T98" s="399">
        <v>128.11000000000001</v>
      </c>
      <c r="U98" s="399"/>
      <c r="V98" s="399">
        <v>83.658650000000009</v>
      </c>
      <c r="W98" s="399">
        <v>83.658650000000009</v>
      </c>
      <c r="X98" s="399">
        <v>71.5077</v>
      </c>
      <c r="Y98" s="399">
        <v>0</v>
      </c>
      <c r="Z98" s="399">
        <v>0</v>
      </c>
      <c r="AA98" s="399">
        <v>0</v>
      </c>
      <c r="AB98" s="399">
        <v>0</v>
      </c>
      <c r="AC98" s="399">
        <v>0</v>
      </c>
      <c r="AD98" s="399">
        <v>0</v>
      </c>
      <c r="AE98" s="399">
        <v>45.317614195586799</v>
      </c>
      <c r="AF98" s="399">
        <v>29.849873817067639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0</v>
      </c>
      <c r="AM98" s="399"/>
      <c r="AN98" s="399">
        <v>0.20047038215959426</v>
      </c>
      <c r="AO98" s="399">
        <v>0.80991269924107956</v>
      </c>
      <c r="AP98" s="399">
        <v>4.3204340905529701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3.1614304050132414</v>
      </c>
      <c r="BH98" s="399">
        <v>0</v>
      </c>
      <c r="BI98" s="399">
        <v>0</v>
      </c>
      <c r="BJ98" s="399">
        <v>0</v>
      </c>
      <c r="BK98" s="399">
        <v>31.43</v>
      </c>
      <c r="BL98" s="399">
        <v>0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33.011304222080881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70.587000000000003</v>
      </c>
      <c r="CJ98" s="399">
        <v>-13.101650000000006</v>
      </c>
      <c r="CK98" s="399"/>
      <c r="CL98" s="399"/>
      <c r="CM98" s="399"/>
      <c r="CN98" s="399"/>
      <c r="CO98" s="399">
        <v>-13.516329999999998</v>
      </c>
      <c r="CP98" s="399">
        <v>1.3653799999999967</v>
      </c>
      <c r="CQ98" s="399">
        <v>30</v>
      </c>
      <c r="CR98" s="399">
        <v>1.8608482390821095</v>
      </c>
      <c r="CS98" s="399">
        <v>5.9120233623202845E-2</v>
      </c>
      <c r="CT98" s="399">
        <v>0.31537358659334291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0</v>
      </c>
      <c r="DA98" s="399">
        <v>0</v>
      </c>
      <c r="DB98" s="399">
        <v>0</v>
      </c>
      <c r="DC98" s="399">
        <v>1.3652481820079885</v>
      </c>
      <c r="DD98" s="399">
        <v>0</v>
      </c>
      <c r="DE98" s="399">
        <v>0</v>
      </c>
      <c r="DF98" s="399">
        <v>0</v>
      </c>
      <c r="DG98" s="399">
        <v>0.1445948193764357</v>
      </c>
      <c r="DH98" s="399">
        <v>0</v>
      </c>
      <c r="DI98" s="399">
        <v>0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0</v>
      </c>
      <c r="DP98" s="399">
        <v>-2.3488582518849527E-2</v>
      </c>
      <c r="DQ98" s="399">
        <v>0</v>
      </c>
      <c r="DR98" s="399">
        <v>0</v>
      </c>
      <c r="DS98" s="399"/>
      <c r="DT98" s="399"/>
      <c r="DU98" s="399"/>
      <c r="DV98" s="399">
        <v>45.317614195586799</v>
      </c>
      <c r="DW98" s="399">
        <v>0</v>
      </c>
      <c r="DX98" s="399">
        <v>0</v>
      </c>
      <c r="DY98" s="399">
        <v>-13.516330000000004</v>
      </c>
      <c r="DZ98" s="399">
        <v>1.3653799999999983</v>
      </c>
      <c r="EA98" s="399">
        <v>0</v>
      </c>
      <c r="EB98" s="399">
        <v>0</v>
      </c>
      <c r="EC98" s="399">
        <v>-14.012248224129372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230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97</v>
      </c>
      <c r="B99" s="399" t="s">
        <v>956</v>
      </c>
      <c r="C99" s="399" t="s">
        <v>2328</v>
      </c>
      <c r="D99" s="399" t="s">
        <v>1826</v>
      </c>
      <c r="E99" s="399" t="s">
        <v>890</v>
      </c>
      <c r="F99" s="399" t="s">
        <v>1239</v>
      </c>
      <c r="G99" s="399" t="s">
        <v>1239</v>
      </c>
      <c r="H99" s="399" t="s">
        <v>1239</v>
      </c>
      <c r="I99" s="399" t="s">
        <v>1239</v>
      </c>
      <c r="J99" s="399" t="s">
        <v>2329</v>
      </c>
      <c r="K99" s="789">
        <v>44501</v>
      </c>
      <c r="L99" s="399">
        <v>0</v>
      </c>
      <c r="M99" s="399">
        <v>0</v>
      </c>
      <c r="N99" s="399">
        <v>396.29</v>
      </c>
      <c r="O99" s="399">
        <v>396.29</v>
      </c>
      <c r="P99" s="399">
        <v>396.29</v>
      </c>
      <c r="Q99" s="399">
        <v>396.29</v>
      </c>
      <c r="R99" s="399"/>
      <c r="S99" s="399">
        <v>333.61</v>
      </c>
      <c r="T99" s="399">
        <v>128.11000000000001</v>
      </c>
      <c r="U99" s="399"/>
      <c r="V99" s="399">
        <v>182975.01880000002</v>
      </c>
      <c r="W99" s="399">
        <v>182975.01880000002</v>
      </c>
      <c r="X99" s="399">
        <v>159716.75870000001</v>
      </c>
      <c r="Y99" s="399">
        <v>0</v>
      </c>
      <c r="Z99" s="399">
        <v>24259.308632189226</v>
      </c>
      <c r="AA99" s="399">
        <v>0</v>
      </c>
      <c r="AB99" s="399">
        <v>0</v>
      </c>
      <c r="AC99" s="399">
        <v>0</v>
      </c>
      <c r="AD99" s="399">
        <v>0</v>
      </c>
      <c r="AE99" s="399">
        <v>77076.898410167778</v>
      </c>
      <c r="AF99" s="399">
        <v>50769.126587835774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3746.466380227836</v>
      </c>
      <c r="AM99" s="399"/>
      <c r="AN99" s="399">
        <v>340.96312337350048</v>
      </c>
      <c r="AO99" s="399">
        <v>1377.5120325418343</v>
      </c>
      <c r="AP99" s="399">
        <v>7348.2610547005852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5377.0096789815343</v>
      </c>
      <c r="BH99" s="399">
        <v>0</v>
      </c>
      <c r="BI99" s="399">
        <v>0</v>
      </c>
      <c r="BJ99" s="399">
        <v>0</v>
      </c>
      <c r="BK99" s="399">
        <v>71994.600000000006</v>
      </c>
      <c r="BL99" s="399">
        <v>211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56146.13626681731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159716.75870000001</v>
      </c>
      <c r="CJ99" s="399">
        <v>-23258.290100000042</v>
      </c>
      <c r="CK99" s="399"/>
      <c r="CL99" s="399"/>
      <c r="CM99" s="399"/>
      <c r="CN99" s="399"/>
      <c r="CO99" s="399">
        <v>-25580.519500000006</v>
      </c>
      <c r="CP99" s="399">
        <v>2322.2593999999945</v>
      </c>
      <c r="CQ99" s="399">
        <v>30</v>
      </c>
      <c r="CR99" s="399">
        <v>571.1002143897058</v>
      </c>
      <c r="CS99" s="399">
        <v>100.55260679201342</v>
      </c>
      <c r="CT99" s="399">
        <v>536.39226880290153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0</v>
      </c>
      <c r="DA99" s="399">
        <v>0</v>
      </c>
      <c r="DB99" s="399">
        <v>0</v>
      </c>
      <c r="DC99" s="399">
        <v>2322.0352019225102</v>
      </c>
      <c r="DD99" s="399">
        <v>0</v>
      </c>
      <c r="DE99" s="399">
        <v>0</v>
      </c>
      <c r="DF99" s="399">
        <v>0</v>
      </c>
      <c r="DG99" s="399">
        <v>245.92910287848736</v>
      </c>
      <c r="DH99" s="399">
        <v>0</v>
      </c>
      <c r="DI99" s="399">
        <v>-2294.7166911331697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-299.14253081125707</v>
      </c>
      <c r="DP99" s="399">
        <v>-39.949744061780621</v>
      </c>
      <c r="DQ99" s="399">
        <v>0</v>
      </c>
      <c r="DR99" s="399">
        <v>0</v>
      </c>
      <c r="DS99" s="399"/>
      <c r="DT99" s="399"/>
      <c r="DU99" s="399"/>
      <c r="DV99" s="399">
        <v>77076.898410167778</v>
      </c>
      <c r="DW99" s="399">
        <v>0</v>
      </c>
      <c r="DX99" s="399">
        <v>0</v>
      </c>
      <c r="DY99" s="399">
        <v>-25580.519500000024</v>
      </c>
      <c r="DZ99" s="399">
        <v>2322.2593999999954</v>
      </c>
      <c r="EA99" s="399">
        <v>0</v>
      </c>
      <c r="EB99" s="399">
        <v>0</v>
      </c>
      <c r="EC99" s="399">
        <v>-23832.248277855055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12680.691449009855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230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98</v>
      </c>
      <c r="B100" s="399" t="s">
        <v>2331</v>
      </c>
      <c r="C100" s="399" t="s">
        <v>2328</v>
      </c>
      <c r="D100" s="399" t="s">
        <v>1826</v>
      </c>
      <c r="E100" s="399" t="s">
        <v>890</v>
      </c>
      <c r="F100" s="399" t="s">
        <v>1239</v>
      </c>
      <c r="G100" s="399" t="s">
        <v>1239</v>
      </c>
      <c r="H100" s="399" t="s">
        <v>1239</v>
      </c>
      <c r="I100" s="399" t="s">
        <v>1239</v>
      </c>
      <c r="J100" s="399" t="s">
        <v>2329</v>
      </c>
      <c r="K100" s="789">
        <v>44501</v>
      </c>
      <c r="L100" s="399">
        <v>0</v>
      </c>
      <c r="M100" s="399">
        <v>0</v>
      </c>
      <c r="N100" s="399">
        <v>2.9119999999999999</v>
      </c>
      <c r="O100" s="399">
        <v>2.9119999999999999</v>
      </c>
      <c r="P100" s="399">
        <v>2.9119999999999999</v>
      </c>
      <c r="Q100" s="399">
        <v>2.9119999999999999</v>
      </c>
      <c r="R100" s="399"/>
      <c r="S100" s="399">
        <v>333.61</v>
      </c>
      <c r="T100" s="399">
        <v>128.11000000000001</v>
      </c>
      <c r="U100" s="399"/>
      <c r="V100" s="399">
        <v>1344.52864</v>
      </c>
      <c r="W100" s="399">
        <v>1344.52864</v>
      </c>
      <c r="X100" s="399">
        <v>1173.62336</v>
      </c>
      <c r="Y100" s="399">
        <v>0</v>
      </c>
      <c r="Z100" s="399">
        <v>178.2611389056878</v>
      </c>
      <c r="AA100" s="399">
        <v>0</v>
      </c>
      <c r="AB100" s="399">
        <v>0</v>
      </c>
      <c r="AC100" s="399">
        <v>0</v>
      </c>
      <c r="AD100" s="399">
        <v>0</v>
      </c>
      <c r="AE100" s="399">
        <v>566.3729293457028</v>
      </c>
      <c r="AF100" s="399">
        <v>373.05936719013283</v>
      </c>
      <c r="AG100" s="399">
        <v>0</v>
      </c>
      <c r="AH100" s="399">
        <v>0</v>
      </c>
      <c r="AI100" s="399">
        <v>0</v>
      </c>
      <c r="AJ100" s="399">
        <v>0</v>
      </c>
      <c r="AK100" s="399">
        <v>0</v>
      </c>
      <c r="AL100" s="399">
        <v>27.529612403097374</v>
      </c>
      <c r="AM100" s="399"/>
      <c r="AN100" s="399">
        <v>2.5054495830417958</v>
      </c>
      <c r="AO100" s="399">
        <v>10.122170730429286</v>
      </c>
      <c r="AP100" s="399">
        <v>53.996154814121233</v>
      </c>
      <c r="AQ100" s="399">
        <v>0</v>
      </c>
      <c r="AR100" s="399">
        <v>0</v>
      </c>
      <c r="AS100" s="399">
        <v>0</v>
      </c>
      <c r="AT100" s="399">
        <v>0</v>
      </c>
      <c r="AU100" s="399">
        <v>0</v>
      </c>
      <c r="AV100" s="399">
        <v>0</v>
      </c>
      <c r="AW100" s="399">
        <v>0</v>
      </c>
      <c r="AX100" s="399">
        <v>0</v>
      </c>
      <c r="AY100" s="399">
        <v>0</v>
      </c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>
        <v>0</v>
      </c>
      <c r="BG100" s="399">
        <v>39.51109587724703</v>
      </c>
      <c r="BH100" s="399">
        <v>0</v>
      </c>
      <c r="BI100" s="399">
        <v>0</v>
      </c>
      <c r="BJ100" s="399">
        <v>0</v>
      </c>
      <c r="BK100" s="399">
        <v>1295.6300000000001</v>
      </c>
      <c r="BL100" s="399">
        <v>2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412.57046306737988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1172.8173000000002</v>
      </c>
      <c r="CJ100" s="399">
        <v>-171.74133999999981</v>
      </c>
      <c r="CK100" s="399"/>
      <c r="CL100" s="399"/>
      <c r="CM100" s="399"/>
      <c r="CN100" s="399"/>
      <c r="CO100" s="399">
        <v>-187.96960000000001</v>
      </c>
      <c r="CP100" s="399">
        <v>17.064319999999956</v>
      </c>
      <c r="CQ100" s="399">
        <v>30</v>
      </c>
      <c r="CR100" s="399">
        <v>4.1965323987556076</v>
      </c>
      <c r="CS100" s="399">
        <v>0.73887605283590929</v>
      </c>
      <c r="CT100" s="399">
        <v>3.9414930650635895</v>
      </c>
      <c r="CU100" s="399">
        <v>0</v>
      </c>
      <c r="CV100" s="399">
        <v>0</v>
      </c>
      <c r="CW100" s="399">
        <v>0</v>
      </c>
      <c r="CX100" s="399">
        <v>0</v>
      </c>
      <c r="CY100" s="399">
        <v>0</v>
      </c>
      <c r="CZ100" s="399">
        <v>0</v>
      </c>
      <c r="DA100" s="399">
        <v>0</v>
      </c>
      <c r="DB100" s="399">
        <v>0</v>
      </c>
      <c r="DC100" s="399">
        <v>17.062672557971098</v>
      </c>
      <c r="DD100" s="399">
        <v>0</v>
      </c>
      <c r="DE100" s="399">
        <v>0</v>
      </c>
      <c r="DF100" s="399">
        <v>0</v>
      </c>
      <c r="DG100" s="399">
        <v>1.8071249528934814</v>
      </c>
      <c r="DH100" s="399">
        <v>0</v>
      </c>
      <c r="DI100" s="399">
        <v>-16.86193193010115</v>
      </c>
      <c r="DJ100" s="399"/>
      <c r="DK100" s="399">
        <v>0</v>
      </c>
      <c r="DL100" s="399">
        <v>0</v>
      </c>
      <c r="DM100" s="399">
        <v>0</v>
      </c>
      <c r="DN100" s="399">
        <v>0</v>
      </c>
      <c r="DO100" s="399">
        <v>-2.198145423105256</v>
      </c>
      <c r="DP100" s="399">
        <v>-0.29355687680210218</v>
      </c>
      <c r="DQ100" s="399">
        <v>0</v>
      </c>
      <c r="DR100" s="399">
        <v>0</v>
      </c>
      <c r="DS100" s="399"/>
      <c r="DT100" s="399"/>
      <c r="DU100" s="399"/>
      <c r="DV100" s="399">
        <v>566.3729293457028</v>
      </c>
      <c r="DW100" s="399">
        <v>0</v>
      </c>
      <c r="DX100" s="399">
        <v>0</v>
      </c>
      <c r="DY100" s="399">
        <v>-187.96960000000001</v>
      </c>
      <c r="DZ100" s="399">
        <v>17.064319999999952</v>
      </c>
      <c r="EA100" s="399">
        <v>0</v>
      </c>
      <c r="EB100" s="399">
        <v>0</v>
      </c>
      <c r="EC100" s="399">
        <v>-175.12303359941944</v>
      </c>
      <c r="ED100" s="399">
        <v>0</v>
      </c>
      <c r="EE100" s="399">
        <v>0</v>
      </c>
      <c r="EF100" s="399">
        <v>0</v>
      </c>
      <c r="EG100" s="399">
        <v>0</v>
      </c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>
        <v>0</v>
      </c>
      <c r="EN100" s="399">
        <v>0</v>
      </c>
      <c r="EO100" s="399">
        <v>0</v>
      </c>
      <c r="EP100" s="399">
        <v>93.179675236611303</v>
      </c>
      <c r="EQ100" s="399">
        <v>0</v>
      </c>
      <c r="ER100" s="399">
        <v>0</v>
      </c>
      <c r="ES100" s="399">
        <v>0</v>
      </c>
      <c r="ET100" s="399">
        <v>0</v>
      </c>
      <c r="EU100" s="399">
        <v>0</v>
      </c>
      <c r="EV100" s="399">
        <v>230</v>
      </c>
      <c r="EW100" s="399">
        <v>0</v>
      </c>
      <c r="EX100" s="399">
        <v>0</v>
      </c>
      <c r="EY100" s="399">
        <v>0</v>
      </c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99</v>
      </c>
      <c r="B101" s="399" t="s">
        <v>956</v>
      </c>
      <c r="C101" s="399" t="s">
        <v>2336</v>
      </c>
      <c r="D101" s="399" t="s">
        <v>535</v>
      </c>
      <c r="E101" s="399" t="s">
        <v>890</v>
      </c>
      <c r="F101" s="399" t="s">
        <v>1239</v>
      </c>
      <c r="G101" s="399" t="s">
        <v>1239</v>
      </c>
      <c r="H101" s="399" t="s">
        <v>1239</v>
      </c>
      <c r="I101" s="399" t="s">
        <v>893</v>
      </c>
      <c r="J101" s="399" t="s">
        <v>2329</v>
      </c>
      <c r="K101" s="789">
        <v>44501</v>
      </c>
      <c r="L101" s="399">
        <v>2353</v>
      </c>
      <c r="M101" s="399">
        <v>2353</v>
      </c>
      <c r="N101" s="399">
        <v>101.35</v>
      </c>
      <c r="O101" s="399">
        <v>101.35</v>
      </c>
      <c r="P101" s="399">
        <v>101.35</v>
      </c>
      <c r="Q101" s="399">
        <v>101.35</v>
      </c>
      <c r="R101" s="399">
        <v>28.46</v>
      </c>
      <c r="S101" s="399">
        <v>75.12</v>
      </c>
      <c r="T101" s="399">
        <v>128.11000000000001</v>
      </c>
      <c r="U101" s="399">
        <v>66966.38</v>
      </c>
      <c r="V101" s="399">
        <v>20597.360500000003</v>
      </c>
      <c r="W101" s="399">
        <v>87563.7405</v>
      </c>
      <c r="X101" s="399">
        <v>71909.905999999988</v>
      </c>
      <c r="Y101" s="399">
        <v>0</v>
      </c>
      <c r="Z101" s="399">
        <v>4156.845297672141</v>
      </c>
      <c r="AA101" s="399">
        <v>0</v>
      </c>
      <c r="AB101" s="399">
        <v>0</v>
      </c>
      <c r="AC101" s="399">
        <v>0</v>
      </c>
      <c r="AD101" s="399">
        <v>0</v>
      </c>
      <c r="AE101" s="399">
        <v>54100.099406107554</v>
      </c>
      <c r="AF101" s="399">
        <v>12984.054555192295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958.1477393729117</v>
      </c>
      <c r="AM101" s="399"/>
      <c r="AN101" s="399">
        <v>24.806020585760727</v>
      </c>
      <c r="AO101" s="399">
        <v>1937.1565699777123</v>
      </c>
      <c r="AP101" s="399">
        <v>10920.12752918725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300.74404922685704</v>
      </c>
      <c r="BH101" s="399">
        <v>0</v>
      </c>
      <c r="BI101" s="399">
        <v>0</v>
      </c>
      <c r="BJ101" s="399">
        <v>0</v>
      </c>
      <c r="BK101" s="399">
        <v>0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13284.798604419153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71909.905999999988</v>
      </c>
      <c r="CJ101" s="399">
        <v>-15653.864499999996</v>
      </c>
      <c r="CK101" s="399"/>
      <c r="CL101" s="399"/>
      <c r="CM101" s="399"/>
      <c r="CN101" s="399"/>
      <c r="CO101" s="399">
        <v>-16247.745500000003</v>
      </c>
      <c r="CP101" s="399">
        <v>593.91099999999847</v>
      </c>
      <c r="CQ101" s="399">
        <v>30</v>
      </c>
      <c r="CR101" s="399">
        <v>1073.5245180758138</v>
      </c>
      <c r="CS101" s="399">
        <v>141.40431319217191</v>
      </c>
      <c r="CT101" s="399">
        <v>797.12355581738848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0</v>
      </c>
      <c r="DA101" s="399">
        <v>0</v>
      </c>
      <c r="DB101" s="399">
        <v>0</v>
      </c>
      <c r="DC101" s="399">
        <v>593.85366200218778</v>
      </c>
      <c r="DD101" s="399">
        <v>0</v>
      </c>
      <c r="DE101" s="399">
        <v>0</v>
      </c>
      <c r="DF101" s="399">
        <v>0</v>
      </c>
      <c r="DG101" s="399">
        <v>13.755175950590683</v>
      </c>
      <c r="DH101" s="399">
        <v>0</v>
      </c>
      <c r="DI101" s="399">
        <v>-393.20091234463325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-76.504820958694268</v>
      </c>
      <c r="DP101" s="399">
        <v>-2.9064555831946421</v>
      </c>
      <c r="DQ101" s="399">
        <v>0</v>
      </c>
      <c r="DR101" s="399">
        <v>0</v>
      </c>
      <c r="DS101" s="399"/>
      <c r="DT101" s="399"/>
      <c r="DU101" s="399">
        <v>54100.099406107554</v>
      </c>
      <c r="DV101" s="399">
        <v>0</v>
      </c>
      <c r="DW101" s="399">
        <v>0</v>
      </c>
      <c r="DX101" s="399">
        <v>0</v>
      </c>
      <c r="DY101" s="399">
        <v>-16247.745500000005</v>
      </c>
      <c r="DZ101" s="399">
        <v>593.91099999999824</v>
      </c>
      <c r="EA101" s="399">
        <v>0</v>
      </c>
      <c r="EB101" s="399">
        <v>0</v>
      </c>
      <c r="EC101" s="399">
        <v>-16727.800774257688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2172.8431514781882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230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100</v>
      </c>
      <c r="B102" s="399" t="s">
        <v>956</v>
      </c>
      <c r="C102" s="399" t="s">
        <v>2336</v>
      </c>
      <c r="D102" s="399" t="s">
        <v>535</v>
      </c>
      <c r="E102" s="399" t="s">
        <v>890</v>
      </c>
      <c r="F102" s="399" t="s">
        <v>1239</v>
      </c>
      <c r="G102" s="399" t="s">
        <v>1239</v>
      </c>
      <c r="H102" s="399" t="s">
        <v>1239</v>
      </c>
      <c r="I102" s="399" t="s">
        <v>2326</v>
      </c>
      <c r="J102" s="399" t="s">
        <v>2329</v>
      </c>
      <c r="K102" s="789">
        <v>44501</v>
      </c>
      <c r="L102" s="399">
        <v>2402</v>
      </c>
      <c r="M102" s="399">
        <v>2402</v>
      </c>
      <c r="N102" s="399">
        <v>1072.8430000000001</v>
      </c>
      <c r="O102" s="399">
        <v>1072.8430000000001</v>
      </c>
      <c r="P102" s="399">
        <v>1072.8430000000001</v>
      </c>
      <c r="Q102" s="399">
        <v>1072.8430000000001</v>
      </c>
      <c r="R102" s="399">
        <v>9.92</v>
      </c>
      <c r="S102" s="399">
        <v>75.12</v>
      </c>
      <c r="T102" s="399">
        <v>128.11000000000001</v>
      </c>
      <c r="U102" s="399">
        <v>23827.84</v>
      </c>
      <c r="V102" s="399">
        <v>218033.88289000004</v>
      </c>
      <c r="W102" s="399">
        <v>241861.72289000003</v>
      </c>
      <c r="X102" s="399">
        <v>240502.28408000001</v>
      </c>
      <c r="Y102" s="399">
        <v>0</v>
      </c>
      <c r="Z102" s="399">
        <v>44002.391511499489</v>
      </c>
      <c r="AA102" s="399">
        <v>0</v>
      </c>
      <c r="AB102" s="399">
        <v>0</v>
      </c>
      <c r="AC102" s="399">
        <v>0</v>
      </c>
      <c r="AD102" s="399">
        <v>0</v>
      </c>
      <c r="AE102" s="399">
        <v>11818.364758049695</v>
      </c>
      <c r="AF102" s="399">
        <v>137443.0393799326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10142.497238796772</v>
      </c>
      <c r="AM102" s="399"/>
      <c r="AN102" s="399">
        <v>262.58476115726984</v>
      </c>
      <c r="AO102" s="399">
        <v>1785.2708965461245</v>
      </c>
      <c r="AP102" s="399">
        <v>10217.015941858826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3183.5337740965861</v>
      </c>
      <c r="BH102" s="399">
        <v>0</v>
      </c>
      <c r="BI102" s="399">
        <v>0</v>
      </c>
      <c r="BJ102" s="399">
        <v>0</v>
      </c>
      <c r="BK102" s="399">
        <v>0</v>
      </c>
      <c r="BL102" s="399">
        <v>0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140626.57315402917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240501.6704</v>
      </c>
      <c r="CJ102" s="399">
        <v>-1360.0824900000589</v>
      </c>
      <c r="CK102" s="399"/>
      <c r="CL102" s="399"/>
      <c r="CM102" s="399"/>
      <c r="CN102" s="399"/>
      <c r="CO102" s="399">
        <v>-7646.2987900000026</v>
      </c>
      <c r="CP102" s="399">
        <v>6286.8599799999847</v>
      </c>
      <c r="CQ102" s="399">
        <v>30</v>
      </c>
      <c r="CR102" s="399">
        <v>2305.127109844907</v>
      </c>
      <c r="CS102" s="399">
        <v>130.31729541148025</v>
      </c>
      <c r="CT102" s="399">
        <v>745.7993558820217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0</v>
      </c>
      <c r="DA102" s="399">
        <v>0</v>
      </c>
      <c r="DB102" s="399">
        <v>0</v>
      </c>
      <c r="DC102" s="399">
        <v>6286.253027167375</v>
      </c>
      <c r="DD102" s="399">
        <v>0</v>
      </c>
      <c r="DE102" s="399">
        <v>0</v>
      </c>
      <c r="DF102" s="399">
        <v>0</v>
      </c>
      <c r="DG102" s="399">
        <v>145.60576450280814</v>
      </c>
      <c r="DH102" s="399">
        <v>0</v>
      </c>
      <c r="DI102" s="399">
        <v>-4162.2382476818311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-809.84372601665928</v>
      </c>
      <c r="DP102" s="399">
        <v>-30.766359420239667</v>
      </c>
      <c r="DQ102" s="399">
        <v>0</v>
      </c>
      <c r="DR102" s="399">
        <v>0</v>
      </c>
      <c r="DS102" s="399"/>
      <c r="DT102" s="399"/>
      <c r="DU102" s="399">
        <v>11818.364758049695</v>
      </c>
      <c r="DV102" s="399">
        <v>0</v>
      </c>
      <c r="DW102" s="399">
        <v>0</v>
      </c>
      <c r="DX102" s="399">
        <v>0</v>
      </c>
      <c r="DY102" s="399">
        <v>-7646.2987900000007</v>
      </c>
      <c r="DZ102" s="399">
        <v>6286.8599799999793</v>
      </c>
      <c r="EA102" s="399">
        <v>0</v>
      </c>
      <c r="EB102" s="399">
        <v>0</v>
      </c>
      <c r="EC102" s="399">
        <v>-3654.249314149054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23000.686385410107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230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101</v>
      </c>
      <c r="B103" s="399" t="s">
        <v>956</v>
      </c>
      <c r="C103" s="399" t="s">
        <v>2336</v>
      </c>
      <c r="D103" s="399" t="s">
        <v>535</v>
      </c>
      <c r="E103" s="399" t="s">
        <v>890</v>
      </c>
      <c r="F103" s="399" t="s">
        <v>1239</v>
      </c>
      <c r="G103" s="399" t="s">
        <v>1239</v>
      </c>
      <c r="H103" s="399" t="s">
        <v>1239</v>
      </c>
      <c r="I103" s="399" t="s">
        <v>1239</v>
      </c>
      <c r="J103" s="399" t="s">
        <v>2329</v>
      </c>
      <c r="K103" s="789">
        <v>44501</v>
      </c>
      <c r="L103" s="399">
        <v>0</v>
      </c>
      <c r="M103" s="399">
        <v>0</v>
      </c>
      <c r="N103" s="399">
        <v>0</v>
      </c>
      <c r="O103" s="399">
        <v>0</v>
      </c>
      <c r="P103" s="399">
        <v>0</v>
      </c>
      <c r="Q103" s="399">
        <v>0</v>
      </c>
      <c r="R103" s="399"/>
      <c r="S103" s="399"/>
      <c r="T103" s="399"/>
      <c r="U103" s="399"/>
      <c r="V103" s="399"/>
      <c r="W103" s="399"/>
      <c r="X103" s="399"/>
      <c r="Y103" s="399"/>
      <c r="Z103" s="399"/>
      <c r="AA103" s="399">
        <v>0</v>
      </c>
      <c r="AB103" s="399"/>
      <c r="AC103" s="399"/>
      <c r="AD103" s="399"/>
      <c r="AE103" s="399"/>
      <c r="AF103" s="399"/>
      <c r="AG103" s="399"/>
      <c r="AH103" s="399"/>
      <c r="AI103" s="399"/>
      <c r="AJ103" s="399"/>
      <c r="AK103" s="399"/>
      <c r="AL103" s="399"/>
      <c r="AM103" s="399"/>
      <c r="AN103" s="399"/>
      <c r="AO103" s="399"/>
      <c r="AP103" s="399"/>
      <c r="AQ103" s="399"/>
      <c r="AR103" s="399"/>
      <c r="AS103" s="399"/>
      <c r="AT103" s="399"/>
      <c r="AU103" s="399"/>
      <c r="AV103" s="399"/>
      <c r="AW103" s="399"/>
      <c r="AX103" s="399"/>
      <c r="AY103" s="399"/>
      <c r="AZ103" s="399">
        <v>0</v>
      </c>
      <c r="BA103" s="399"/>
      <c r="BB103" s="399"/>
      <c r="BC103" s="399"/>
      <c r="BD103" s="399"/>
      <c r="BE103" s="399"/>
      <c r="BF103" s="399"/>
      <c r="BG103" s="399"/>
      <c r="BH103" s="399"/>
      <c r="BI103" s="399">
        <v>0</v>
      </c>
      <c r="BJ103" s="399">
        <v>0</v>
      </c>
      <c r="BK103" s="399">
        <v>159715.85999999999</v>
      </c>
      <c r="BL103" s="399">
        <v>1</v>
      </c>
      <c r="BM103" s="399"/>
      <c r="BN103" s="399"/>
      <c r="BO103" s="399"/>
      <c r="BP103" s="399"/>
      <c r="BQ103" s="399"/>
      <c r="BR103" s="399"/>
      <c r="BS103" s="399"/>
      <c r="BT103" s="399"/>
      <c r="BU103" s="399"/>
      <c r="BV103" s="399"/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/>
      <c r="CJ103" s="399">
        <v>-0.03</v>
      </c>
      <c r="CK103" s="399"/>
      <c r="CL103" s="399"/>
      <c r="CM103" s="399"/>
      <c r="CN103" s="399"/>
      <c r="CO103" s="399">
        <v>0</v>
      </c>
      <c r="CP103" s="399">
        <v>0</v>
      </c>
      <c r="CQ103" s="399">
        <v>30</v>
      </c>
      <c r="CR103" s="399"/>
      <c r="CS103" s="399"/>
      <c r="CT103" s="399"/>
      <c r="CU103" s="399"/>
      <c r="CV103" s="399"/>
      <c r="CW103" s="399"/>
      <c r="CX103" s="399"/>
      <c r="CY103" s="399"/>
      <c r="CZ103" s="399"/>
      <c r="DA103" s="399"/>
      <c r="DB103" s="399"/>
      <c r="DC103" s="399"/>
      <c r="DD103" s="399"/>
      <c r="DE103" s="399"/>
      <c r="DF103" s="399"/>
      <c r="DG103" s="399"/>
      <c r="DH103" s="399"/>
      <c r="DI103" s="399"/>
      <c r="DJ103" s="399"/>
      <c r="DK103" s="399">
        <v>0</v>
      </c>
      <c r="DL103" s="399"/>
      <c r="DM103" s="399"/>
      <c r="DN103" s="399"/>
      <c r="DO103" s="399"/>
      <c r="DP103" s="399"/>
      <c r="DQ103" s="399"/>
      <c r="DR103" s="399"/>
      <c r="DS103" s="399"/>
      <c r="DT103" s="399"/>
      <c r="DU103" s="399"/>
      <c r="DV103" s="399"/>
      <c r="DW103" s="399"/>
      <c r="DX103" s="399"/>
      <c r="DY103" s="399"/>
      <c r="DZ103" s="399"/>
      <c r="EA103" s="399"/>
      <c r="EB103" s="399"/>
      <c r="EC103" s="399"/>
      <c r="ED103" s="399"/>
      <c r="EE103" s="399"/>
      <c r="EF103" s="399"/>
      <c r="EG103" s="399"/>
      <c r="EH103" s="399"/>
      <c r="EI103" s="399"/>
      <c r="EJ103" s="399"/>
      <c r="EK103" s="399"/>
      <c r="EL103" s="399"/>
      <c r="EM103" s="399"/>
      <c r="EN103" s="399"/>
      <c r="EO103" s="399"/>
      <c r="EP103" s="399"/>
      <c r="EQ103" s="399"/>
      <c r="ER103" s="399"/>
      <c r="ES103" s="399"/>
      <c r="ET103" s="399"/>
      <c r="EU103" s="399"/>
      <c r="EV103" s="399">
        <v>230</v>
      </c>
      <c r="EW103" s="399"/>
      <c r="EX103" s="399"/>
      <c r="EY103" s="399"/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102</v>
      </c>
      <c r="B104" s="399" t="s">
        <v>956</v>
      </c>
      <c r="C104" s="399" t="s">
        <v>2336</v>
      </c>
      <c r="D104" s="399" t="s">
        <v>533</v>
      </c>
      <c r="E104" s="399" t="s">
        <v>890</v>
      </c>
      <c r="F104" s="399" t="s">
        <v>1239</v>
      </c>
      <c r="G104" s="399" t="s">
        <v>1239</v>
      </c>
      <c r="H104" s="399" t="s">
        <v>1239</v>
      </c>
      <c r="I104" s="399" t="s">
        <v>893</v>
      </c>
      <c r="J104" s="399" t="s">
        <v>2329</v>
      </c>
      <c r="K104" s="789">
        <v>44501</v>
      </c>
      <c r="L104" s="399">
        <v>6122</v>
      </c>
      <c r="M104" s="399">
        <v>6122</v>
      </c>
      <c r="N104" s="399">
        <v>329.608</v>
      </c>
      <c r="O104" s="399">
        <v>329.608</v>
      </c>
      <c r="P104" s="399">
        <v>329.608</v>
      </c>
      <c r="Q104" s="399">
        <v>329.608</v>
      </c>
      <c r="R104" s="399">
        <v>52.19</v>
      </c>
      <c r="S104" s="399">
        <v>96.28</v>
      </c>
      <c r="T104" s="399">
        <v>128.11000000000001</v>
      </c>
      <c r="U104" s="399">
        <v>319507.18</v>
      </c>
      <c r="V104" s="399">
        <v>73960.739120000013</v>
      </c>
      <c r="W104" s="399">
        <v>393467.91912000004</v>
      </c>
      <c r="X104" s="399">
        <v>307536.22112</v>
      </c>
      <c r="Y104" s="399">
        <v>0</v>
      </c>
      <c r="Z104" s="399">
        <v>17554.250961885511</v>
      </c>
      <c r="AA104" s="399">
        <v>0</v>
      </c>
      <c r="AB104" s="399">
        <v>0</v>
      </c>
      <c r="AC104" s="399">
        <v>0</v>
      </c>
      <c r="AD104" s="399">
        <v>0</v>
      </c>
      <c r="AE104" s="399">
        <v>286103.38404801144</v>
      </c>
      <c r="AF104" s="399">
        <v>42226.425790111716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3116.0647269780629</v>
      </c>
      <c r="AM104" s="399"/>
      <c r="AN104" s="399">
        <v>162.03550793254891</v>
      </c>
      <c r="AO104" s="399">
        <v>5287.1406233016487</v>
      </c>
      <c r="AP104" s="399">
        <v>28126.207047307631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1726.6895164882064</v>
      </c>
      <c r="BH104" s="399">
        <v>0</v>
      </c>
      <c r="BI104" s="399">
        <v>0</v>
      </c>
      <c r="BJ104" s="399">
        <v>0</v>
      </c>
      <c r="BK104" s="399">
        <v>0</v>
      </c>
      <c r="BL104" s="399">
        <v>0</v>
      </c>
      <c r="BM104" s="399"/>
      <c r="BN104" s="399"/>
      <c r="BO104" s="399"/>
      <c r="BP104" s="399"/>
      <c r="BQ104" s="399"/>
      <c r="BR104" s="399"/>
      <c r="BS104" s="399"/>
      <c r="BT104" s="399"/>
      <c r="BU104" s="399"/>
      <c r="BV104" s="399">
        <v>43953.115306599924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307536.6704</v>
      </c>
      <c r="CJ104" s="399">
        <v>-85931.27872000006</v>
      </c>
      <c r="CK104" s="399"/>
      <c r="CL104" s="399"/>
      <c r="CM104" s="399"/>
      <c r="CN104" s="399"/>
      <c r="CO104" s="399">
        <v>-87863.200879999975</v>
      </c>
      <c r="CP104" s="399">
        <v>1931.5028799999952</v>
      </c>
      <c r="CQ104" s="399">
        <v>30</v>
      </c>
      <c r="CR104" s="399">
        <v>2521.0549066981039</v>
      </c>
      <c r="CS104" s="399">
        <v>385.93911311825468</v>
      </c>
      <c r="CT104" s="399">
        <v>2053.0952695636224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0</v>
      </c>
      <c r="DA104" s="399">
        <v>0</v>
      </c>
      <c r="DB104" s="399">
        <v>0</v>
      </c>
      <c r="DC104" s="399">
        <v>1931.3164067608959</v>
      </c>
      <c r="DD104" s="399">
        <v>0</v>
      </c>
      <c r="DE104" s="399">
        <v>0</v>
      </c>
      <c r="DF104" s="399">
        <v>0</v>
      </c>
      <c r="DG104" s="399">
        <v>78.973858908900411</v>
      </c>
      <c r="DH104" s="399">
        <v>0</v>
      </c>
      <c r="DI104" s="399">
        <v>-1660.4773570970756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-248.80711422351533</v>
      </c>
      <c r="DP104" s="399">
        <v>-18.985270332988193</v>
      </c>
      <c r="DQ104" s="399">
        <v>0</v>
      </c>
      <c r="DR104" s="399">
        <v>0</v>
      </c>
      <c r="DS104" s="399"/>
      <c r="DT104" s="399"/>
      <c r="DU104" s="399">
        <v>286103.38404801144</v>
      </c>
      <c r="DV104" s="399">
        <v>0</v>
      </c>
      <c r="DW104" s="399">
        <v>0</v>
      </c>
      <c r="DX104" s="399">
        <v>0</v>
      </c>
      <c r="DY104" s="399">
        <v>-87863.200880000019</v>
      </c>
      <c r="DZ104" s="399">
        <v>1931.5028799999927</v>
      </c>
      <c r="EA104" s="399">
        <v>0</v>
      </c>
      <c r="EB104" s="399">
        <v>0</v>
      </c>
      <c r="EC104" s="399">
        <v>-88463.430968405795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9175.8608392817223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230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103</v>
      </c>
      <c r="B105" s="399" t="s">
        <v>956</v>
      </c>
      <c r="C105" s="399" t="s">
        <v>2336</v>
      </c>
      <c r="D105" s="399" t="s">
        <v>533</v>
      </c>
      <c r="E105" s="399" t="s">
        <v>890</v>
      </c>
      <c r="F105" s="399" t="s">
        <v>1239</v>
      </c>
      <c r="G105" s="399" t="s">
        <v>1239</v>
      </c>
      <c r="H105" s="399" t="s">
        <v>1239</v>
      </c>
      <c r="I105" s="399" t="s">
        <v>2326</v>
      </c>
      <c r="J105" s="399" t="s">
        <v>2329</v>
      </c>
      <c r="K105" s="789">
        <v>44501</v>
      </c>
      <c r="L105" s="399">
        <v>6276</v>
      </c>
      <c r="M105" s="399">
        <v>6276</v>
      </c>
      <c r="N105" s="399">
        <v>3062.462</v>
      </c>
      <c r="O105" s="399">
        <v>3062.462</v>
      </c>
      <c r="P105" s="399">
        <v>3062.462</v>
      </c>
      <c r="Q105" s="399">
        <v>3062.462</v>
      </c>
      <c r="R105" s="399">
        <v>18.12</v>
      </c>
      <c r="S105" s="399">
        <v>96.28</v>
      </c>
      <c r="T105" s="399">
        <v>128.11000000000001</v>
      </c>
      <c r="U105" s="399">
        <v>113721.12000000001</v>
      </c>
      <c r="V105" s="399">
        <v>687185.84818000009</v>
      </c>
      <c r="W105" s="399">
        <v>800906.96818000008</v>
      </c>
      <c r="X105" s="399">
        <v>778639.66368</v>
      </c>
      <c r="Y105" s="399">
        <v>0</v>
      </c>
      <c r="Z105" s="399">
        <v>163100.49061077953</v>
      </c>
      <c r="AA105" s="399">
        <v>0</v>
      </c>
      <c r="AB105" s="399">
        <v>0</v>
      </c>
      <c r="AC105" s="399">
        <v>0</v>
      </c>
      <c r="AD105" s="399">
        <v>0</v>
      </c>
      <c r="AE105" s="399">
        <v>81957.896883685782</v>
      </c>
      <c r="AF105" s="399">
        <v>392335.21145735873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28952.057643960987</v>
      </c>
      <c r="AM105" s="399"/>
      <c r="AN105" s="399">
        <v>1505.508318044858</v>
      </c>
      <c r="AO105" s="399">
        <v>4988.606705523569</v>
      </c>
      <c r="AP105" s="399">
        <v>26744.050846097532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16043.060332405479</v>
      </c>
      <c r="BH105" s="399">
        <v>0</v>
      </c>
      <c r="BI105" s="399">
        <v>0</v>
      </c>
      <c r="BJ105" s="399">
        <v>0</v>
      </c>
      <c r="BK105" s="399">
        <v>0</v>
      </c>
      <c r="BL105" s="399">
        <v>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408378.27178976423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778639.21440000006</v>
      </c>
      <c r="CJ105" s="399">
        <v>-22267.783780000056</v>
      </c>
      <c r="CK105" s="399"/>
      <c r="CL105" s="399"/>
      <c r="CM105" s="399"/>
      <c r="CN105" s="399"/>
      <c r="CO105" s="399">
        <v>-40213.331820000007</v>
      </c>
      <c r="CP105" s="399">
        <v>17946.027319999954</v>
      </c>
      <c r="CQ105" s="399">
        <v>30</v>
      </c>
      <c r="CR105" s="399">
        <v>3078.4221667598467</v>
      </c>
      <c r="CS105" s="399">
        <v>364.14738793598463</v>
      </c>
      <c r="CT105" s="399">
        <v>1952.2036579172564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0</v>
      </c>
      <c r="DA105" s="399">
        <v>0</v>
      </c>
      <c r="DB105" s="399">
        <v>0</v>
      </c>
      <c r="DC105" s="399">
        <v>17944.294755229843</v>
      </c>
      <c r="DD105" s="399">
        <v>0</v>
      </c>
      <c r="DE105" s="399">
        <v>0</v>
      </c>
      <c r="DF105" s="399">
        <v>0</v>
      </c>
      <c r="DG105" s="399">
        <v>733.76387072482612</v>
      </c>
      <c r="DH105" s="399">
        <v>0</v>
      </c>
      <c r="DI105" s="399">
        <v>-15427.868279805756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-2311.7228120651671</v>
      </c>
      <c r="DP105" s="399">
        <v>-176.39641317717906</v>
      </c>
      <c r="DQ105" s="399">
        <v>0</v>
      </c>
      <c r="DR105" s="399">
        <v>0</v>
      </c>
      <c r="DS105" s="399"/>
      <c r="DT105" s="399"/>
      <c r="DU105" s="399">
        <v>81957.896883685782</v>
      </c>
      <c r="DV105" s="399">
        <v>0</v>
      </c>
      <c r="DW105" s="399">
        <v>0</v>
      </c>
      <c r="DX105" s="399">
        <v>0</v>
      </c>
      <c r="DY105" s="399">
        <v>-40213.331820000021</v>
      </c>
      <c r="DZ105" s="399">
        <v>17946.027319999936</v>
      </c>
      <c r="EA105" s="399">
        <v>0</v>
      </c>
      <c r="EB105" s="399">
        <v>0</v>
      </c>
      <c r="EC105" s="399">
        <v>-25341.457520366159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85254.985126539352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230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104</v>
      </c>
      <c r="B106" s="399" t="s">
        <v>956</v>
      </c>
      <c r="C106" s="399" t="s">
        <v>2336</v>
      </c>
      <c r="D106" s="399" t="s">
        <v>533</v>
      </c>
      <c r="E106" s="399" t="s">
        <v>890</v>
      </c>
      <c r="F106" s="399" t="s">
        <v>1239</v>
      </c>
      <c r="G106" s="399" t="s">
        <v>1239</v>
      </c>
      <c r="H106" s="399" t="s">
        <v>1239</v>
      </c>
      <c r="I106" s="399" t="s">
        <v>1239</v>
      </c>
      <c r="J106" s="399" t="s">
        <v>2329</v>
      </c>
      <c r="K106" s="789">
        <v>44501</v>
      </c>
      <c r="L106" s="399">
        <v>0</v>
      </c>
      <c r="M106" s="399">
        <v>0</v>
      </c>
      <c r="N106" s="399">
        <v>0</v>
      </c>
      <c r="O106" s="399">
        <v>0</v>
      </c>
      <c r="P106" s="399">
        <v>0</v>
      </c>
      <c r="Q106" s="399">
        <v>0</v>
      </c>
      <c r="R106" s="399"/>
      <c r="S106" s="399"/>
      <c r="T106" s="399"/>
      <c r="U106" s="399"/>
      <c r="V106" s="399"/>
      <c r="W106" s="399"/>
      <c r="X106" s="399"/>
      <c r="Y106" s="399"/>
      <c r="Z106" s="399"/>
      <c r="AA106" s="399">
        <v>0</v>
      </c>
      <c r="AB106" s="399"/>
      <c r="AC106" s="399"/>
      <c r="AD106" s="399"/>
      <c r="AE106" s="399"/>
      <c r="AF106" s="399"/>
      <c r="AG106" s="399"/>
      <c r="AH106" s="399"/>
      <c r="AI106" s="399"/>
      <c r="AJ106" s="399"/>
      <c r="AK106" s="399"/>
      <c r="AL106" s="399"/>
      <c r="AM106" s="399"/>
      <c r="AN106" s="399"/>
      <c r="AO106" s="399"/>
      <c r="AP106" s="399"/>
      <c r="AQ106" s="399"/>
      <c r="AR106" s="399"/>
      <c r="AS106" s="399"/>
      <c r="AT106" s="399"/>
      <c r="AU106" s="399"/>
      <c r="AV106" s="399"/>
      <c r="AW106" s="399"/>
      <c r="AX106" s="399"/>
      <c r="AY106" s="399"/>
      <c r="AZ106" s="399">
        <v>0</v>
      </c>
      <c r="BA106" s="399"/>
      <c r="BB106" s="399"/>
      <c r="BC106" s="399"/>
      <c r="BD106" s="399"/>
      <c r="BE106" s="399"/>
      <c r="BF106" s="399"/>
      <c r="BG106" s="399"/>
      <c r="BH106" s="399"/>
      <c r="BI106" s="399">
        <v>0</v>
      </c>
      <c r="BJ106" s="399">
        <v>0</v>
      </c>
      <c r="BK106" s="399">
        <v>0</v>
      </c>
      <c r="BL106" s="399">
        <v>1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/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/>
      <c r="CJ106" s="399">
        <v>-0.03</v>
      </c>
      <c r="CK106" s="399"/>
      <c r="CL106" s="399"/>
      <c r="CM106" s="399"/>
      <c r="CN106" s="399"/>
      <c r="CO106" s="399">
        <v>0</v>
      </c>
      <c r="CP106" s="399">
        <v>0</v>
      </c>
      <c r="CQ106" s="399">
        <v>30</v>
      </c>
      <c r="CR106" s="399"/>
      <c r="CS106" s="399"/>
      <c r="CT106" s="399"/>
      <c r="CU106" s="399"/>
      <c r="CV106" s="399"/>
      <c r="CW106" s="399"/>
      <c r="CX106" s="399"/>
      <c r="CY106" s="399"/>
      <c r="CZ106" s="399"/>
      <c r="DA106" s="399"/>
      <c r="DB106" s="399"/>
      <c r="DC106" s="399"/>
      <c r="DD106" s="399"/>
      <c r="DE106" s="399"/>
      <c r="DF106" s="399"/>
      <c r="DG106" s="399"/>
      <c r="DH106" s="399"/>
      <c r="DI106" s="399"/>
      <c r="DJ106" s="399"/>
      <c r="DK106" s="399">
        <v>0</v>
      </c>
      <c r="DL106" s="399"/>
      <c r="DM106" s="399"/>
      <c r="DN106" s="399"/>
      <c r="DO106" s="399"/>
      <c r="DP106" s="399"/>
      <c r="DQ106" s="399"/>
      <c r="DR106" s="399"/>
      <c r="DS106" s="399"/>
      <c r="DT106" s="399"/>
      <c r="DU106" s="399"/>
      <c r="DV106" s="399"/>
      <c r="DW106" s="399"/>
      <c r="DX106" s="399"/>
      <c r="DY106" s="399"/>
      <c r="DZ106" s="399"/>
      <c r="EA106" s="399"/>
      <c r="EB106" s="399"/>
      <c r="EC106" s="399"/>
      <c r="ED106" s="399"/>
      <c r="EE106" s="399"/>
      <c r="EF106" s="399"/>
      <c r="EG106" s="399"/>
      <c r="EH106" s="399"/>
      <c r="EI106" s="399"/>
      <c r="EJ106" s="399"/>
      <c r="EK106" s="399"/>
      <c r="EL106" s="399"/>
      <c r="EM106" s="399"/>
      <c r="EN106" s="399"/>
      <c r="EO106" s="399"/>
      <c r="EP106" s="399"/>
      <c r="EQ106" s="399"/>
      <c r="ER106" s="399"/>
      <c r="ES106" s="399"/>
      <c r="ET106" s="399"/>
      <c r="EU106" s="399"/>
      <c r="EV106" s="399">
        <v>230</v>
      </c>
      <c r="EW106" s="399"/>
      <c r="EX106" s="399"/>
      <c r="EY106" s="399"/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105</v>
      </c>
      <c r="B107" s="399" t="s">
        <v>956</v>
      </c>
      <c r="C107" s="399" t="s">
        <v>2337</v>
      </c>
      <c r="D107" s="399" t="s">
        <v>533</v>
      </c>
      <c r="E107" s="399" t="s">
        <v>890</v>
      </c>
      <c r="F107" s="399" t="s">
        <v>1239</v>
      </c>
      <c r="G107" s="399" t="s">
        <v>1239</v>
      </c>
      <c r="H107" s="399" t="s">
        <v>1239</v>
      </c>
      <c r="I107" s="399" t="s">
        <v>893</v>
      </c>
      <c r="J107" s="399" t="s">
        <v>2329</v>
      </c>
      <c r="K107" s="789">
        <v>44501</v>
      </c>
      <c r="L107" s="399">
        <v>0</v>
      </c>
      <c r="M107" s="399">
        <v>0</v>
      </c>
      <c r="N107" s="399">
        <v>805.73800000000006</v>
      </c>
      <c r="O107" s="399">
        <v>805.73800000000006</v>
      </c>
      <c r="P107" s="399">
        <v>805.73800000000006</v>
      </c>
      <c r="Q107" s="399">
        <v>805.73800000000006</v>
      </c>
      <c r="R107" s="399"/>
      <c r="S107" s="399">
        <v>1351.49</v>
      </c>
      <c r="T107" s="399">
        <v>128.11000000000001</v>
      </c>
      <c r="U107" s="399"/>
      <c r="V107" s="399">
        <v>1192169.9447999999</v>
      </c>
      <c r="W107" s="399">
        <v>1192169.9447999999</v>
      </c>
      <c r="X107" s="399">
        <v>920080.27958000009</v>
      </c>
      <c r="Y107" s="399">
        <v>0</v>
      </c>
      <c r="Z107" s="399">
        <v>42911.965308875115</v>
      </c>
      <c r="AA107" s="399">
        <v>0</v>
      </c>
      <c r="AB107" s="399">
        <v>0</v>
      </c>
      <c r="AC107" s="399">
        <v>0</v>
      </c>
      <c r="AD107" s="399">
        <v>0</v>
      </c>
      <c r="AE107" s="399">
        <v>905604.89904570358</v>
      </c>
      <c r="AF107" s="399">
        <v>103223.9383245341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7617.3265241919207</v>
      </c>
      <c r="AM107" s="399"/>
      <c r="AN107" s="399">
        <v>396.10132669885468</v>
      </c>
      <c r="AO107" s="399">
        <v>16737.216062207386</v>
      </c>
      <c r="AP107" s="399">
        <v>89027.665544680989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4220.9514260460137</v>
      </c>
      <c r="BH107" s="399">
        <v>0</v>
      </c>
      <c r="BI107" s="399">
        <v>0</v>
      </c>
      <c r="BJ107" s="399">
        <v>0</v>
      </c>
      <c r="BK107" s="399">
        <v>0</v>
      </c>
      <c r="BL107" s="399">
        <v>0</v>
      </c>
      <c r="BM107" s="399"/>
      <c r="BN107" s="399"/>
      <c r="BO107" s="399"/>
      <c r="BP107" s="399"/>
      <c r="BQ107" s="399"/>
      <c r="BR107" s="399"/>
      <c r="BS107" s="399"/>
      <c r="BT107" s="399"/>
      <c r="BU107" s="399"/>
      <c r="BV107" s="399">
        <v>107444.88975058011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920082.5634000001</v>
      </c>
      <c r="CJ107" s="399">
        <v>-272087.41139999987</v>
      </c>
      <c r="CK107" s="399"/>
      <c r="CL107" s="399"/>
      <c r="CM107" s="399"/>
      <c r="CN107" s="399"/>
      <c r="CO107" s="399">
        <v>-276811.28989999997</v>
      </c>
      <c r="CP107" s="399">
        <v>4721.6246799999881</v>
      </c>
      <c r="CQ107" s="399">
        <v>30</v>
      </c>
      <c r="CR107" s="399">
        <v>7920.8951861252426</v>
      </c>
      <c r="CS107" s="399">
        <v>1221.7466459371572</v>
      </c>
      <c r="CT107" s="399">
        <v>6498.6465712438803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0</v>
      </c>
      <c r="DA107" s="399">
        <v>0</v>
      </c>
      <c r="DB107" s="399">
        <v>0</v>
      </c>
      <c r="DC107" s="399">
        <v>4721.1688398058031</v>
      </c>
      <c r="DD107" s="399">
        <v>0</v>
      </c>
      <c r="DE107" s="399">
        <v>0</v>
      </c>
      <c r="DF107" s="399">
        <v>0</v>
      </c>
      <c r="DG107" s="399">
        <v>193.0542921577744</v>
      </c>
      <c r="DH107" s="399">
        <v>0</v>
      </c>
      <c r="DI107" s="399">
        <v>-4059.0935437024673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-608.21747833859263</v>
      </c>
      <c r="DP107" s="399">
        <v>-46.41014097825672</v>
      </c>
      <c r="DQ107" s="399">
        <v>0</v>
      </c>
      <c r="DR107" s="399">
        <v>0</v>
      </c>
      <c r="DS107" s="399"/>
      <c r="DT107" s="399"/>
      <c r="DU107" s="399"/>
      <c r="DV107" s="399">
        <v>905604.89904570358</v>
      </c>
      <c r="DW107" s="399">
        <v>0</v>
      </c>
      <c r="DX107" s="399">
        <v>0</v>
      </c>
      <c r="DY107" s="399">
        <v>-276811.28989999986</v>
      </c>
      <c r="DZ107" s="399">
        <v>4721.6246799999935</v>
      </c>
      <c r="EA107" s="399">
        <v>0</v>
      </c>
      <c r="EB107" s="399">
        <v>0</v>
      </c>
      <c r="EC107" s="399">
        <v>-280013.87239074241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22430.704840055998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230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106</v>
      </c>
      <c r="B108" s="399" t="s">
        <v>956</v>
      </c>
      <c r="C108" s="399" t="s">
        <v>2337</v>
      </c>
      <c r="D108" s="399" t="s">
        <v>533</v>
      </c>
      <c r="E108" s="399" t="s">
        <v>890</v>
      </c>
      <c r="F108" s="399" t="s">
        <v>1239</v>
      </c>
      <c r="G108" s="399" t="s">
        <v>1239</v>
      </c>
      <c r="H108" s="399" t="s">
        <v>1239</v>
      </c>
      <c r="I108" s="399" t="s">
        <v>2326</v>
      </c>
      <c r="J108" s="399" t="s">
        <v>2329</v>
      </c>
      <c r="K108" s="789">
        <v>44501</v>
      </c>
      <c r="L108" s="399">
        <v>0</v>
      </c>
      <c r="M108" s="399">
        <v>0</v>
      </c>
      <c r="N108" s="399">
        <v>13251.582</v>
      </c>
      <c r="O108" s="399">
        <v>13251.582</v>
      </c>
      <c r="P108" s="399">
        <v>13251.582</v>
      </c>
      <c r="Q108" s="399">
        <v>13251.582</v>
      </c>
      <c r="R108" s="399"/>
      <c r="S108" s="399">
        <v>96.28</v>
      </c>
      <c r="T108" s="399">
        <v>128.11000000000001</v>
      </c>
      <c r="U108" s="399"/>
      <c r="V108" s="399">
        <v>2973522.4849800002</v>
      </c>
      <c r="W108" s="399">
        <v>2973522.4849800002</v>
      </c>
      <c r="X108" s="399">
        <v>2976835.3804799998</v>
      </c>
      <c r="Y108" s="399">
        <v>0</v>
      </c>
      <c r="Z108" s="399">
        <v>705752.27564259584</v>
      </c>
      <c r="AA108" s="399">
        <v>0</v>
      </c>
      <c r="AB108" s="399">
        <v>0</v>
      </c>
      <c r="AC108" s="399">
        <v>0</v>
      </c>
      <c r="AD108" s="399">
        <v>0</v>
      </c>
      <c r="AE108" s="399">
        <v>0</v>
      </c>
      <c r="AF108" s="399">
        <v>1697674.0368091194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125278.47396561192</v>
      </c>
      <c r="AM108" s="399"/>
      <c r="AN108" s="399">
        <v>6514.4863604033344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69419.940402793072</v>
      </c>
      <c r="BH108" s="399">
        <v>0</v>
      </c>
      <c r="BI108" s="399">
        <v>0</v>
      </c>
      <c r="BJ108" s="399">
        <v>0</v>
      </c>
      <c r="BK108" s="399">
        <v>0</v>
      </c>
      <c r="BL108" s="399">
        <v>0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1767093.9772119124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2976834.9312</v>
      </c>
      <c r="CJ108" s="399">
        <v>3312.416219999548</v>
      </c>
      <c r="CK108" s="399"/>
      <c r="CL108" s="399"/>
      <c r="CM108" s="399"/>
      <c r="CN108" s="399"/>
      <c r="CO108" s="399">
        <v>-74341.375019999992</v>
      </c>
      <c r="CP108" s="399">
        <v>77654.270519999802</v>
      </c>
      <c r="CQ108" s="399">
        <v>30</v>
      </c>
      <c r="CR108" s="399">
        <v>3297.5586141236126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0</v>
      </c>
      <c r="DA108" s="399">
        <v>0</v>
      </c>
      <c r="DB108" s="399">
        <v>0</v>
      </c>
      <c r="DC108" s="399">
        <v>77646.773537466768</v>
      </c>
      <c r="DD108" s="399">
        <v>0</v>
      </c>
      <c r="DE108" s="399">
        <v>0</v>
      </c>
      <c r="DF108" s="399">
        <v>0</v>
      </c>
      <c r="DG108" s="399">
        <v>3175.0702870917157</v>
      </c>
      <c r="DH108" s="399">
        <v>0</v>
      </c>
      <c r="DI108" s="399">
        <v>-66757.942333666608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-10003.05780295466</v>
      </c>
      <c r="DP108" s="399">
        <v>-763.28507381422878</v>
      </c>
      <c r="DQ108" s="399">
        <v>0</v>
      </c>
      <c r="DR108" s="399">
        <v>0</v>
      </c>
      <c r="DS108" s="399"/>
      <c r="DT108" s="399"/>
      <c r="DU108" s="399"/>
      <c r="DV108" s="399">
        <v>0</v>
      </c>
      <c r="DW108" s="399">
        <v>0</v>
      </c>
      <c r="DX108" s="399">
        <v>0</v>
      </c>
      <c r="DY108" s="399">
        <v>-74341.375020000152</v>
      </c>
      <c r="DZ108" s="399">
        <v>77654.270519999787</v>
      </c>
      <c r="EA108" s="399">
        <v>0</v>
      </c>
      <c r="EB108" s="399">
        <v>0</v>
      </c>
      <c r="EC108" s="399">
        <v>0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368906.92074321792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230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107</v>
      </c>
      <c r="B109" s="399" t="s">
        <v>956</v>
      </c>
      <c r="C109" s="399" t="s">
        <v>2337</v>
      </c>
      <c r="D109" s="399" t="s">
        <v>533</v>
      </c>
      <c r="E109" s="399" t="s">
        <v>890</v>
      </c>
      <c r="F109" s="399" t="s">
        <v>1239</v>
      </c>
      <c r="G109" s="399" t="s">
        <v>1239</v>
      </c>
      <c r="H109" s="399" t="s">
        <v>1239</v>
      </c>
      <c r="I109" s="399" t="s">
        <v>1239</v>
      </c>
      <c r="J109" s="399" t="s">
        <v>2329</v>
      </c>
      <c r="K109" s="789">
        <v>44501</v>
      </c>
      <c r="L109" s="399">
        <v>49779</v>
      </c>
      <c r="M109" s="399">
        <v>49779</v>
      </c>
      <c r="N109" s="399">
        <v>0</v>
      </c>
      <c r="O109" s="399">
        <v>0</v>
      </c>
      <c r="P109" s="399">
        <v>0</v>
      </c>
      <c r="Q109" s="399">
        <v>0</v>
      </c>
      <c r="R109" s="399">
        <v>18.12</v>
      </c>
      <c r="S109" s="399"/>
      <c r="T109" s="399"/>
      <c r="U109" s="399">
        <v>901995.4800000001</v>
      </c>
      <c r="V109" s="399"/>
      <c r="W109" s="399">
        <v>901995.4800000001</v>
      </c>
      <c r="X109" s="399">
        <v>719306.54999999993</v>
      </c>
      <c r="Y109" s="399">
        <v>0</v>
      </c>
      <c r="Z109" s="399">
        <v>0</v>
      </c>
      <c r="AA109" s="399">
        <v>0</v>
      </c>
      <c r="AB109" s="399">
        <v>0</v>
      </c>
      <c r="AC109" s="399">
        <v>0</v>
      </c>
      <c r="AD109" s="399">
        <v>0</v>
      </c>
      <c r="AE109" s="399">
        <v>650060.89053106995</v>
      </c>
      <c r="AF109" s="399"/>
      <c r="AG109" s="399"/>
      <c r="AH109" s="399"/>
      <c r="AI109" s="399">
        <v>0</v>
      </c>
      <c r="AJ109" s="399">
        <v>0</v>
      </c>
      <c r="AK109" s="399">
        <v>0</v>
      </c>
      <c r="AL109" s="399">
        <v>0</v>
      </c>
      <c r="AM109" s="399"/>
      <c r="AN109" s="399">
        <v>0</v>
      </c>
      <c r="AO109" s="399">
        <v>39567.854237453437</v>
      </c>
      <c r="AP109" s="399">
        <v>212124.30004268468</v>
      </c>
      <c r="AQ109" s="399">
        <v>0</v>
      </c>
      <c r="AR109" s="399">
        <v>0</v>
      </c>
      <c r="AS109" s="399"/>
      <c r="AT109" s="399"/>
      <c r="AU109" s="399">
        <v>0</v>
      </c>
      <c r="AV109" s="399">
        <v>0</v>
      </c>
      <c r="AW109" s="399">
        <v>0</v>
      </c>
      <c r="AX109" s="399"/>
      <c r="AY109" s="399"/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/>
      <c r="BG109" s="399">
        <v>0</v>
      </c>
      <c r="BH109" s="399">
        <v>0</v>
      </c>
      <c r="BI109" s="399">
        <v>0</v>
      </c>
      <c r="BJ109" s="399">
        <v>0</v>
      </c>
      <c r="BK109" s="399">
        <v>2013859.42</v>
      </c>
      <c r="BL109" s="399">
        <v>98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0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719306.54999999993</v>
      </c>
      <c r="CJ109" s="399">
        <v>-182688.9600000002</v>
      </c>
      <c r="CK109" s="399"/>
      <c r="CL109" s="399"/>
      <c r="CM109" s="399"/>
      <c r="CN109" s="399"/>
      <c r="CO109" s="399">
        <v>-182688.93000000008</v>
      </c>
      <c r="CP109" s="399">
        <v>0</v>
      </c>
      <c r="CQ109" s="399">
        <v>30</v>
      </c>
      <c r="CR109" s="399">
        <v>18372.47270738185</v>
      </c>
      <c r="CS109" s="399">
        <v>2888.2875755362256</v>
      </c>
      <c r="CT109" s="399">
        <v>15484.185131845617</v>
      </c>
      <c r="CU109" s="399">
        <v>0</v>
      </c>
      <c r="CV109" s="399">
        <v>0</v>
      </c>
      <c r="CW109" s="399"/>
      <c r="CX109" s="399"/>
      <c r="CY109" s="399"/>
      <c r="CZ109" s="399">
        <v>0</v>
      </c>
      <c r="DA109" s="399">
        <v>0</v>
      </c>
      <c r="DB109" s="399">
        <v>0</v>
      </c>
      <c r="DC109" s="399"/>
      <c r="DD109" s="399"/>
      <c r="DE109" s="399">
        <v>0</v>
      </c>
      <c r="DF109" s="399">
        <v>0</v>
      </c>
      <c r="DG109" s="399">
        <v>0</v>
      </c>
      <c r="DH109" s="399">
        <v>0</v>
      </c>
      <c r="DI109" s="399">
        <v>0</v>
      </c>
      <c r="DJ109" s="399"/>
      <c r="DK109" s="399">
        <v>0</v>
      </c>
      <c r="DL109" s="399">
        <v>0</v>
      </c>
      <c r="DM109" s="399"/>
      <c r="DN109" s="399">
        <v>0</v>
      </c>
      <c r="DO109" s="399">
        <v>0</v>
      </c>
      <c r="DP109" s="399">
        <v>0</v>
      </c>
      <c r="DQ109" s="399">
        <v>0</v>
      </c>
      <c r="DR109" s="399">
        <v>0</v>
      </c>
      <c r="DS109" s="399"/>
      <c r="DT109" s="399"/>
      <c r="DU109" s="399">
        <v>650060.89053106995</v>
      </c>
      <c r="DV109" s="399"/>
      <c r="DW109" s="399">
        <v>0</v>
      </c>
      <c r="DX109" s="399">
        <v>0</v>
      </c>
      <c r="DY109" s="399">
        <v>-182688.93000000017</v>
      </c>
      <c r="DZ109" s="399"/>
      <c r="EA109" s="399">
        <v>0</v>
      </c>
      <c r="EB109" s="399"/>
      <c r="EC109" s="399">
        <v>-200999.42860202474</v>
      </c>
      <c r="ED109" s="399"/>
      <c r="EE109" s="399">
        <v>0</v>
      </c>
      <c r="EF109" s="399">
        <v>0</v>
      </c>
      <c r="EG109" s="399"/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/>
      <c r="EN109" s="399"/>
      <c r="EO109" s="399">
        <v>0</v>
      </c>
      <c r="EP109" s="399">
        <v>0</v>
      </c>
      <c r="EQ109" s="399"/>
      <c r="ER109" s="399">
        <v>0</v>
      </c>
      <c r="ES109" s="399"/>
      <c r="ET109" s="399">
        <v>0</v>
      </c>
      <c r="EU109" s="399"/>
      <c r="EV109" s="399">
        <v>230</v>
      </c>
      <c r="EW109" s="399"/>
      <c r="EX109" s="399"/>
      <c r="EY109" s="399"/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108</v>
      </c>
      <c r="B110" s="399" t="s">
        <v>956</v>
      </c>
      <c r="C110" s="399" t="s">
        <v>2328</v>
      </c>
      <c r="D110" s="399" t="s">
        <v>1826</v>
      </c>
      <c r="E110" s="399" t="s">
        <v>918</v>
      </c>
      <c r="F110" s="399" t="s">
        <v>1239</v>
      </c>
      <c r="G110" s="399" t="s">
        <v>1239</v>
      </c>
      <c r="H110" s="399" t="s">
        <v>1239</v>
      </c>
      <c r="I110" s="399" t="s">
        <v>1239</v>
      </c>
      <c r="J110" s="399" t="s">
        <v>2329</v>
      </c>
      <c r="K110" s="789">
        <v>44501</v>
      </c>
      <c r="L110" s="399">
        <v>0</v>
      </c>
      <c r="M110" s="399">
        <v>0</v>
      </c>
      <c r="N110" s="399">
        <v>1053.56</v>
      </c>
      <c r="O110" s="399">
        <v>1053.56</v>
      </c>
      <c r="P110" s="399">
        <v>1053.56</v>
      </c>
      <c r="Q110" s="399">
        <v>1053.56</v>
      </c>
      <c r="R110" s="399"/>
      <c r="S110" s="399">
        <v>333.61</v>
      </c>
      <c r="T110" s="399">
        <v>128.11000000000001</v>
      </c>
      <c r="U110" s="399"/>
      <c r="V110" s="399">
        <v>486449.72320000001</v>
      </c>
      <c r="W110" s="399">
        <v>486449.72320000001</v>
      </c>
      <c r="X110" s="399">
        <v>424616.2868</v>
      </c>
      <c r="Y110" s="399">
        <v>0</v>
      </c>
      <c r="Z110" s="399">
        <v>64494.782110397129</v>
      </c>
      <c r="AA110" s="399">
        <v>0</v>
      </c>
      <c r="AB110" s="399">
        <v>0</v>
      </c>
      <c r="AC110" s="399">
        <v>0</v>
      </c>
      <c r="AD110" s="399">
        <v>0</v>
      </c>
      <c r="AE110" s="399">
        <v>204913.41464335803</v>
      </c>
      <c r="AF110" s="399">
        <v>134972.6740717158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9960.1986412799688</v>
      </c>
      <c r="AM110" s="399"/>
      <c r="AN110" s="399">
        <v>906.47028252387167</v>
      </c>
      <c r="AO110" s="399">
        <v>3662.1958086370455</v>
      </c>
      <c r="AP110" s="399">
        <v>19535.779143532131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14295.092778994636</v>
      </c>
      <c r="BH110" s="399">
        <v>0</v>
      </c>
      <c r="BI110" s="399">
        <v>0</v>
      </c>
      <c r="BJ110" s="399">
        <v>0</v>
      </c>
      <c r="BK110" s="399">
        <v>190463.82</v>
      </c>
      <c r="BL110" s="399">
        <v>1653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149267.76685071044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424616.2868</v>
      </c>
      <c r="CJ110" s="399">
        <v>-61833.466400000034</v>
      </c>
      <c r="CK110" s="399"/>
      <c r="CL110" s="399"/>
      <c r="CM110" s="399"/>
      <c r="CN110" s="399"/>
      <c r="CO110" s="399">
        <v>-68007.29800000001</v>
      </c>
      <c r="CP110" s="399">
        <v>6173.8615999999838</v>
      </c>
      <c r="CQ110" s="399">
        <v>30</v>
      </c>
      <c r="CR110" s="399">
        <v>1518.3031160826795</v>
      </c>
      <c r="CS110" s="399">
        <v>267.32494994017907</v>
      </c>
      <c r="CT110" s="399">
        <v>1426.0300252844754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0</v>
      </c>
      <c r="DA110" s="399">
        <v>0</v>
      </c>
      <c r="DB110" s="399">
        <v>0</v>
      </c>
      <c r="DC110" s="399">
        <v>6173.265556379105</v>
      </c>
      <c r="DD110" s="399">
        <v>0</v>
      </c>
      <c r="DE110" s="399">
        <v>0</v>
      </c>
      <c r="DF110" s="399">
        <v>0</v>
      </c>
      <c r="DG110" s="399">
        <v>653.8168150310612</v>
      </c>
      <c r="DH110" s="399">
        <v>0</v>
      </c>
      <c r="DI110" s="399">
        <v>-6100.637707512833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-795.28780630727124</v>
      </c>
      <c r="DP110" s="399">
        <v>-106.20871673201339</v>
      </c>
      <c r="DQ110" s="399">
        <v>0</v>
      </c>
      <c r="DR110" s="399">
        <v>0</v>
      </c>
      <c r="DS110" s="399"/>
      <c r="DT110" s="399"/>
      <c r="DU110" s="399"/>
      <c r="DV110" s="399">
        <v>204913.41464335803</v>
      </c>
      <c r="DW110" s="399">
        <v>0</v>
      </c>
      <c r="DX110" s="399">
        <v>0</v>
      </c>
      <c r="DY110" s="399">
        <v>-68007.29800000001</v>
      </c>
      <c r="DZ110" s="399">
        <v>6173.8616000000038</v>
      </c>
      <c r="EA110" s="399">
        <v>0</v>
      </c>
      <c r="EB110" s="399">
        <v>0</v>
      </c>
      <c r="EC110" s="399">
        <v>-63359.417334822909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33712.355302982214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230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109</v>
      </c>
      <c r="B111" s="399" t="s">
        <v>2330</v>
      </c>
      <c r="C111" s="399" t="s">
        <v>2328</v>
      </c>
      <c r="D111" s="399" t="s">
        <v>1826</v>
      </c>
      <c r="E111" s="399" t="s">
        <v>918</v>
      </c>
      <c r="F111" s="399" t="s">
        <v>1239</v>
      </c>
      <c r="G111" s="399" t="s">
        <v>1239</v>
      </c>
      <c r="H111" s="399" t="s">
        <v>1239</v>
      </c>
      <c r="I111" s="399" t="s">
        <v>1239</v>
      </c>
      <c r="J111" s="399" t="s">
        <v>2329</v>
      </c>
      <c r="K111" s="789">
        <v>44501</v>
      </c>
      <c r="L111" s="399">
        <v>0</v>
      </c>
      <c r="M111" s="399">
        <v>0</v>
      </c>
      <c r="N111" s="399">
        <v>0.08</v>
      </c>
      <c r="O111" s="399">
        <v>0.08</v>
      </c>
      <c r="P111" s="399">
        <v>0.08</v>
      </c>
      <c r="Q111" s="399">
        <v>0.08</v>
      </c>
      <c r="R111" s="399"/>
      <c r="S111" s="399">
        <v>333.61</v>
      </c>
      <c r="T111" s="399">
        <v>128.11000000000001</v>
      </c>
      <c r="U111" s="399"/>
      <c r="V111" s="399">
        <v>36.937600000000003</v>
      </c>
      <c r="W111" s="399">
        <v>36.937600000000003</v>
      </c>
      <c r="X111" s="399">
        <v>32.242400000000004</v>
      </c>
      <c r="Y111" s="399">
        <v>0</v>
      </c>
      <c r="Z111" s="399">
        <v>4.8972840358705438</v>
      </c>
      <c r="AA111" s="399">
        <v>0</v>
      </c>
      <c r="AB111" s="399">
        <v>0</v>
      </c>
      <c r="AC111" s="399">
        <v>0</v>
      </c>
      <c r="AD111" s="399">
        <v>0</v>
      </c>
      <c r="AE111" s="399">
        <v>15.559695861145681</v>
      </c>
      <c r="AF111" s="399">
        <v>10.248883714014639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0.75630803305212568</v>
      </c>
      <c r="AM111" s="399"/>
      <c r="AN111" s="399">
        <v>6.8831032501148248E-2</v>
      </c>
      <c r="AO111" s="399">
        <v>0.27808161347333199</v>
      </c>
      <c r="AP111" s="399">
        <v>1.4834108465417921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1.085469666957336</v>
      </c>
      <c r="BH111" s="399">
        <v>0</v>
      </c>
      <c r="BI111" s="399">
        <v>0</v>
      </c>
      <c r="BJ111" s="399">
        <v>0</v>
      </c>
      <c r="BK111" s="399">
        <v>14.54</v>
      </c>
      <c r="BL111" s="399">
        <v>0</v>
      </c>
      <c r="BM111" s="399"/>
      <c r="BN111" s="399"/>
      <c r="BO111" s="399"/>
      <c r="BP111" s="399"/>
      <c r="BQ111" s="399"/>
      <c r="BR111" s="399"/>
      <c r="BS111" s="399"/>
      <c r="BT111" s="399"/>
      <c r="BU111" s="399"/>
      <c r="BV111" s="399">
        <v>11.334353380971974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32.242400000000004</v>
      </c>
      <c r="CJ111" s="399">
        <v>-4.725200000000001</v>
      </c>
      <c r="CK111" s="399"/>
      <c r="CL111" s="399"/>
      <c r="CM111" s="399"/>
      <c r="CN111" s="399"/>
      <c r="CO111" s="399">
        <v>-5.1640000000000006</v>
      </c>
      <c r="CP111" s="399">
        <v>0.46879999999999883</v>
      </c>
      <c r="CQ111" s="399">
        <v>30</v>
      </c>
      <c r="CR111" s="399">
        <v>0.11528935161416598</v>
      </c>
      <c r="CS111" s="399">
        <v>2.0298792660327192E-2</v>
      </c>
      <c r="CT111" s="399">
        <v>0.1082827765127361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0</v>
      </c>
      <c r="DA111" s="399">
        <v>0</v>
      </c>
      <c r="DB111" s="399">
        <v>0</v>
      </c>
      <c r="DC111" s="399">
        <v>0.46875474060360212</v>
      </c>
      <c r="DD111" s="399">
        <v>0</v>
      </c>
      <c r="DE111" s="399">
        <v>0</v>
      </c>
      <c r="DF111" s="399">
        <v>0</v>
      </c>
      <c r="DG111" s="399">
        <v>4.9646289914655917E-2</v>
      </c>
      <c r="DH111" s="399">
        <v>0</v>
      </c>
      <c r="DI111" s="399">
        <v>-0.46323988818959183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-6.0388610524869657E-2</v>
      </c>
      <c r="DP111" s="399">
        <v>-8.0647493626951269E-3</v>
      </c>
      <c r="DQ111" s="399">
        <v>0</v>
      </c>
      <c r="DR111" s="399">
        <v>0</v>
      </c>
      <c r="DS111" s="399"/>
      <c r="DT111" s="399"/>
      <c r="DU111" s="399"/>
      <c r="DV111" s="399">
        <v>15.559695861145681</v>
      </c>
      <c r="DW111" s="399">
        <v>0</v>
      </c>
      <c r="DX111" s="399">
        <v>0</v>
      </c>
      <c r="DY111" s="399">
        <v>-5.1640000000000015</v>
      </c>
      <c r="DZ111" s="399">
        <v>0.46879999999999988</v>
      </c>
      <c r="EA111" s="399">
        <v>0</v>
      </c>
      <c r="EB111" s="399">
        <v>0</v>
      </c>
      <c r="EC111" s="399">
        <v>-4.8110723516324008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2.5598811878189922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230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110</v>
      </c>
      <c r="B112" s="399" t="s">
        <v>2331</v>
      </c>
      <c r="C112" s="399" t="s">
        <v>2328</v>
      </c>
      <c r="D112" s="399" t="s">
        <v>1826</v>
      </c>
      <c r="E112" s="399" t="s">
        <v>918</v>
      </c>
      <c r="F112" s="399" t="s">
        <v>1239</v>
      </c>
      <c r="G112" s="399" t="s">
        <v>1239</v>
      </c>
      <c r="H112" s="399" t="s">
        <v>1239</v>
      </c>
      <c r="I112" s="399" t="s">
        <v>1239</v>
      </c>
      <c r="J112" s="399" t="s">
        <v>2329</v>
      </c>
      <c r="K112" s="789">
        <v>44501</v>
      </c>
      <c r="L112" s="399">
        <v>0</v>
      </c>
      <c r="M112" s="399">
        <v>0</v>
      </c>
      <c r="N112" s="399">
        <v>0.43</v>
      </c>
      <c r="O112" s="399">
        <v>0.43</v>
      </c>
      <c r="P112" s="399">
        <v>0.43</v>
      </c>
      <c r="Q112" s="399">
        <v>0.43</v>
      </c>
      <c r="R112" s="399"/>
      <c r="S112" s="399">
        <v>333.61</v>
      </c>
      <c r="T112" s="399">
        <v>128.11000000000001</v>
      </c>
      <c r="U112" s="399"/>
      <c r="V112" s="399">
        <v>198.53960000000001</v>
      </c>
      <c r="W112" s="399">
        <v>198.53960000000001</v>
      </c>
      <c r="X112" s="399">
        <v>173.30289999999999</v>
      </c>
      <c r="Y112" s="399">
        <v>0</v>
      </c>
      <c r="Z112" s="399">
        <v>26.322901692804173</v>
      </c>
      <c r="AA112" s="399">
        <v>0</v>
      </c>
      <c r="AB112" s="399">
        <v>0</v>
      </c>
      <c r="AC112" s="399">
        <v>0</v>
      </c>
      <c r="AD112" s="399">
        <v>0</v>
      </c>
      <c r="AE112" s="399">
        <v>83.633365253658027</v>
      </c>
      <c r="AF112" s="399">
        <v>55.087749962828688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4.0651556776551754</v>
      </c>
      <c r="AM112" s="399"/>
      <c r="AN112" s="399">
        <v>0.3699667996936718</v>
      </c>
      <c r="AO112" s="399">
        <v>1.4946886724191595</v>
      </c>
      <c r="AP112" s="399">
        <v>7.9733333001621327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5.834399459895681</v>
      </c>
      <c r="BH112" s="399">
        <v>0</v>
      </c>
      <c r="BI112" s="399">
        <v>0</v>
      </c>
      <c r="BJ112" s="399">
        <v>0</v>
      </c>
      <c r="BK112" s="399">
        <v>946.51</v>
      </c>
      <c r="BL112" s="399">
        <v>5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>
        <v>60.922149422724367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173.30289999999999</v>
      </c>
      <c r="CJ112" s="399">
        <v>-25.266699999999986</v>
      </c>
      <c r="CK112" s="399"/>
      <c r="CL112" s="399"/>
      <c r="CM112" s="399"/>
      <c r="CN112" s="399"/>
      <c r="CO112" s="399">
        <v>-27.756500000000006</v>
      </c>
      <c r="CP112" s="399">
        <v>2.5197999999999938</v>
      </c>
      <c r="CQ112" s="399">
        <v>30</v>
      </c>
      <c r="CR112" s="399">
        <v>0.6196802649261457</v>
      </c>
      <c r="CS112" s="399">
        <v>0.10910601054925873</v>
      </c>
      <c r="CT112" s="399">
        <v>0.58201992375595513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0</v>
      </c>
      <c r="DA112" s="399">
        <v>0</v>
      </c>
      <c r="DB112" s="399">
        <v>0</v>
      </c>
      <c r="DC112" s="399">
        <v>2.5195567307443554</v>
      </c>
      <c r="DD112" s="399">
        <v>0</v>
      </c>
      <c r="DE112" s="399">
        <v>0</v>
      </c>
      <c r="DF112" s="399">
        <v>0</v>
      </c>
      <c r="DG112" s="399">
        <v>0.26684880829127611</v>
      </c>
      <c r="DH112" s="399">
        <v>0</v>
      </c>
      <c r="DI112" s="399">
        <v>-2.4899143990190566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-0.32458878157117432</v>
      </c>
      <c r="DP112" s="399">
        <v>-4.3348027824486268E-2</v>
      </c>
      <c r="DQ112" s="399">
        <v>0</v>
      </c>
      <c r="DR112" s="399">
        <v>0</v>
      </c>
      <c r="DS112" s="399"/>
      <c r="DT112" s="399"/>
      <c r="DU112" s="399"/>
      <c r="DV112" s="399">
        <v>83.633365253658027</v>
      </c>
      <c r="DW112" s="399">
        <v>0</v>
      </c>
      <c r="DX112" s="399">
        <v>0</v>
      </c>
      <c r="DY112" s="399">
        <v>-27.756500000000003</v>
      </c>
      <c r="DZ112" s="399">
        <v>2.5197999999999894</v>
      </c>
      <c r="EA112" s="399">
        <v>0</v>
      </c>
      <c r="EB112" s="399">
        <v>0</v>
      </c>
      <c r="EC112" s="399">
        <v>-25.859513890024154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13.759361384527082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230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111</v>
      </c>
      <c r="B113" s="399" t="s">
        <v>956</v>
      </c>
      <c r="C113" s="399" t="s">
        <v>2337</v>
      </c>
      <c r="D113" s="399" t="s">
        <v>533</v>
      </c>
      <c r="E113" s="399" t="s">
        <v>918</v>
      </c>
      <c r="F113" s="399" t="s">
        <v>1239</v>
      </c>
      <c r="G113" s="399" t="s">
        <v>1239</v>
      </c>
      <c r="H113" s="399" t="s">
        <v>1239</v>
      </c>
      <c r="I113" s="399" t="s">
        <v>893</v>
      </c>
      <c r="J113" s="399" t="s">
        <v>2329</v>
      </c>
      <c r="K113" s="789">
        <v>44501</v>
      </c>
      <c r="L113" s="399">
        <v>0</v>
      </c>
      <c r="M113" s="399">
        <v>0</v>
      </c>
      <c r="N113" s="399">
        <v>40.037999999999997</v>
      </c>
      <c r="O113" s="399">
        <v>40.037999999999997</v>
      </c>
      <c r="P113" s="399">
        <v>40.037999999999997</v>
      </c>
      <c r="Q113" s="399">
        <v>40.037999999999997</v>
      </c>
      <c r="R113" s="399"/>
      <c r="S113" s="399">
        <v>1351.49</v>
      </c>
      <c r="T113" s="399">
        <v>128.11000000000001</v>
      </c>
      <c r="U113" s="399"/>
      <c r="V113" s="399">
        <v>59240.224799999996</v>
      </c>
      <c r="W113" s="399">
        <v>59240.224799999996</v>
      </c>
      <c r="X113" s="399">
        <v>45719.792580000001</v>
      </c>
      <c r="Y113" s="399">
        <v>0</v>
      </c>
      <c r="Z113" s="399">
        <v>2132.3423582315113</v>
      </c>
      <c r="AA113" s="399">
        <v>0</v>
      </c>
      <c r="AB113" s="399">
        <v>0</v>
      </c>
      <c r="AC113" s="399">
        <v>0</v>
      </c>
      <c r="AD113" s="399">
        <v>0</v>
      </c>
      <c r="AE113" s="399">
        <v>45000.495133643788</v>
      </c>
      <c r="AF113" s="399">
        <v>5129.3100767714759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378.51326284176258</v>
      </c>
      <c r="AM113" s="399"/>
      <c r="AN113" s="399">
        <v>19.682706932487658</v>
      </c>
      <c r="AO113" s="399">
        <v>831.69052061421849</v>
      </c>
      <c r="AP113" s="399">
        <v>4423.8817991430678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209.74367995059222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/>
      <c r="BS113" s="399"/>
      <c r="BT113" s="399"/>
      <c r="BU113" s="399"/>
      <c r="BV113" s="399">
        <v>5339.0537567220681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45722.076399999998</v>
      </c>
      <c r="CJ113" s="399">
        <v>-13518.178400000004</v>
      </c>
      <c r="CK113" s="399"/>
      <c r="CL113" s="399"/>
      <c r="CM113" s="399"/>
      <c r="CN113" s="399"/>
      <c r="CO113" s="399">
        <v>-13755.054899999997</v>
      </c>
      <c r="CP113" s="399">
        <v>234.62267999999938</v>
      </c>
      <c r="CQ113" s="399">
        <v>30</v>
      </c>
      <c r="CR113" s="399">
        <v>393.597920741091</v>
      </c>
      <c r="CS113" s="399">
        <v>60.709923337402415</v>
      </c>
      <c r="CT113" s="399">
        <v>322.92483588891446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0</v>
      </c>
      <c r="DA113" s="399">
        <v>0</v>
      </c>
      <c r="DB113" s="399">
        <v>0</v>
      </c>
      <c r="DC113" s="399">
        <v>234.60002880358752</v>
      </c>
      <c r="DD113" s="399">
        <v>0</v>
      </c>
      <c r="DE113" s="399">
        <v>0</v>
      </c>
      <c r="DF113" s="399">
        <v>0</v>
      </c>
      <c r="DG113" s="399">
        <v>9.5930783324268702</v>
      </c>
      <c r="DH113" s="399">
        <v>0</v>
      </c>
      <c r="DI113" s="399">
        <v>-201.70078524627024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-30.222989852434182</v>
      </c>
      <c r="DP113" s="399">
        <v>-2.3061705225364086</v>
      </c>
      <c r="DQ113" s="399">
        <v>0</v>
      </c>
      <c r="DR113" s="399">
        <v>0</v>
      </c>
      <c r="DS113" s="399"/>
      <c r="DT113" s="399"/>
      <c r="DU113" s="399"/>
      <c r="DV113" s="399">
        <v>45000.495133643788</v>
      </c>
      <c r="DW113" s="399">
        <v>0</v>
      </c>
      <c r="DX113" s="399">
        <v>0</v>
      </c>
      <c r="DY113" s="399">
        <v>-13755.054899999996</v>
      </c>
      <c r="DZ113" s="399">
        <v>234.62267999999949</v>
      </c>
      <c r="EA113" s="399">
        <v>0</v>
      </c>
      <c r="EB113" s="399">
        <v>0</v>
      </c>
      <c r="EC113" s="399">
        <v>-13914.19471686894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1114.6061876021261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230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112</v>
      </c>
      <c r="B114" s="399" t="s">
        <v>956</v>
      </c>
      <c r="C114" s="399" t="s">
        <v>2337</v>
      </c>
      <c r="D114" s="399" t="s">
        <v>533</v>
      </c>
      <c r="E114" s="399" t="s">
        <v>918</v>
      </c>
      <c r="F114" s="399" t="s">
        <v>1239</v>
      </c>
      <c r="G114" s="399" t="s">
        <v>1239</v>
      </c>
      <c r="H114" s="399" t="s">
        <v>1239</v>
      </c>
      <c r="I114" s="399" t="s">
        <v>2326</v>
      </c>
      <c r="J114" s="399" t="s">
        <v>2329</v>
      </c>
      <c r="K114" s="789">
        <v>44501</v>
      </c>
      <c r="L114" s="399">
        <v>0</v>
      </c>
      <c r="M114" s="399">
        <v>0</v>
      </c>
      <c r="N114" s="399">
        <v>443.66300000000001</v>
      </c>
      <c r="O114" s="399">
        <v>443.66300000000001</v>
      </c>
      <c r="P114" s="399">
        <v>443.66300000000001</v>
      </c>
      <c r="Q114" s="399">
        <v>443.66300000000001</v>
      </c>
      <c r="R114" s="399"/>
      <c r="S114" s="399">
        <v>96.28</v>
      </c>
      <c r="T114" s="399">
        <v>128.11000000000001</v>
      </c>
      <c r="U114" s="399"/>
      <c r="V114" s="399">
        <v>99553.540570000012</v>
      </c>
      <c r="W114" s="399">
        <v>99553.540570000012</v>
      </c>
      <c r="X114" s="399">
        <v>99664.456319999998</v>
      </c>
      <c r="Y114" s="399">
        <v>0</v>
      </c>
      <c r="Z114" s="399">
        <v>23628.588033369975</v>
      </c>
      <c r="AA114" s="399">
        <v>0</v>
      </c>
      <c r="AB114" s="399">
        <v>0</v>
      </c>
      <c r="AC114" s="399">
        <v>0</v>
      </c>
      <c r="AD114" s="399">
        <v>0</v>
      </c>
      <c r="AE114" s="399">
        <v>0</v>
      </c>
      <c r="AF114" s="399">
        <v>56838.131190135966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4194.3236358500653</v>
      </c>
      <c r="AM114" s="399"/>
      <c r="AN114" s="399">
        <v>218.10502037535025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2324.1797861511463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59162.31097628711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99663.782399999996</v>
      </c>
      <c r="CJ114" s="399">
        <v>110.21183000000019</v>
      </c>
      <c r="CK114" s="399"/>
      <c r="CL114" s="399"/>
      <c r="CM114" s="399"/>
      <c r="CN114" s="399"/>
      <c r="CO114" s="399">
        <v>-2488.9494299999997</v>
      </c>
      <c r="CP114" s="399">
        <v>2599.8651799999934</v>
      </c>
      <c r="CQ114" s="399">
        <v>30</v>
      </c>
      <c r="CR114" s="399">
        <v>110.40227102075005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0</v>
      </c>
      <c r="DA114" s="399">
        <v>0</v>
      </c>
      <c r="DB114" s="399">
        <v>0</v>
      </c>
      <c r="DC114" s="399">
        <v>2599.6141810051922</v>
      </c>
      <c r="DD114" s="399">
        <v>0</v>
      </c>
      <c r="DE114" s="399">
        <v>0</v>
      </c>
      <c r="DF114" s="399">
        <v>0</v>
      </c>
      <c r="DG114" s="399">
        <v>106.30136151155193</v>
      </c>
      <c r="DH114" s="399">
        <v>0</v>
      </c>
      <c r="DI114" s="399">
        <v>-2235.0560838382553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-334.90240139119032</v>
      </c>
      <c r="DP114" s="399">
        <v>-25.554786266548575</v>
      </c>
      <c r="DQ114" s="399">
        <v>0</v>
      </c>
      <c r="DR114" s="399">
        <v>0</v>
      </c>
      <c r="DS114" s="399"/>
      <c r="DT114" s="399"/>
      <c r="DU114" s="399"/>
      <c r="DV114" s="399">
        <v>0</v>
      </c>
      <c r="DW114" s="399">
        <v>0</v>
      </c>
      <c r="DX114" s="399">
        <v>0</v>
      </c>
      <c r="DY114" s="399">
        <v>-2488.9494299999933</v>
      </c>
      <c r="DZ114" s="399">
        <v>2599.8651799999934</v>
      </c>
      <c r="EA114" s="399">
        <v>0</v>
      </c>
      <c r="EB114" s="399">
        <v>0</v>
      </c>
      <c r="EC114" s="399">
        <v>0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12351.004670815779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230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113</v>
      </c>
      <c r="B115" s="399" t="s">
        <v>956</v>
      </c>
      <c r="C115" s="399" t="s">
        <v>2337</v>
      </c>
      <c r="D115" s="399" t="s">
        <v>533</v>
      </c>
      <c r="E115" s="399" t="s">
        <v>918</v>
      </c>
      <c r="F115" s="399" t="s">
        <v>1239</v>
      </c>
      <c r="G115" s="399" t="s">
        <v>1239</v>
      </c>
      <c r="H115" s="399" t="s">
        <v>1239</v>
      </c>
      <c r="I115" s="399" t="s">
        <v>1239</v>
      </c>
      <c r="J115" s="399" t="s">
        <v>2329</v>
      </c>
      <c r="K115" s="789">
        <v>44501</v>
      </c>
      <c r="L115" s="399">
        <v>1693</v>
      </c>
      <c r="M115" s="399">
        <v>1693</v>
      </c>
      <c r="N115" s="399">
        <v>0</v>
      </c>
      <c r="O115" s="399">
        <v>0</v>
      </c>
      <c r="P115" s="399">
        <v>0</v>
      </c>
      <c r="Q115" s="399">
        <v>0</v>
      </c>
      <c r="R115" s="399">
        <v>18.12</v>
      </c>
      <c r="S115" s="399"/>
      <c r="T115" s="399"/>
      <c r="U115" s="399">
        <v>30677.160000000003</v>
      </c>
      <c r="V115" s="399"/>
      <c r="W115" s="399">
        <v>30677.160000000003</v>
      </c>
      <c r="X115" s="399">
        <v>24463.85</v>
      </c>
      <c r="Y115" s="399">
        <v>0</v>
      </c>
      <c r="Z115" s="399">
        <v>0</v>
      </c>
      <c r="AA115" s="399">
        <v>0</v>
      </c>
      <c r="AB115" s="399">
        <v>0</v>
      </c>
      <c r="AC115" s="399">
        <v>0</v>
      </c>
      <c r="AD115" s="399">
        <v>0</v>
      </c>
      <c r="AE115" s="399">
        <v>22108.782572351822</v>
      </c>
      <c r="AF115" s="399"/>
      <c r="AG115" s="399"/>
      <c r="AH115" s="399"/>
      <c r="AI115" s="399">
        <v>0</v>
      </c>
      <c r="AJ115" s="399">
        <v>0</v>
      </c>
      <c r="AK115" s="399">
        <v>0</v>
      </c>
      <c r="AL115" s="399">
        <v>0</v>
      </c>
      <c r="AM115" s="399"/>
      <c r="AN115" s="399">
        <v>0</v>
      </c>
      <c r="AO115" s="399">
        <v>1345.7156074651693</v>
      </c>
      <c r="AP115" s="399">
        <v>7214.416520465762</v>
      </c>
      <c r="AQ115" s="399">
        <v>0</v>
      </c>
      <c r="AR115" s="399">
        <v>0</v>
      </c>
      <c r="AS115" s="399"/>
      <c r="AT115" s="399"/>
      <c r="AU115" s="399">
        <v>0</v>
      </c>
      <c r="AV115" s="399">
        <v>0</v>
      </c>
      <c r="AW115" s="399">
        <v>0</v>
      </c>
      <c r="AX115" s="399"/>
      <c r="AY115" s="399"/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/>
      <c r="BG115" s="399">
        <v>0</v>
      </c>
      <c r="BH115" s="399">
        <v>0</v>
      </c>
      <c r="BI115" s="399">
        <v>0</v>
      </c>
      <c r="BJ115" s="399">
        <v>0</v>
      </c>
      <c r="BK115" s="399">
        <v>77782.539999999994</v>
      </c>
      <c r="BL115" s="399">
        <v>17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0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24463.85</v>
      </c>
      <c r="CJ115" s="399">
        <v>-6213.34</v>
      </c>
      <c r="CK115" s="399"/>
      <c r="CL115" s="399"/>
      <c r="CM115" s="399"/>
      <c r="CN115" s="399"/>
      <c r="CO115" s="399">
        <v>-6213.3100000000031</v>
      </c>
      <c r="CP115" s="399">
        <v>0</v>
      </c>
      <c r="CQ115" s="399">
        <v>30</v>
      </c>
      <c r="CR115" s="399">
        <v>624.85377957768287</v>
      </c>
      <c r="CS115" s="399">
        <v>98.231600984005809</v>
      </c>
      <c r="CT115" s="399">
        <v>526.62217859367684</v>
      </c>
      <c r="CU115" s="399">
        <v>0</v>
      </c>
      <c r="CV115" s="399">
        <v>0</v>
      </c>
      <c r="CW115" s="399"/>
      <c r="CX115" s="399"/>
      <c r="CY115" s="399"/>
      <c r="CZ115" s="399">
        <v>0</v>
      </c>
      <c r="DA115" s="399">
        <v>0</v>
      </c>
      <c r="DB115" s="399">
        <v>0</v>
      </c>
      <c r="DC115" s="399"/>
      <c r="DD115" s="399"/>
      <c r="DE115" s="399">
        <v>0</v>
      </c>
      <c r="DF115" s="399">
        <v>0</v>
      </c>
      <c r="DG115" s="399">
        <v>0</v>
      </c>
      <c r="DH115" s="399">
        <v>0</v>
      </c>
      <c r="DI115" s="399">
        <v>0</v>
      </c>
      <c r="DJ115" s="399"/>
      <c r="DK115" s="399">
        <v>0</v>
      </c>
      <c r="DL115" s="399">
        <v>0</v>
      </c>
      <c r="DM115" s="399"/>
      <c r="DN115" s="399">
        <v>0</v>
      </c>
      <c r="DO115" s="399">
        <v>0</v>
      </c>
      <c r="DP115" s="399">
        <v>0</v>
      </c>
      <c r="DQ115" s="399">
        <v>0</v>
      </c>
      <c r="DR115" s="399">
        <v>0</v>
      </c>
      <c r="DS115" s="399"/>
      <c r="DT115" s="399"/>
      <c r="DU115" s="399">
        <v>22108.782572351822</v>
      </c>
      <c r="DV115" s="399"/>
      <c r="DW115" s="399">
        <v>0</v>
      </c>
      <c r="DX115" s="399">
        <v>0</v>
      </c>
      <c r="DY115" s="399">
        <v>-6213.3100000000049</v>
      </c>
      <c r="DZ115" s="399"/>
      <c r="EA115" s="399">
        <v>0</v>
      </c>
      <c r="EB115" s="399"/>
      <c r="EC115" s="399">
        <v>-6836.0560200732798</v>
      </c>
      <c r="ED115" s="399"/>
      <c r="EE115" s="399">
        <v>0</v>
      </c>
      <c r="EF115" s="399">
        <v>0</v>
      </c>
      <c r="EG115" s="399"/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/>
      <c r="EN115" s="399"/>
      <c r="EO115" s="399">
        <v>0</v>
      </c>
      <c r="EP115" s="399">
        <v>0</v>
      </c>
      <c r="EQ115" s="399"/>
      <c r="ER115" s="399">
        <v>0</v>
      </c>
      <c r="ES115" s="399"/>
      <c r="ET115" s="399">
        <v>0</v>
      </c>
      <c r="EU115" s="399"/>
      <c r="EV115" s="399">
        <v>230</v>
      </c>
      <c r="EW115" s="399"/>
      <c r="EX115" s="399"/>
      <c r="EY115" s="399"/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114</v>
      </c>
      <c r="B116" s="399" t="s">
        <v>956</v>
      </c>
      <c r="C116" s="399" t="s">
        <v>2328</v>
      </c>
      <c r="D116" s="399" t="s">
        <v>2340</v>
      </c>
      <c r="E116" s="399" t="s">
        <v>894</v>
      </c>
      <c r="F116" s="399" t="s">
        <v>1239</v>
      </c>
      <c r="G116" s="399" t="s">
        <v>1239</v>
      </c>
      <c r="H116" s="399" t="s">
        <v>1239</v>
      </c>
      <c r="I116" s="399" t="s">
        <v>1239</v>
      </c>
      <c r="J116" s="399" t="s">
        <v>2329</v>
      </c>
      <c r="K116" s="789">
        <v>44501</v>
      </c>
      <c r="L116" s="399">
        <v>0</v>
      </c>
      <c r="M116" s="399">
        <v>0</v>
      </c>
      <c r="N116" s="399">
        <v>1227.769</v>
      </c>
      <c r="O116" s="399">
        <v>1227.769</v>
      </c>
      <c r="P116" s="399">
        <v>1227.769</v>
      </c>
      <c r="Q116" s="399">
        <v>1227.769</v>
      </c>
      <c r="R116" s="399"/>
      <c r="S116" s="399">
        <v>333.61</v>
      </c>
      <c r="T116" s="399">
        <v>128.11000000000001</v>
      </c>
      <c r="U116" s="399"/>
      <c r="V116" s="399">
        <v>566885.50268000003</v>
      </c>
      <c r="W116" s="399">
        <v>566885.50268000003</v>
      </c>
      <c r="X116" s="399">
        <v>494827.74007000006</v>
      </c>
      <c r="Y116" s="399">
        <v>0</v>
      </c>
      <c r="Z116" s="399">
        <v>75159.169042959271</v>
      </c>
      <c r="AA116" s="399">
        <v>0</v>
      </c>
      <c r="AB116" s="399">
        <v>0</v>
      </c>
      <c r="AC116" s="399">
        <v>0</v>
      </c>
      <c r="AD116" s="399">
        <v>0</v>
      </c>
      <c r="AE116" s="399">
        <v>238796.40284678715</v>
      </c>
      <c r="AF116" s="399">
        <v>157290.7713584005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11607.144467904691</v>
      </c>
      <c r="AM116" s="399"/>
      <c r="AN116" s="399">
        <v>1056.3575992862784</v>
      </c>
      <c r="AO116" s="399">
        <v>4267.7498061567421</v>
      </c>
      <c r="AP116" s="399">
        <v>22766.073145597118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16658.825094131767</v>
      </c>
      <c r="BH116" s="399">
        <v>0</v>
      </c>
      <c r="BI116" s="399">
        <v>0</v>
      </c>
      <c r="BJ116" s="399">
        <v>0</v>
      </c>
      <c r="BK116" s="399">
        <v>133551.65</v>
      </c>
      <c r="BL116" s="399">
        <v>2374</v>
      </c>
      <c r="BM116" s="399"/>
      <c r="BN116" s="399"/>
      <c r="BO116" s="399"/>
      <c r="BP116" s="399"/>
      <c r="BQ116" s="399"/>
      <c r="BR116" s="399">
        <v>59387.186529999992</v>
      </c>
      <c r="BS116" s="399"/>
      <c r="BT116" s="399"/>
      <c r="BU116" s="399"/>
      <c r="BV116" s="399">
        <v>173949.59645253228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435440.90820000001</v>
      </c>
      <c r="CJ116" s="399">
        <v>-63426.221880000026</v>
      </c>
      <c r="CK116" s="399"/>
      <c r="CL116" s="399"/>
      <c r="CM116" s="399"/>
      <c r="CN116" s="399"/>
      <c r="CO116" s="399">
        <v>-79252.488950000014</v>
      </c>
      <c r="CP116" s="399">
        <v>7194.726339999982</v>
      </c>
      <c r="CQ116" s="399">
        <v>30</v>
      </c>
      <c r="CR116" s="399">
        <v>1769.3586492746253</v>
      </c>
      <c r="CS116" s="399">
        <v>311.5278545722158</v>
      </c>
      <c r="CT116" s="399">
        <v>1661.8279529533174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0</v>
      </c>
      <c r="DA116" s="399">
        <v>0</v>
      </c>
      <c r="DB116" s="399">
        <v>0</v>
      </c>
      <c r="DC116" s="399">
        <v>7194.0317389518023</v>
      </c>
      <c r="DD116" s="399">
        <v>0</v>
      </c>
      <c r="DE116" s="399">
        <v>0</v>
      </c>
      <c r="DF116" s="399">
        <v>0</v>
      </c>
      <c r="DG116" s="399">
        <v>761.92719652784217</v>
      </c>
      <c r="DH116" s="399">
        <v>0</v>
      </c>
      <c r="DI116" s="399">
        <v>-7109.3946785330918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-926.79079944385921</v>
      </c>
      <c r="DP116" s="399">
        <v>-123.77061575358528</v>
      </c>
      <c r="DQ116" s="399">
        <v>0</v>
      </c>
      <c r="DR116" s="399">
        <v>0</v>
      </c>
      <c r="DS116" s="399"/>
      <c r="DT116" s="399"/>
      <c r="DU116" s="399"/>
      <c r="DV116" s="399">
        <v>238796.40284678715</v>
      </c>
      <c r="DW116" s="399">
        <v>0</v>
      </c>
      <c r="DX116" s="399">
        <v>0</v>
      </c>
      <c r="DY116" s="399">
        <v>-79252.48894999997</v>
      </c>
      <c r="DZ116" s="399">
        <v>7194.7263399999938</v>
      </c>
      <c r="EA116" s="399">
        <v>0</v>
      </c>
      <c r="EB116" s="399">
        <v>0</v>
      </c>
      <c r="EC116" s="399">
        <v>-73836.068626142049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39286.784576091697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230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115</v>
      </c>
      <c r="B117" s="399" t="s">
        <v>2331</v>
      </c>
      <c r="C117" s="399" t="s">
        <v>2328</v>
      </c>
      <c r="D117" s="399" t="s">
        <v>2340</v>
      </c>
      <c r="E117" s="399" t="s">
        <v>894</v>
      </c>
      <c r="F117" s="399" t="s">
        <v>1239</v>
      </c>
      <c r="G117" s="399" t="s">
        <v>1239</v>
      </c>
      <c r="H117" s="399" t="s">
        <v>1239</v>
      </c>
      <c r="I117" s="399" t="s">
        <v>1239</v>
      </c>
      <c r="J117" s="399" t="s">
        <v>2329</v>
      </c>
      <c r="K117" s="789">
        <v>44501</v>
      </c>
      <c r="L117" s="399">
        <v>0</v>
      </c>
      <c r="M117" s="399">
        <v>0</v>
      </c>
      <c r="N117" s="399">
        <v>27.45</v>
      </c>
      <c r="O117" s="399">
        <v>27.45</v>
      </c>
      <c r="P117" s="399">
        <v>27.45</v>
      </c>
      <c r="Q117" s="399">
        <v>27.45</v>
      </c>
      <c r="R117" s="399"/>
      <c r="S117" s="399">
        <v>333.61</v>
      </c>
      <c r="T117" s="399">
        <v>128.11000000000001</v>
      </c>
      <c r="U117" s="399"/>
      <c r="V117" s="399">
        <v>12674.214</v>
      </c>
      <c r="W117" s="399">
        <v>12674.214</v>
      </c>
      <c r="X117" s="399">
        <v>11063.173500000001</v>
      </c>
      <c r="Y117" s="399">
        <v>0</v>
      </c>
      <c r="Z117" s="399">
        <v>1680.3805848080804</v>
      </c>
      <c r="AA117" s="399">
        <v>0</v>
      </c>
      <c r="AB117" s="399">
        <v>0</v>
      </c>
      <c r="AC117" s="399">
        <v>0</v>
      </c>
      <c r="AD117" s="399">
        <v>0</v>
      </c>
      <c r="AE117" s="399">
        <v>5338.9206423556116</v>
      </c>
      <c r="AF117" s="399">
        <v>3516.648224371273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259.50819384101061</v>
      </c>
      <c r="AM117" s="399"/>
      <c r="AN117" s="399">
        <v>23.617648026956491</v>
      </c>
      <c r="AO117" s="399">
        <v>95.416753623037039</v>
      </c>
      <c r="AP117" s="399">
        <v>508.99534671965239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372.45177947473593</v>
      </c>
      <c r="BH117" s="399">
        <v>0</v>
      </c>
      <c r="BI117" s="399">
        <v>0</v>
      </c>
      <c r="BJ117" s="399">
        <v>0</v>
      </c>
      <c r="BK117" s="399">
        <v>6782.68</v>
      </c>
      <c r="BL117" s="399">
        <v>17</v>
      </c>
      <c r="BM117" s="399"/>
      <c r="BN117" s="399"/>
      <c r="BO117" s="399"/>
      <c r="BP117" s="399"/>
      <c r="BQ117" s="399"/>
      <c r="BR117" s="399">
        <v>1327.7564999999997</v>
      </c>
      <c r="BS117" s="399"/>
      <c r="BT117" s="399"/>
      <c r="BU117" s="399"/>
      <c r="BV117" s="399">
        <v>3889.1000038460088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9735.4170000000013</v>
      </c>
      <c r="CJ117" s="399">
        <v>-1418.0969999999998</v>
      </c>
      <c r="CK117" s="399"/>
      <c r="CL117" s="399"/>
      <c r="CM117" s="399"/>
      <c r="CN117" s="399"/>
      <c r="CO117" s="399">
        <v>-1771.8975000000003</v>
      </c>
      <c r="CP117" s="399">
        <v>160.8569999999996</v>
      </c>
      <c r="CQ117" s="399">
        <v>30</v>
      </c>
      <c r="CR117" s="399">
        <v>39.558658772606577</v>
      </c>
      <c r="CS117" s="399">
        <v>6.9650232315747758</v>
      </c>
      <c r="CT117" s="399">
        <v>37.154527690932582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160.84147036961076</v>
      </c>
      <c r="DD117" s="399">
        <v>0</v>
      </c>
      <c r="DE117" s="399">
        <v>0</v>
      </c>
      <c r="DF117" s="399">
        <v>0</v>
      </c>
      <c r="DG117" s="399">
        <v>17.034883226966315</v>
      </c>
      <c r="DH117" s="399">
        <v>0</v>
      </c>
      <c r="DI117" s="399">
        <v>-158.94918663505382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-20.720841986345903</v>
      </c>
      <c r="DP117" s="399">
        <v>-2.7672171250747652</v>
      </c>
      <c r="DQ117" s="399">
        <v>0</v>
      </c>
      <c r="DR117" s="399">
        <v>0</v>
      </c>
      <c r="DS117" s="399"/>
      <c r="DT117" s="399"/>
      <c r="DU117" s="399"/>
      <c r="DV117" s="399">
        <v>5338.9206423556116</v>
      </c>
      <c r="DW117" s="399">
        <v>0</v>
      </c>
      <c r="DX117" s="399">
        <v>0</v>
      </c>
      <c r="DY117" s="399">
        <v>-1771.8974999999991</v>
      </c>
      <c r="DZ117" s="399">
        <v>160.85699999999952</v>
      </c>
      <c r="EA117" s="399">
        <v>0</v>
      </c>
      <c r="EB117" s="399">
        <v>0</v>
      </c>
      <c r="EC117" s="399">
        <v>-1650.7992006538675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878.35923257039167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230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116</v>
      </c>
      <c r="B118" s="399" t="s">
        <v>956</v>
      </c>
      <c r="C118" s="399" t="s">
        <v>2328</v>
      </c>
      <c r="D118" s="399" t="s">
        <v>1826</v>
      </c>
      <c r="E118" s="399" t="s">
        <v>2341</v>
      </c>
      <c r="F118" s="399" t="s">
        <v>1239</v>
      </c>
      <c r="G118" s="399" t="s">
        <v>1239</v>
      </c>
      <c r="H118" s="399" t="s">
        <v>1239</v>
      </c>
      <c r="I118" s="399" t="s">
        <v>1239</v>
      </c>
      <c r="J118" s="399" t="s">
        <v>2329</v>
      </c>
      <c r="K118" s="789">
        <v>44501</v>
      </c>
      <c r="L118" s="399">
        <v>0</v>
      </c>
      <c r="M118" s="399">
        <v>0</v>
      </c>
      <c r="N118" s="399">
        <v>183.25700000000001</v>
      </c>
      <c r="O118" s="399">
        <v>183.25700000000001</v>
      </c>
      <c r="P118" s="399">
        <v>183.25700000000001</v>
      </c>
      <c r="Q118" s="399">
        <v>183.25700000000001</v>
      </c>
      <c r="R118" s="399"/>
      <c r="S118" s="399">
        <v>333.61</v>
      </c>
      <c r="T118" s="399">
        <v>128.11000000000001</v>
      </c>
      <c r="U118" s="399"/>
      <c r="V118" s="399">
        <v>84613.422040000005</v>
      </c>
      <c r="W118" s="399">
        <v>84613.422040000005</v>
      </c>
      <c r="X118" s="399">
        <v>73858.068710000007</v>
      </c>
      <c r="Y118" s="399">
        <v>0</v>
      </c>
      <c r="Z118" s="399">
        <v>11218.269757019103</v>
      </c>
      <c r="AA118" s="399">
        <v>0</v>
      </c>
      <c r="AB118" s="399">
        <v>0</v>
      </c>
      <c r="AC118" s="399">
        <v>0</v>
      </c>
      <c r="AD118" s="399">
        <v>0</v>
      </c>
      <c r="AE118" s="399">
        <v>35642.789805324675</v>
      </c>
      <c r="AF118" s="399">
        <v>23477.246034739761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1732.4842651629174</v>
      </c>
      <c r="AM118" s="399"/>
      <c r="AN118" s="399">
        <v>157.67210653828656</v>
      </c>
      <c r="AO118" s="399">
        <v>637.00502800353001</v>
      </c>
      <c r="AP118" s="399">
        <v>3398.0677688088649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2486.4989344700066</v>
      </c>
      <c r="BH118" s="399">
        <v>0</v>
      </c>
      <c r="BI118" s="399">
        <v>0</v>
      </c>
      <c r="BJ118" s="399">
        <v>0</v>
      </c>
      <c r="BK118" s="399">
        <v>28244.33</v>
      </c>
      <c r="BL118" s="399">
        <v>210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25963.744969209769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73859.277799999996</v>
      </c>
      <c r="CJ118" s="399">
        <v>-10754.174240000008</v>
      </c>
      <c r="CK118" s="399"/>
      <c r="CL118" s="399"/>
      <c r="CM118" s="399"/>
      <c r="CN118" s="399"/>
      <c r="CO118" s="399">
        <v>-11829.239350000002</v>
      </c>
      <c r="CP118" s="399">
        <v>1073.8860199999974</v>
      </c>
      <c r="CQ118" s="399">
        <v>30</v>
      </c>
      <c r="CR118" s="399">
        <v>264.09475885946449</v>
      </c>
      <c r="CS118" s="399">
        <v>46.49869808191977</v>
      </c>
      <c r="CT118" s="399">
        <v>248.04470969243084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0</v>
      </c>
      <c r="DA118" s="399">
        <v>0</v>
      </c>
      <c r="DB118" s="399">
        <v>0</v>
      </c>
      <c r="DC118" s="399">
        <v>1073.7823437349252</v>
      </c>
      <c r="DD118" s="399">
        <v>0</v>
      </c>
      <c r="DE118" s="399">
        <v>0</v>
      </c>
      <c r="DF118" s="399">
        <v>0</v>
      </c>
      <c r="DG118" s="399">
        <v>113.72537688612647</v>
      </c>
      <c r="DH118" s="399">
        <v>0</v>
      </c>
      <c r="DI118" s="399">
        <v>-1061.1494023744999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-138.33294498695045</v>
      </c>
      <c r="DP118" s="399">
        <v>-18.474022174492774</v>
      </c>
      <c r="DQ118" s="399">
        <v>0</v>
      </c>
      <c r="DR118" s="399">
        <v>0</v>
      </c>
      <c r="DS118" s="399"/>
      <c r="DT118" s="399"/>
      <c r="DU118" s="399"/>
      <c r="DV118" s="399">
        <v>35642.789805324675</v>
      </c>
      <c r="DW118" s="399">
        <v>0</v>
      </c>
      <c r="DX118" s="399">
        <v>0</v>
      </c>
      <c r="DY118" s="399">
        <v>-11829.239350000003</v>
      </c>
      <c r="DZ118" s="399">
        <v>1073.8860199999981</v>
      </c>
      <c r="EA118" s="399">
        <v>0</v>
      </c>
      <c r="EB118" s="399">
        <v>0</v>
      </c>
      <c r="EC118" s="399">
        <v>-11020.783574288736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5863.9518354518132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230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117</v>
      </c>
      <c r="B119" s="399" t="s">
        <v>956</v>
      </c>
      <c r="C119" s="399" t="s">
        <v>2337</v>
      </c>
      <c r="D119" s="399" t="s">
        <v>533</v>
      </c>
      <c r="E119" s="399" t="s">
        <v>2341</v>
      </c>
      <c r="F119" s="399" t="s">
        <v>1239</v>
      </c>
      <c r="G119" s="399" t="s">
        <v>1239</v>
      </c>
      <c r="H119" s="399" t="s">
        <v>1239</v>
      </c>
      <c r="I119" s="399" t="s">
        <v>893</v>
      </c>
      <c r="J119" s="399" t="s">
        <v>2329</v>
      </c>
      <c r="K119" s="789">
        <v>44501</v>
      </c>
      <c r="L119" s="399">
        <v>0</v>
      </c>
      <c r="M119" s="399">
        <v>0</v>
      </c>
      <c r="N119" s="399">
        <v>2.0019999999999998</v>
      </c>
      <c r="O119" s="399">
        <v>2.0019999999999998</v>
      </c>
      <c r="P119" s="399">
        <v>2.0019999999999998</v>
      </c>
      <c r="Q119" s="399">
        <v>2.0019999999999998</v>
      </c>
      <c r="R119" s="399"/>
      <c r="S119" s="399">
        <v>1351.49</v>
      </c>
      <c r="T119" s="399">
        <v>128.11000000000001</v>
      </c>
      <c r="U119" s="399"/>
      <c r="V119" s="399">
        <v>2962.1591999999996</v>
      </c>
      <c r="W119" s="399">
        <v>2962.1591999999996</v>
      </c>
      <c r="X119" s="399">
        <v>2286.1038199999998</v>
      </c>
      <c r="Y119" s="399">
        <v>0</v>
      </c>
      <c r="Z119" s="399">
        <v>106.62244370796458</v>
      </c>
      <c r="AA119" s="399">
        <v>0</v>
      </c>
      <c r="AB119" s="399">
        <v>0</v>
      </c>
      <c r="AC119" s="399">
        <v>0</v>
      </c>
      <c r="AD119" s="399">
        <v>0</v>
      </c>
      <c r="AE119" s="399">
        <v>2250.1371511452835</v>
      </c>
      <c r="AF119" s="399">
        <v>256.47831494321633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18.926608527129442</v>
      </c>
      <c r="AM119" s="399"/>
      <c r="AN119" s="399">
        <v>0.98418450668965218</v>
      </c>
      <c r="AO119" s="399">
        <v>41.586603283622196</v>
      </c>
      <c r="AP119" s="399">
        <v>221.20513916490387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10.487707859061032</v>
      </c>
      <c r="BH119" s="399">
        <v>0</v>
      </c>
      <c r="BI119" s="399">
        <v>0</v>
      </c>
      <c r="BJ119" s="399">
        <v>0</v>
      </c>
      <c r="BK119" s="399">
        <v>0</v>
      </c>
      <c r="BL119" s="399">
        <v>0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266.96602280227739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2283.8200000000002</v>
      </c>
      <c r="CJ119" s="399">
        <v>-678.36920000000009</v>
      </c>
      <c r="CK119" s="399"/>
      <c r="CL119" s="399"/>
      <c r="CM119" s="399"/>
      <c r="CN119" s="399"/>
      <c r="CO119" s="399">
        <v>-687.78709999999978</v>
      </c>
      <c r="CP119" s="399">
        <v>11.731719999999969</v>
      </c>
      <c r="CQ119" s="399">
        <v>30</v>
      </c>
      <c r="CR119" s="399">
        <v>19.680879097948491</v>
      </c>
      <c r="CS119" s="399">
        <v>3.0356477976292382</v>
      </c>
      <c r="CT119" s="399">
        <v>16.1470483403169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0</v>
      </c>
      <c r="DA119" s="399">
        <v>0</v>
      </c>
      <c r="DB119" s="399">
        <v>0</v>
      </c>
      <c r="DC119" s="399">
        <v>11.730587383605098</v>
      </c>
      <c r="DD119" s="399">
        <v>0</v>
      </c>
      <c r="DE119" s="399">
        <v>0</v>
      </c>
      <c r="DF119" s="399">
        <v>0</v>
      </c>
      <c r="DG119" s="399">
        <v>0.47967787655523608</v>
      </c>
      <c r="DH119" s="399">
        <v>0</v>
      </c>
      <c r="DI119" s="399">
        <v>-10.085543035691927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-1.5112249783848632</v>
      </c>
      <c r="DP119" s="399">
        <v>-0.11531428608117023</v>
      </c>
      <c r="DQ119" s="399">
        <v>0</v>
      </c>
      <c r="DR119" s="399">
        <v>0</v>
      </c>
      <c r="DS119" s="399"/>
      <c r="DT119" s="399"/>
      <c r="DU119" s="399"/>
      <c r="DV119" s="399">
        <v>2250.1371511452835</v>
      </c>
      <c r="DW119" s="399">
        <v>0</v>
      </c>
      <c r="DX119" s="399">
        <v>0</v>
      </c>
      <c r="DY119" s="399">
        <v>-687.78709999999978</v>
      </c>
      <c r="DZ119" s="399">
        <v>11.731719999999939</v>
      </c>
      <c r="EA119" s="399">
        <v>0</v>
      </c>
      <c r="EB119" s="399">
        <v>0</v>
      </c>
      <c r="EC119" s="399">
        <v>-695.74448831539075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55.733093250898058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230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118</v>
      </c>
      <c r="B120" s="399" t="s">
        <v>956</v>
      </c>
      <c r="C120" s="399" t="s">
        <v>2337</v>
      </c>
      <c r="D120" s="399" t="s">
        <v>533</v>
      </c>
      <c r="E120" s="399" t="s">
        <v>2341</v>
      </c>
      <c r="F120" s="399" t="s">
        <v>1239</v>
      </c>
      <c r="G120" s="399" t="s">
        <v>1239</v>
      </c>
      <c r="H120" s="399" t="s">
        <v>1239</v>
      </c>
      <c r="I120" s="399" t="s">
        <v>2326</v>
      </c>
      <c r="J120" s="399" t="s">
        <v>2329</v>
      </c>
      <c r="K120" s="789">
        <v>44501</v>
      </c>
      <c r="L120" s="399">
        <v>0</v>
      </c>
      <c r="M120" s="399">
        <v>0</v>
      </c>
      <c r="N120" s="399">
        <v>22.597000000000001</v>
      </c>
      <c r="O120" s="399">
        <v>22.597000000000001</v>
      </c>
      <c r="P120" s="399">
        <v>22.597000000000001</v>
      </c>
      <c r="Q120" s="399">
        <v>22.597000000000001</v>
      </c>
      <c r="R120" s="399"/>
      <c r="S120" s="399">
        <v>96.28</v>
      </c>
      <c r="T120" s="399">
        <v>128.11000000000001</v>
      </c>
      <c r="U120" s="399"/>
      <c r="V120" s="399">
        <v>5070.5408300000008</v>
      </c>
      <c r="W120" s="399">
        <v>5070.5408300000008</v>
      </c>
      <c r="X120" s="399">
        <v>5076.1900800000003</v>
      </c>
      <c r="Y120" s="399">
        <v>0</v>
      </c>
      <c r="Z120" s="399">
        <v>1203.4702100244135</v>
      </c>
      <c r="AA120" s="399">
        <v>0</v>
      </c>
      <c r="AB120" s="399">
        <v>0</v>
      </c>
      <c r="AC120" s="399">
        <v>0</v>
      </c>
      <c r="AD120" s="399">
        <v>0</v>
      </c>
      <c r="AE120" s="399">
        <v>0</v>
      </c>
      <c r="AF120" s="399">
        <v>2894.9253160698604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213.62865778598606</v>
      </c>
      <c r="AM120" s="399"/>
      <c r="AN120" s="399">
        <v>11.108699948884153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118.37699025534575</v>
      </c>
      <c r="BH120" s="399">
        <v>0</v>
      </c>
      <c r="BI120" s="399">
        <v>0</v>
      </c>
      <c r="BJ120" s="399">
        <v>0</v>
      </c>
      <c r="BK120" s="399">
        <v>0</v>
      </c>
      <c r="BL120" s="399">
        <v>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3013.3023063252062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5076.8640000000005</v>
      </c>
      <c r="CJ120" s="399">
        <v>6.2931699999990087</v>
      </c>
      <c r="CK120" s="399"/>
      <c r="CL120" s="399"/>
      <c r="CM120" s="399"/>
      <c r="CN120" s="399"/>
      <c r="CO120" s="399">
        <v>-126.76916999999999</v>
      </c>
      <c r="CP120" s="399">
        <v>132.41841999999968</v>
      </c>
      <c r="CQ120" s="399">
        <v>30</v>
      </c>
      <c r="CR120" s="399">
        <v>5.6230970765091115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0</v>
      </c>
      <c r="DA120" s="399">
        <v>0</v>
      </c>
      <c r="DB120" s="399">
        <v>0</v>
      </c>
      <c r="DC120" s="399">
        <v>132.4056359177448</v>
      </c>
      <c r="DD120" s="399">
        <v>0</v>
      </c>
      <c r="DE120" s="399">
        <v>0</v>
      </c>
      <c r="DF120" s="399">
        <v>0</v>
      </c>
      <c r="DG120" s="399">
        <v>5.4142262619973565</v>
      </c>
      <c r="DH120" s="399">
        <v>0</v>
      </c>
      <c r="DI120" s="399">
        <v>-113.83767031844673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-17.057517900380986</v>
      </c>
      <c r="DP120" s="399">
        <v>-1.3015768844036995</v>
      </c>
      <c r="DQ120" s="399">
        <v>0</v>
      </c>
      <c r="DR120" s="399">
        <v>0</v>
      </c>
      <c r="DS120" s="399"/>
      <c r="DT120" s="399"/>
      <c r="DU120" s="399"/>
      <c r="DV120" s="399">
        <v>0</v>
      </c>
      <c r="DW120" s="399">
        <v>0</v>
      </c>
      <c r="DX120" s="399">
        <v>0</v>
      </c>
      <c r="DY120" s="399">
        <v>-126.76917000000003</v>
      </c>
      <c r="DZ120" s="399">
        <v>132.41841999999951</v>
      </c>
      <c r="EA120" s="399">
        <v>0</v>
      </c>
      <c r="EB120" s="399">
        <v>0</v>
      </c>
      <c r="EC120" s="399">
        <v>0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629.07128281245934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230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119</v>
      </c>
      <c r="B121" s="399" t="s">
        <v>956</v>
      </c>
      <c r="C121" s="399" t="s">
        <v>2337</v>
      </c>
      <c r="D121" s="399" t="s">
        <v>533</v>
      </c>
      <c r="E121" s="399" t="s">
        <v>2341</v>
      </c>
      <c r="F121" s="399" t="s">
        <v>1239</v>
      </c>
      <c r="G121" s="399" t="s">
        <v>1239</v>
      </c>
      <c r="H121" s="399" t="s">
        <v>1239</v>
      </c>
      <c r="I121" s="399" t="s">
        <v>1239</v>
      </c>
      <c r="J121" s="399" t="s">
        <v>2329</v>
      </c>
      <c r="K121" s="789">
        <v>44501</v>
      </c>
      <c r="L121" s="399">
        <v>320</v>
      </c>
      <c r="M121" s="399">
        <v>320</v>
      </c>
      <c r="N121" s="399">
        <v>0</v>
      </c>
      <c r="O121" s="399">
        <v>0</v>
      </c>
      <c r="P121" s="399">
        <v>0</v>
      </c>
      <c r="Q121" s="399">
        <v>0</v>
      </c>
      <c r="R121" s="399">
        <v>18.12</v>
      </c>
      <c r="S121" s="399"/>
      <c r="T121" s="399"/>
      <c r="U121" s="399">
        <v>5798.4000000000005</v>
      </c>
      <c r="V121" s="399"/>
      <c r="W121" s="399">
        <v>5798.4000000000005</v>
      </c>
      <c r="X121" s="399">
        <v>4624</v>
      </c>
      <c r="Y121" s="399">
        <v>0</v>
      </c>
      <c r="Z121" s="399">
        <v>0</v>
      </c>
      <c r="AA121" s="399">
        <v>0</v>
      </c>
      <c r="AB121" s="399">
        <v>0</v>
      </c>
      <c r="AC121" s="399">
        <v>0</v>
      </c>
      <c r="AD121" s="399">
        <v>0</v>
      </c>
      <c r="AE121" s="399">
        <v>4178.8602617558081</v>
      </c>
      <c r="AF121" s="399"/>
      <c r="AG121" s="399"/>
      <c r="AH121" s="399"/>
      <c r="AI121" s="399">
        <v>0</v>
      </c>
      <c r="AJ121" s="399">
        <v>0</v>
      </c>
      <c r="AK121" s="399">
        <v>0</v>
      </c>
      <c r="AL121" s="399">
        <v>0</v>
      </c>
      <c r="AM121" s="399"/>
      <c r="AN121" s="399">
        <v>0</v>
      </c>
      <c r="AO121" s="399">
        <v>254.35853183039231</v>
      </c>
      <c r="AP121" s="399">
        <v>1363.6227327519455</v>
      </c>
      <c r="AQ121" s="399">
        <v>0</v>
      </c>
      <c r="AR121" s="399">
        <v>0</v>
      </c>
      <c r="AS121" s="399"/>
      <c r="AT121" s="399"/>
      <c r="AU121" s="399">
        <v>0</v>
      </c>
      <c r="AV121" s="399">
        <v>0</v>
      </c>
      <c r="AW121" s="399">
        <v>0</v>
      </c>
      <c r="AX121" s="399"/>
      <c r="AY121" s="399"/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/>
      <c r="BG121" s="399">
        <v>0</v>
      </c>
      <c r="BH121" s="399">
        <v>0</v>
      </c>
      <c r="BI121" s="399">
        <v>0</v>
      </c>
      <c r="BJ121" s="399">
        <v>0</v>
      </c>
      <c r="BK121" s="399">
        <v>4697.34</v>
      </c>
      <c r="BL121" s="399">
        <v>3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0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4624</v>
      </c>
      <c r="CJ121" s="399">
        <v>-1174.4300000000012</v>
      </c>
      <c r="CK121" s="399"/>
      <c r="CL121" s="399"/>
      <c r="CM121" s="399"/>
      <c r="CN121" s="399"/>
      <c r="CO121" s="399">
        <v>-1174.4000000000005</v>
      </c>
      <c r="CP121" s="399">
        <v>0</v>
      </c>
      <c r="CQ121" s="399">
        <v>30</v>
      </c>
      <c r="CR121" s="399">
        <v>118.1058531983806</v>
      </c>
      <c r="CS121" s="399">
        <v>18.567107096799731</v>
      </c>
      <c r="CT121" s="399">
        <v>99.538746101580955</v>
      </c>
      <c r="CU121" s="399">
        <v>0</v>
      </c>
      <c r="CV121" s="399">
        <v>0</v>
      </c>
      <c r="CW121" s="399"/>
      <c r="CX121" s="399"/>
      <c r="CY121" s="399"/>
      <c r="CZ121" s="399">
        <v>0</v>
      </c>
      <c r="DA121" s="399">
        <v>0</v>
      </c>
      <c r="DB121" s="399">
        <v>0</v>
      </c>
      <c r="DC121" s="399"/>
      <c r="DD121" s="399"/>
      <c r="DE121" s="399">
        <v>0</v>
      </c>
      <c r="DF121" s="399">
        <v>0</v>
      </c>
      <c r="DG121" s="399">
        <v>0</v>
      </c>
      <c r="DH121" s="399">
        <v>0</v>
      </c>
      <c r="DI121" s="399">
        <v>0</v>
      </c>
      <c r="DJ121" s="399"/>
      <c r="DK121" s="399">
        <v>0</v>
      </c>
      <c r="DL121" s="399">
        <v>0</v>
      </c>
      <c r="DM121" s="399"/>
      <c r="DN121" s="399">
        <v>0</v>
      </c>
      <c r="DO121" s="399">
        <v>0</v>
      </c>
      <c r="DP121" s="399">
        <v>0</v>
      </c>
      <c r="DQ121" s="399">
        <v>0</v>
      </c>
      <c r="DR121" s="399">
        <v>0</v>
      </c>
      <c r="DS121" s="399"/>
      <c r="DT121" s="399"/>
      <c r="DU121" s="399">
        <v>4178.8602617558081</v>
      </c>
      <c r="DV121" s="399"/>
      <c r="DW121" s="399">
        <v>0</v>
      </c>
      <c r="DX121" s="399">
        <v>0</v>
      </c>
      <c r="DY121" s="399">
        <v>-1174.4000000000005</v>
      </c>
      <c r="DZ121" s="399"/>
      <c r="EA121" s="399">
        <v>0</v>
      </c>
      <c r="EB121" s="399"/>
      <c r="EC121" s="399">
        <v>-1292.1074580173949</v>
      </c>
      <c r="ED121" s="399"/>
      <c r="EE121" s="399">
        <v>0</v>
      </c>
      <c r="EF121" s="399">
        <v>0</v>
      </c>
      <c r="EG121" s="399"/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/>
      <c r="EN121" s="399"/>
      <c r="EO121" s="399">
        <v>0</v>
      </c>
      <c r="EP121" s="399">
        <v>0</v>
      </c>
      <c r="EQ121" s="399"/>
      <c r="ER121" s="399">
        <v>0</v>
      </c>
      <c r="ES121" s="399"/>
      <c r="ET121" s="399">
        <v>0</v>
      </c>
      <c r="EU121" s="399"/>
      <c r="EV121" s="399">
        <v>230</v>
      </c>
      <c r="EW121" s="399"/>
      <c r="EX121" s="399"/>
      <c r="EY121" s="399"/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120</v>
      </c>
      <c r="B122" s="399" t="s">
        <v>956</v>
      </c>
      <c r="C122" s="399" t="s">
        <v>2328</v>
      </c>
      <c r="D122" s="399" t="s">
        <v>2342</v>
      </c>
      <c r="E122" s="399" t="s">
        <v>2343</v>
      </c>
      <c r="F122" s="399" t="s">
        <v>2344</v>
      </c>
      <c r="G122" s="399" t="s">
        <v>1239</v>
      </c>
      <c r="H122" s="399" t="s">
        <v>1239</v>
      </c>
      <c r="I122" s="399" t="s">
        <v>1239</v>
      </c>
      <c r="J122" s="399" t="s">
        <v>2329</v>
      </c>
      <c r="K122" s="789">
        <v>44501</v>
      </c>
      <c r="L122" s="399">
        <v>0</v>
      </c>
      <c r="M122" s="399">
        <v>0</v>
      </c>
      <c r="N122" s="399">
        <v>736.83299999999997</v>
      </c>
      <c r="O122" s="399">
        <v>736.83299999999997</v>
      </c>
      <c r="P122" s="399">
        <v>736.83299999999997</v>
      </c>
      <c r="Q122" s="399">
        <v>736.83299999999997</v>
      </c>
      <c r="R122" s="399"/>
      <c r="S122" s="399">
        <v>183.49</v>
      </c>
      <c r="T122" s="399">
        <v>70.459999999999994</v>
      </c>
      <c r="U122" s="399"/>
      <c r="V122" s="399">
        <v>187118.74035000001</v>
      </c>
      <c r="W122" s="399">
        <v>187118.74035000001</v>
      </c>
      <c r="X122" s="399">
        <v>163326.40278</v>
      </c>
      <c r="Y122" s="399">
        <v>0</v>
      </c>
      <c r="Z122" s="399">
        <v>24808.303355017884</v>
      </c>
      <c r="AA122" s="399">
        <v>0</v>
      </c>
      <c r="AB122" s="399">
        <v>0</v>
      </c>
      <c r="AC122" s="399">
        <v>0</v>
      </c>
      <c r="AD122" s="399">
        <v>0</v>
      </c>
      <c r="AE122" s="399">
        <v>78821.169490632266</v>
      </c>
      <c r="AF122" s="399">
        <v>51918.045668833962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3831.2499288105378</v>
      </c>
      <c r="AM122" s="399"/>
      <c r="AN122" s="399">
        <v>348.67921117506495</v>
      </c>
      <c r="AO122" s="399">
        <v>1408.6855028152218</v>
      </c>
      <c r="AP122" s="399">
        <v>7514.5541919932411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5498.6928639030575</v>
      </c>
      <c r="BH122" s="399">
        <v>0</v>
      </c>
      <c r="BI122" s="399">
        <v>0</v>
      </c>
      <c r="BJ122" s="399">
        <v>0</v>
      </c>
      <c r="BK122" s="399">
        <v>89318.78</v>
      </c>
      <c r="BL122" s="399">
        <v>13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57416.738532737021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163325.7378</v>
      </c>
      <c r="CJ122" s="399">
        <v>-23793.032550000033</v>
      </c>
      <c r="CK122" s="399"/>
      <c r="CL122" s="399"/>
      <c r="CM122" s="399"/>
      <c r="CN122" s="399"/>
      <c r="CO122" s="399">
        <v>-26164.939830000014</v>
      </c>
      <c r="CP122" s="399">
        <v>2372.6022600000097</v>
      </c>
      <c r="CQ122" s="399">
        <v>30</v>
      </c>
      <c r="CR122" s="399">
        <v>584.02436687311274</v>
      </c>
      <c r="CS122" s="399">
        <v>102.82813950947275</v>
      </c>
      <c r="CT122" s="399">
        <v>548.53097108021484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0</v>
      </c>
      <c r="DA122" s="399">
        <v>0</v>
      </c>
      <c r="DB122" s="399">
        <v>0</v>
      </c>
      <c r="DC122" s="399">
        <v>2374.583487259195</v>
      </c>
      <c r="DD122" s="399">
        <v>0</v>
      </c>
      <c r="DE122" s="399">
        <v>0</v>
      </c>
      <c r="DF122" s="399">
        <v>0</v>
      </c>
      <c r="DG122" s="399">
        <v>251.49454506475195</v>
      </c>
      <c r="DH122" s="399">
        <v>0</v>
      </c>
      <c r="DI122" s="399">
        <v>-2346.646751174052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-305.91220727973314</v>
      </c>
      <c r="DP122" s="399">
        <v>-40.853817586743787</v>
      </c>
      <c r="DQ122" s="399">
        <v>0</v>
      </c>
      <c r="DR122" s="399">
        <v>0</v>
      </c>
      <c r="DS122" s="399"/>
      <c r="DT122" s="399"/>
      <c r="DU122" s="399"/>
      <c r="DV122" s="399">
        <v>78821.169490632266</v>
      </c>
      <c r="DW122" s="399">
        <v>0</v>
      </c>
      <c r="DX122" s="399">
        <v>0</v>
      </c>
      <c r="DY122" s="399">
        <v>-26164.939830000018</v>
      </c>
      <c r="DZ122" s="399">
        <v>2372.6022600000069</v>
      </c>
      <c r="EA122" s="399">
        <v>0</v>
      </c>
      <c r="EB122" s="399">
        <v>0</v>
      </c>
      <c r="EC122" s="399">
        <v>-24371.578509233877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12967.658929941612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230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121</v>
      </c>
      <c r="B123" s="399" t="s">
        <v>956</v>
      </c>
      <c r="C123" s="399" t="s">
        <v>2328</v>
      </c>
      <c r="D123" s="399" t="s">
        <v>1826</v>
      </c>
      <c r="E123" s="399" t="s">
        <v>921</v>
      </c>
      <c r="F123" s="399" t="s">
        <v>2345</v>
      </c>
      <c r="G123" s="399" t="s">
        <v>1239</v>
      </c>
      <c r="H123" s="399" t="s">
        <v>1239</v>
      </c>
      <c r="I123" s="399" t="s">
        <v>1239</v>
      </c>
      <c r="J123" s="399" t="s">
        <v>2329</v>
      </c>
      <c r="K123" s="789">
        <v>44501</v>
      </c>
      <c r="L123" s="399">
        <v>0</v>
      </c>
      <c r="M123" s="399">
        <v>0</v>
      </c>
      <c r="N123" s="399">
        <v>74.158000000000001</v>
      </c>
      <c r="O123" s="399">
        <v>69.708519999999993</v>
      </c>
      <c r="P123" s="399">
        <v>74.158000000000001</v>
      </c>
      <c r="Q123" s="399">
        <v>69.708519999999993</v>
      </c>
      <c r="R123" s="399"/>
      <c r="S123" s="399">
        <v>333.61</v>
      </c>
      <c r="T123" s="399">
        <v>128.11000000000001</v>
      </c>
      <c r="U123" s="399"/>
      <c r="V123" s="399">
        <v>34240.231760000002</v>
      </c>
      <c r="W123" s="399">
        <v>34240.231760000002</v>
      </c>
      <c r="X123" s="399">
        <v>29887.898740000001</v>
      </c>
      <c r="Y123" s="399">
        <v>0</v>
      </c>
      <c r="Z123" s="399">
        <v>4539.6598691510981</v>
      </c>
      <c r="AA123" s="399">
        <v>0</v>
      </c>
      <c r="AB123" s="399">
        <v>0</v>
      </c>
      <c r="AC123" s="399">
        <v>0</v>
      </c>
      <c r="AD123" s="399">
        <v>0</v>
      </c>
      <c r="AE123" s="399">
        <v>14423.449070885517</v>
      </c>
      <c r="AF123" s="399">
        <v>9500.4589807987213</v>
      </c>
      <c r="AG123" s="399">
        <v>0</v>
      </c>
      <c r="AH123" s="399">
        <v>0</v>
      </c>
      <c r="AI123" s="399">
        <v>0</v>
      </c>
      <c r="AJ123" s="399">
        <v>0</v>
      </c>
      <c r="AK123" s="399">
        <v>0</v>
      </c>
      <c r="AL123" s="399">
        <v>701.07863893849424</v>
      </c>
      <c r="AM123" s="399"/>
      <c r="AN123" s="399">
        <v>63.804646352751895</v>
      </c>
      <c r="AO123" s="399">
        <v>257.77470364944196</v>
      </c>
      <c r="AP123" s="399">
        <v>1375.0847694730778</v>
      </c>
      <c r="AQ123" s="399">
        <v>0</v>
      </c>
      <c r="AR123" s="399">
        <v>0</v>
      </c>
      <c r="AS123" s="399">
        <v>0</v>
      </c>
      <c r="AT123" s="399">
        <v>0</v>
      </c>
      <c r="AU123" s="399">
        <v>0</v>
      </c>
      <c r="AV123" s="399">
        <v>0</v>
      </c>
      <c r="AW123" s="399">
        <v>0</v>
      </c>
      <c r="AX123" s="399">
        <v>0</v>
      </c>
      <c r="AY123" s="399">
        <v>0</v>
      </c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>
        <v>0</v>
      </c>
      <c r="BG123" s="399">
        <v>1006.2032445277765</v>
      </c>
      <c r="BH123" s="399">
        <v>0</v>
      </c>
      <c r="BI123" s="399">
        <v>0</v>
      </c>
      <c r="BJ123" s="399">
        <v>0</v>
      </c>
      <c r="BK123" s="399">
        <v>12874.79</v>
      </c>
      <c r="BL123" s="399">
        <v>28</v>
      </c>
      <c r="BM123" s="399"/>
      <c r="BN123" s="399"/>
      <c r="BO123" s="399"/>
      <c r="BP123" s="399"/>
      <c r="BQ123" s="399">
        <v>1793.2739244000031</v>
      </c>
      <c r="BR123" s="399"/>
      <c r="BS123" s="399"/>
      <c r="BT123" s="399"/>
      <c r="BU123" s="399"/>
      <c r="BV123" s="399">
        <v>10506.662225326498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28095.221299999997</v>
      </c>
      <c r="CJ123" s="399">
        <v>-4090.6265543999943</v>
      </c>
      <c r="CK123" s="399"/>
      <c r="CL123" s="399"/>
      <c r="CM123" s="399"/>
      <c r="CN123" s="399"/>
      <c r="CO123" s="399">
        <v>-4786.898900000001</v>
      </c>
      <c r="CP123" s="399">
        <v>434.56587999999891</v>
      </c>
      <c r="CQ123" s="399">
        <v>30</v>
      </c>
      <c r="CR123" s="399">
        <v>106.87034671253787</v>
      </c>
      <c r="CS123" s="399">
        <v>18.816473326306777</v>
      </c>
      <c r="CT123" s="399">
        <v>100.37542675789336</v>
      </c>
      <c r="CU123" s="399">
        <v>0</v>
      </c>
      <c r="CV123" s="399">
        <v>0</v>
      </c>
      <c r="CW123" s="399">
        <v>0</v>
      </c>
      <c r="CX123" s="399">
        <v>0</v>
      </c>
      <c r="CY123" s="399">
        <v>0</v>
      </c>
      <c r="CZ123" s="399">
        <v>0</v>
      </c>
      <c r="DA123" s="399">
        <v>0</v>
      </c>
      <c r="DB123" s="399">
        <v>0</v>
      </c>
      <c r="DC123" s="399">
        <v>434.52392567102288</v>
      </c>
      <c r="DD123" s="399">
        <v>0</v>
      </c>
      <c r="DE123" s="399">
        <v>0</v>
      </c>
      <c r="DF123" s="399">
        <v>0</v>
      </c>
      <c r="DG123" s="399">
        <v>46.020869593638395</v>
      </c>
      <c r="DH123" s="399">
        <v>0</v>
      </c>
      <c r="DI123" s="399">
        <v>-429.41179535454739</v>
      </c>
      <c r="DJ123" s="399"/>
      <c r="DK123" s="399">
        <v>0</v>
      </c>
      <c r="DL123" s="399">
        <v>0</v>
      </c>
      <c r="DM123" s="399">
        <v>0</v>
      </c>
      <c r="DN123" s="399">
        <v>0</v>
      </c>
      <c r="DO123" s="399">
        <v>-55.978732241291027</v>
      </c>
      <c r="DP123" s="399">
        <v>-7.4758210404843126</v>
      </c>
      <c r="DQ123" s="399">
        <v>0</v>
      </c>
      <c r="DR123" s="399">
        <v>0</v>
      </c>
      <c r="DS123" s="399"/>
      <c r="DT123" s="399"/>
      <c r="DU123" s="399"/>
      <c r="DV123" s="399">
        <v>14423.449070885517</v>
      </c>
      <c r="DW123" s="399">
        <v>0</v>
      </c>
      <c r="DX123" s="399">
        <v>0</v>
      </c>
      <c r="DY123" s="399">
        <v>-4786.8989000000001</v>
      </c>
      <c r="DZ123" s="399">
        <v>434.56588000000011</v>
      </c>
      <c r="EA123" s="399">
        <v>0</v>
      </c>
      <c r="EB123" s="399">
        <v>0</v>
      </c>
      <c r="EC123" s="399">
        <v>-4459.7437931544446</v>
      </c>
      <c r="ED123" s="399">
        <v>0</v>
      </c>
      <c r="EE123" s="399">
        <v>0</v>
      </c>
      <c r="EF123" s="399">
        <v>0</v>
      </c>
      <c r="EG123" s="399">
        <v>0</v>
      </c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>
        <v>0</v>
      </c>
      <c r="EN123" s="399">
        <v>0</v>
      </c>
      <c r="EO123" s="399">
        <v>0</v>
      </c>
      <c r="EP123" s="399">
        <v>2372.9458640785101</v>
      </c>
      <c r="EQ123" s="399">
        <v>0</v>
      </c>
      <c r="ER123" s="399">
        <v>0</v>
      </c>
      <c r="ES123" s="399">
        <v>0</v>
      </c>
      <c r="ET123" s="399">
        <v>0</v>
      </c>
      <c r="EU123" s="399">
        <v>0</v>
      </c>
      <c r="EV123" s="399">
        <v>230</v>
      </c>
      <c r="EW123" s="399">
        <v>0</v>
      </c>
      <c r="EX123" s="399">
        <v>0</v>
      </c>
      <c r="EY123" s="399">
        <v>0</v>
      </c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122</v>
      </c>
      <c r="B124" s="399" t="s">
        <v>956</v>
      </c>
      <c r="C124" s="399" t="s">
        <v>2336</v>
      </c>
      <c r="D124" s="399" t="s">
        <v>533</v>
      </c>
      <c r="E124" s="399" t="s">
        <v>921</v>
      </c>
      <c r="F124" s="399" t="s">
        <v>2345</v>
      </c>
      <c r="G124" s="399" t="s">
        <v>1239</v>
      </c>
      <c r="H124" s="399" t="s">
        <v>1239</v>
      </c>
      <c r="I124" s="399" t="s">
        <v>893</v>
      </c>
      <c r="J124" s="399" t="s">
        <v>2329</v>
      </c>
      <c r="K124" s="789">
        <v>44501</v>
      </c>
      <c r="L124" s="399">
        <v>401</v>
      </c>
      <c r="M124" s="399">
        <v>376.94</v>
      </c>
      <c r="N124" s="399">
        <v>18.024000000000001</v>
      </c>
      <c r="O124" s="399">
        <v>16.94256</v>
      </c>
      <c r="P124" s="399">
        <v>18.024000000000001</v>
      </c>
      <c r="Q124" s="399">
        <v>16.94256</v>
      </c>
      <c r="R124" s="399">
        <v>52.19</v>
      </c>
      <c r="S124" s="399">
        <v>96.28</v>
      </c>
      <c r="T124" s="399">
        <v>128.11000000000001</v>
      </c>
      <c r="U124" s="399">
        <v>20928.189999999999</v>
      </c>
      <c r="V124" s="399">
        <v>4044.4053600000007</v>
      </c>
      <c r="W124" s="399">
        <v>24972.595359999999</v>
      </c>
      <c r="X124" s="399">
        <v>19343.051359999998</v>
      </c>
      <c r="Y124" s="399">
        <v>0</v>
      </c>
      <c r="Z124" s="399">
        <v>959.92154115502183</v>
      </c>
      <c r="AA124" s="399">
        <v>0</v>
      </c>
      <c r="AB124" s="399">
        <v>0</v>
      </c>
      <c r="AC124" s="399">
        <v>0</v>
      </c>
      <c r="AD124" s="399">
        <v>0</v>
      </c>
      <c r="AE124" s="399">
        <v>18740.192257963507</v>
      </c>
      <c r="AF124" s="399">
        <v>2309.0735007674984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170.39619984664392</v>
      </c>
      <c r="AM124" s="399"/>
      <c r="AN124" s="399">
        <v>8.8606101641230239</v>
      </c>
      <c r="AO124" s="399">
        <v>346.3154834929698</v>
      </c>
      <c r="AP124" s="399">
        <v>1842.3079101552369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94.420802423434608</v>
      </c>
      <c r="BH124" s="399">
        <v>0</v>
      </c>
      <c r="BI124" s="399">
        <v>0</v>
      </c>
      <c r="BJ124" s="399">
        <v>0</v>
      </c>
      <c r="BK124" s="399">
        <v>0</v>
      </c>
      <c r="BL124" s="399">
        <v>0</v>
      </c>
      <c r="BM124" s="399"/>
      <c r="BN124" s="399"/>
      <c r="BO124" s="399"/>
      <c r="BP124" s="399"/>
      <c r="BQ124" s="399">
        <v>1160.5830816000002</v>
      </c>
      <c r="BR124" s="399"/>
      <c r="BS124" s="399"/>
      <c r="BT124" s="399"/>
      <c r="BU124" s="399"/>
      <c r="BV124" s="399">
        <v>2403.4943031909329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18181.893199999999</v>
      </c>
      <c r="CJ124" s="399">
        <v>-5292.3764383999987</v>
      </c>
      <c r="CK124" s="399"/>
      <c r="CL124" s="399"/>
      <c r="CM124" s="399"/>
      <c r="CN124" s="399"/>
      <c r="CO124" s="399">
        <v>-5735.1646399999991</v>
      </c>
      <c r="CP124" s="399">
        <v>105.62063999999974</v>
      </c>
      <c r="CQ124" s="399">
        <v>30</v>
      </c>
      <c r="CR124" s="399">
        <v>164.24547740499838</v>
      </c>
      <c r="CS124" s="399">
        <v>25.279579281349299</v>
      </c>
      <c r="CT124" s="399">
        <v>134.48075842780327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0</v>
      </c>
      <c r="DA124" s="399">
        <v>0</v>
      </c>
      <c r="DB124" s="399">
        <v>0</v>
      </c>
      <c r="DC124" s="399">
        <v>105.61044305799123</v>
      </c>
      <c r="DD124" s="399">
        <v>0</v>
      </c>
      <c r="DE124" s="399">
        <v>0</v>
      </c>
      <c r="DF124" s="399">
        <v>0</v>
      </c>
      <c r="DG124" s="399">
        <v>4.3185384850307571</v>
      </c>
      <c r="DH124" s="399">
        <v>0</v>
      </c>
      <c r="DI124" s="399">
        <v>-90.800113723931645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-13.605553951253142</v>
      </c>
      <c r="DP124" s="399">
        <v>-1.038174171991515</v>
      </c>
      <c r="DQ124" s="399">
        <v>0</v>
      </c>
      <c r="DR124" s="399">
        <v>0</v>
      </c>
      <c r="DS124" s="399"/>
      <c r="DT124" s="399"/>
      <c r="DU124" s="399">
        <v>18740.192257963507</v>
      </c>
      <c r="DV124" s="399">
        <v>0</v>
      </c>
      <c r="DW124" s="399">
        <v>0</v>
      </c>
      <c r="DX124" s="399">
        <v>0</v>
      </c>
      <c r="DY124" s="399">
        <v>-5735.1646399999991</v>
      </c>
      <c r="DZ124" s="399">
        <v>105.62063999999964</v>
      </c>
      <c r="EA124" s="399">
        <v>0</v>
      </c>
      <c r="EB124" s="399">
        <v>0</v>
      </c>
      <c r="EC124" s="399">
        <v>-5794.4847792111595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501.76487150558779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230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123</v>
      </c>
      <c r="B125" s="399" t="s">
        <v>956</v>
      </c>
      <c r="C125" s="399" t="s">
        <v>2336</v>
      </c>
      <c r="D125" s="399" t="s">
        <v>533</v>
      </c>
      <c r="E125" s="399" t="s">
        <v>921</v>
      </c>
      <c r="F125" s="399" t="s">
        <v>2345</v>
      </c>
      <c r="G125" s="399" t="s">
        <v>1239</v>
      </c>
      <c r="H125" s="399" t="s">
        <v>1239</v>
      </c>
      <c r="I125" s="399" t="s">
        <v>2326</v>
      </c>
      <c r="J125" s="399" t="s">
        <v>2329</v>
      </c>
      <c r="K125" s="789">
        <v>44501</v>
      </c>
      <c r="L125" s="399">
        <v>447</v>
      </c>
      <c r="M125" s="399">
        <v>420.18</v>
      </c>
      <c r="N125" s="399">
        <v>146.18100000000001</v>
      </c>
      <c r="O125" s="399">
        <v>137.41014000000001</v>
      </c>
      <c r="P125" s="399">
        <v>146.18100000000001</v>
      </c>
      <c r="Q125" s="399">
        <v>137.41014000000001</v>
      </c>
      <c r="R125" s="399">
        <v>18.12</v>
      </c>
      <c r="S125" s="399">
        <v>96.28</v>
      </c>
      <c r="T125" s="399">
        <v>128.11000000000001</v>
      </c>
      <c r="U125" s="399">
        <v>8099.64</v>
      </c>
      <c r="V125" s="399">
        <v>32801.55459</v>
      </c>
      <c r="W125" s="399">
        <v>40901.194589999999</v>
      </c>
      <c r="X125" s="399">
        <v>39297.249840000004</v>
      </c>
      <c r="Y125" s="399">
        <v>0</v>
      </c>
      <c r="Z125" s="399">
        <v>7785.3024194175687</v>
      </c>
      <c r="AA125" s="399">
        <v>0</v>
      </c>
      <c r="AB125" s="399">
        <v>0</v>
      </c>
      <c r="AC125" s="399">
        <v>0</v>
      </c>
      <c r="AD125" s="399">
        <v>0</v>
      </c>
      <c r="AE125" s="399">
        <v>5837.3454281401446</v>
      </c>
      <c r="AF125" s="399">
        <v>18727.400877479675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1381.9733072449098</v>
      </c>
      <c r="AM125" s="399"/>
      <c r="AN125" s="399">
        <v>71.862675011188841</v>
      </c>
      <c r="AO125" s="399">
        <v>355.30707415057924</v>
      </c>
      <c r="AP125" s="399">
        <v>1904.8105048128739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765.78602524745304</v>
      </c>
      <c r="BH125" s="399">
        <v>0</v>
      </c>
      <c r="BI125" s="399">
        <v>0</v>
      </c>
      <c r="BJ125" s="399">
        <v>0</v>
      </c>
      <c r="BK125" s="399">
        <v>0</v>
      </c>
      <c r="BL125" s="399">
        <v>0</v>
      </c>
      <c r="BM125" s="399"/>
      <c r="BN125" s="399"/>
      <c r="BO125" s="399"/>
      <c r="BP125" s="399"/>
      <c r="BQ125" s="399">
        <v>2357.8349903999997</v>
      </c>
      <c r="BR125" s="399"/>
      <c r="BS125" s="399"/>
      <c r="BT125" s="399"/>
      <c r="BU125" s="399"/>
      <c r="BV125" s="399">
        <v>19493.186902727128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36939.383399999999</v>
      </c>
      <c r="CJ125" s="399">
        <v>-1507.7695146000042</v>
      </c>
      <c r="CK125" s="399"/>
      <c r="CL125" s="399"/>
      <c r="CM125" s="399"/>
      <c r="CN125" s="399"/>
      <c r="CO125" s="399">
        <v>-2460.5654100000006</v>
      </c>
      <c r="CP125" s="399">
        <v>856.62065999999788</v>
      </c>
      <c r="CQ125" s="399">
        <v>30</v>
      </c>
      <c r="CR125" s="399">
        <v>201.35517925897875</v>
      </c>
      <c r="CS125" s="399">
        <v>25.935927725842078</v>
      </c>
      <c r="CT125" s="399">
        <v>139.04318596064581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0</v>
      </c>
      <c r="DA125" s="399">
        <v>0</v>
      </c>
      <c r="DB125" s="399">
        <v>0</v>
      </c>
      <c r="DC125" s="399">
        <v>856.53795920218909</v>
      </c>
      <c r="DD125" s="399">
        <v>0</v>
      </c>
      <c r="DE125" s="399">
        <v>0</v>
      </c>
      <c r="DF125" s="399">
        <v>0</v>
      </c>
      <c r="DG125" s="399">
        <v>35.024870965395166</v>
      </c>
      <c r="DH125" s="399">
        <v>0</v>
      </c>
      <c r="DI125" s="399">
        <v>-736.42096228795253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-110.3458434391996</v>
      </c>
      <c r="DP125" s="399">
        <v>-8.4199588679478197</v>
      </c>
      <c r="DQ125" s="399">
        <v>0</v>
      </c>
      <c r="DR125" s="399">
        <v>0</v>
      </c>
      <c r="DS125" s="399"/>
      <c r="DT125" s="399"/>
      <c r="DU125" s="399">
        <v>5837.3454281401446</v>
      </c>
      <c r="DV125" s="399">
        <v>0</v>
      </c>
      <c r="DW125" s="399">
        <v>0</v>
      </c>
      <c r="DX125" s="399">
        <v>0</v>
      </c>
      <c r="DY125" s="399">
        <v>-2460.5654099999992</v>
      </c>
      <c r="DZ125" s="399">
        <v>856.6206600000005</v>
      </c>
      <c r="EA125" s="399">
        <v>0</v>
      </c>
      <c r="EB125" s="399">
        <v>0</v>
      </c>
      <c r="EC125" s="399">
        <v>-1804.9126054180488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4069.4901620926726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230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124</v>
      </c>
      <c r="B126" s="399" t="s">
        <v>956</v>
      </c>
      <c r="C126" s="399" t="s">
        <v>2336</v>
      </c>
      <c r="D126" s="399" t="s">
        <v>533</v>
      </c>
      <c r="E126" s="399" t="s">
        <v>921</v>
      </c>
      <c r="F126" s="399" t="s">
        <v>2345</v>
      </c>
      <c r="G126" s="399" t="s">
        <v>1239</v>
      </c>
      <c r="H126" s="399" t="s">
        <v>1239</v>
      </c>
      <c r="I126" s="399" t="s">
        <v>1239</v>
      </c>
      <c r="J126" s="399" t="s">
        <v>2329</v>
      </c>
      <c r="K126" s="789">
        <v>44501</v>
      </c>
      <c r="L126" s="399">
        <v>0</v>
      </c>
      <c r="M126" s="399">
        <v>0</v>
      </c>
      <c r="N126" s="399">
        <v>0</v>
      </c>
      <c r="O126" s="399">
        <v>0</v>
      </c>
      <c r="P126" s="399">
        <v>0</v>
      </c>
      <c r="Q126" s="399">
        <v>0</v>
      </c>
      <c r="R126" s="399"/>
      <c r="S126" s="399"/>
      <c r="T126" s="399"/>
      <c r="U126" s="399"/>
      <c r="V126" s="399"/>
      <c r="W126" s="399"/>
      <c r="X126" s="399"/>
      <c r="Y126" s="399"/>
      <c r="Z126" s="399"/>
      <c r="AA126" s="399">
        <v>0</v>
      </c>
      <c r="AB126" s="399"/>
      <c r="AC126" s="399"/>
      <c r="AD126" s="399"/>
      <c r="AE126" s="399"/>
      <c r="AF126" s="399"/>
      <c r="AG126" s="399"/>
      <c r="AH126" s="399"/>
      <c r="AI126" s="399"/>
      <c r="AJ126" s="399"/>
      <c r="AK126" s="399"/>
      <c r="AL126" s="399"/>
      <c r="AM126" s="399"/>
      <c r="AN126" s="399"/>
      <c r="AO126" s="399"/>
      <c r="AP126" s="399"/>
      <c r="AQ126" s="399"/>
      <c r="AR126" s="399"/>
      <c r="AS126" s="399"/>
      <c r="AT126" s="399"/>
      <c r="AU126" s="399"/>
      <c r="AV126" s="399"/>
      <c r="AW126" s="399"/>
      <c r="AX126" s="399"/>
      <c r="AY126" s="399"/>
      <c r="AZ126" s="399">
        <v>0</v>
      </c>
      <c r="BA126" s="399"/>
      <c r="BB126" s="399"/>
      <c r="BC126" s="399"/>
      <c r="BD126" s="399"/>
      <c r="BE126" s="399"/>
      <c r="BF126" s="399"/>
      <c r="BG126" s="399"/>
      <c r="BH126" s="399"/>
      <c r="BI126" s="399">
        <v>0</v>
      </c>
      <c r="BJ126" s="399">
        <v>0</v>
      </c>
      <c r="BK126" s="399">
        <v>25722.46</v>
      </c>
      <c r="BL126" s="399">
        <v>2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/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/>
      <c r="CJ126" s="399">
        <v>-0.03</v>
      </c>
      <c r="CK126" s="399"/>
      <c r="CL126" s="399"/>
      <c r="CM126" s="399"/>
      <c r="CN126" s="399"/>
      <c r="CO126" s="399">
        <v>0</v>
      </c>
      <c r="CP126" s="399">
        <v>0</v>
      </c>
      <c r="CQ126" s="399">
        <v>30</v>
      </c>
      <c r="CR126" s="399"/>
      <c r="CS126" s="399"/>
      <c r="CT126" s="399"/>
      <c r="CU126" s="399"/>
      <c r="CV126" s="399"/>
      <c r="CW126" s="399"/>
      <c r="CX126" s="399"/>
      <c r="CY126" s="399"/>
      <c r="CZ126" s="399"/>
      <c r="DA126" s="399"/>
      <c r="DB126" s="399"/>
      <c r="DC126" s="399"/>
      <c r="DD126" s="399"/>
      <c r="DE126" s="399"/>
      <c r="DF126" s="399"/>
      <c r="DG126" s="399"/>
      <c r="DH126" s="399"/>
      <c r="DI126" s="399"/>
      <c r="DJ126" s="399"/>
      <c r="DK126" s="399">
        <v>0</v>
      </c>
      <c r="DL126" s="399"/>
      <c r="DM126" s="399"/>
      <c r="DN126" s="399"/>
      <c r="DO126" s="399"/>
      <c r="DP126" s="399"/>
      <c r="DQ126" s="399"/>
      <c r="DR126" s="399"/>
      <c r="DS126" s="399"/>
      <c r="DT126" s="399"/>
      <c r="DU126" s="399"/>
      <c r="DV126" s="399"/>
      <c r="DW126" s="399"/>
      <c r="DX126" s="399"/>
      <c r="DY126" s="399"/>
      <c r="DZ126" s="399"/>
      <c r="EA126" s="399"/>
      <c r="EB126" s="399"/>
      <c r="EC126" s="399"/>
      <c r="ED126" s="399"/>
      <c r="EE126" s="399"/>
      <c r="EF126" s="399"/>
      <c r="EG126" s="399"/>
      <c r="EH126" s="399"/>
      <c r="EI126" s="399"/>
      <c r="EJ126" s="399"/>
      <c r="EK126" s="399"/>
      <c r="EL126" s="399"/>
      <c r="EM126" s="399"/>
      <c r="EN126" s="399"/>
      <c r="EO126" s="399"/>
      <c r="EP126" s="399"/>
      <c r="EQ126" s="399"/>
      <c r="ER126" s="399"/>
      <c r="ES126" s="399"/>
      <c r="ET126" s="399"/>
      <c r="EU126" s="399"/>
      <c r="EV126" s="399">
        <v>230</v>
      </c>
      <c r="EW126" s="399"/>
      <c r="EX126" s="399"/>
      <c r="EY126" s="399"/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125</v>
      </c>
      <c r="B127" s="399" t="s">
        <v>956</v>
      </c>
      <c r="C127" s="399" t="s">
        <v>2328</v>
      </c>
      <c r="D127" s="399" t="s">
        <v>1826</v>
      </c>
      <c r="E127" s="399" t="s">
        <v>2346</v>
      </c>
      <c r="F127" s="399" t="s">
        <v>1239</v>
      </c>
      <c r="G127" s="399" t="s">
        <v>1239</v>
      </c>
      <c r="H127" s="399" t="s">
        <v>1239</v>
      </c>
      <c r="I127" s="399" t="s">
        <v>1239</v>
      </c>
      <c r="J127" s="399" t="s">
        <v>2329</v>
      </c>
      <c r="K127" s="789">
        <v>44501</v>
      </c>
      <c r="L127" s="399">
        <v>0</v>
      </c>
      <c r="M127" s="399">
        <v>0</v>
      </c>
      <c r="N127" s="399">
        <v>0.47199999999999998</v>
      </c>
      <c r="O127" s="399">
        <v>0.47199999999999998</v>
      </c>
      <c r="P127" s="399">
        <v>0.47199999999999998</v>
      </c>
      <c r="Q127" s="399">
        <v>0.47199999999999998</v>
      </c>
      <c r="R127" s="399"/>
      <c r="S127" s="399">
        <v>333.61</v>
      </c>
      <c r="T127" s="399">
        <v>128.11000000000001</v>
      </c>
      <c r="U127" s="399"/>
      <c r="V127" s="399">
        <v>217.93184000000002</v>
      </c>
      <c r="W127" s="399">
        <v>217.93184000000002</v>
      </c>
      <c r="X127" s="399">
        <v>190.23015999999998</v>
      </c>
      <c r="Y127" s="399">
        <v>0</v>
      </c>
      <c r="Z127" s="399">
        <v>28.893975811636206</v>
      </c>
      <c r="AA127" s="399">
        <v>0</v>
      </c>
      <c r="AB127" s="399">
        <v>0</v>
      </c>
      <c r="AC127" s="399">
        <v>0</v>
      </c>
      <c r="AD127" s="399">
        <v>0</v>
      </c>
      <c r="AE127" s="399">
        <v>91.802205580759505</v>
      </c>
      <c r="AF127" s="399">
        <v>60.468413912686366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4.4622173950075412</v>
      </c>
      <c r="AM127" s="399"/>
      <c r="AN127" s="399">
        <v>0.40610309175677461</v>
      </c>
      <c r="AO127" s="399">
        <v>1.6406815194926587</v>
      </c>
      <c r="AP127" s="399">
        <v>8.7521239945965732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6.4042710350482821</v>
      </c>
      <c r="BH127" s="399">
        <v>0</v>
      </c>
      <c r="BI127" s="399">
        <v>0</v>
      </c>
      <c r="BJ127" s="399">
        <v>0</v>
      </c>
      <c r="BK127" s="399">
        <v>37.6</v>
      </c>
      <c r="BL127" s="399">
        <v>2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66.872684947734655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189.42409999999998</v>
      </c>
      <c r="CJ127" s="399">
        <v>-28.537740000000014</v>
      </c>
      <c r="CK127" s="399"/>
      <c r="CL127" s="399"/>
      <c r="CM127" s="399"/>
      <c r="CN127" s="399"/>
      <c r="CO127" s="399">
        <v>-30.467600000000004</v>
      </c>
      <c r="CP127" s="399">
        <v>2.7659199999999928</v>
      </c>
      <c r="CQ127" s="399">
        <v>30</v>
      </c>
      <c r="CR127" s="399">
        <v>0.6802071745235736</v>
      </c>
      <c r="CS127" s="399">
        <v>0.11976287669593044</v>
      </c>
      <c r="CT127" s="399">
        <v>0.63886838142514257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0</v>
      </c>
      <c r="DA127" s="399">
        <v>0</v>
      </c>
      <c r="DB127" s="399">
        <v>0</v>
      </c>
      <c r="DC127" s="399">
        <v>2.765652969561252</v>
      </c>
      <c r="DD127" s="399">
        <v>0</v>
      </c>
      <c r="DE127" s="399">
        <v>0</v>
      </c>
      <c r="DF127" s="399">
        <v>0</v>
      </c>
      <c r="DG127" s="399">
        <v>0.29291311049647017</v>
      </c>
      <c r="DH127" s="399">
        <v>0</v>
      </c>
      <c r="DI127" s="399">
        <v>-2.7331153403185908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-0.35629280209673109</v>
      </c>
      <c r="DP127" s="399">
        <v>-4.758202123990124E-2</v>
      </c>
      <c r="DQ127" s="399">
        <v>0</v>
      </c>
      <c r="DR127" s="399">
        <v>0</v>
      </c>
      <c r="DS127" s="399"/>
      <c r="DT127" s="399"/>
      <c r="DU127" s="399"/>
      <c r="DV127" s="399">
        <v>91.802205580759505</v>
      </c>
      <c r="DW127" s="399">
        <v>0</v>
      </c>
      <c r="DX127" s="399">
        <v>0</v>
      </c>
      <c r="DY127" s="399">
        <v>-30.467600000000004</v>
      </c>
      <c r="DZ127" s="399">
        <v>2.7659199999999871</v>
      </c>
      <c r="EA127" s="399">
        <v>0</v>
      </c>
      <c r="EB127" s="399">
        <v>0</v>
      </c>
      <c r="EC127" s="399">
        <v>-28.385326874631161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15.103299008132053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230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126</v>
      </c>
      <c r="B128" s="399" t="s">
        <v>956</v>
      </c>
      <c r="C128" s="399" t="s">
        <v>2337</v>
      </c>
      <c r="D128" s="399" t="s">
        <v>533</v>
      </c>
      <c r="E128" s="399" t="s">
        <v>2346</v>
      </c>
      <c r="F128" s="399" t="s">
        <v>1239</v>
      </c>
      <c r="G128" s="399" t="s">
        <v>1239</v>
      </c>
      <c r="H128" s="399" t="s">
        <v>1239</v>
      </c>
      <c r="I128" s="399" t="s">
        <v>893</v>
      </c>
      <c r="J128" s="399" t="s">
        <v>2329</v>
      </c>
      <c r="K128" s="789">
        <v>44501</v>
      </c>
      <c r="L128" s="399">
        <v>0</v>
      </c>
      <c r="M128" s="399">
        <v>0</v>
      </c>
      <c r="N128" s="399">
        <v>1.085</v>
      </c>
      <c r="O128" s="399">
        <v>1.085</v>
      </c>
      <c r="P128" s="399">
        <v>1.085</v>
      </c>
      <c r="Q128" s="399">
        <v>1.085</v>
      </c>
      <c r="R128" s="399"/>
      <c r="S128" s="399">
        <v>1351.49</v>
      </c>
      <c r="T128" s="399">
        <v>128.11000000000001</v>
      </c>
      <c r="U128" s="399"/>
      <c r="V128" s="399">
        <v>1605.366</v>
      </c>
      <c r="W128" s="399">
        <v>1605.366</v>
      </c>
      <c r="X128" s="399">
        <v>1238.97235</v>
      </c>
      <c r="Y128" s="399">
        <v>0</v>
      </c>
      <c r="Z128" s="399">
        <v>57.784890820750036</v>
      </c>
      <c r="AA128" s="399">
        <v>0</v>
      </c>
      <c r="AB128" s="399">
        <v>0</v>
      </c>
      <c r="AC128" s="399">
        <v>0</v>
      </c>
      <c r="AD128" s="399">
        <v>0</v>
      </c>
      <c r="AE128" s="399">
        <v>1219.4799245717445</v>
      </c>
      <c r="AF128" s="399">
        <v>139.00048537132355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10.257427698269455</v>
      </c>
      <c r="AM128" s="399"/>
      <c r="AN128" s="399">
        <v>0.53338670817096534</v>
      </c>
      <c r="AO128" s="399">
        <v>22.538194087277763</v>
      </c>
      <c r="AP128" s="399">
        <v>119.8839040928675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5.6838976159246855</v>
      </c>
      <c r="BH128" s="399">
        <v>0</v>
      </c>
      <c r="BI128" s="399">
        <v>0</v>
      </c>
      <c r="BJ128" s="399">
        <v>0</v>
      </c>
      <c r="BK128" s="399">
        <v>0</v>
      </c>
      <c r="BL128" s="399">
        <v>0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144.68438298724823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1244.6819</v>
      </c>
      <c r="CJ128" s="399">
        <v>-360.71409999999992</v>
      </c>
      <c r="CK128" s="399"/>
      <c r="CL128" s="399"/>
      <c r="CM128" s="399"/>
      <c r="CN128" s="399"/>
      <c r="CO128" s="399">
        <v>-372.75174999999996</v>
      </c>
      <c r="CP128" s="399">
        <v>6.3580999999999834</v>
      </c>
      <c r="CQ128" s="399">
        <v>30</v>
      </c>
      <c r="CR128" s="399">
        <v>10.666210699937096</v>
      </c>
      <c r="CS128" s="399">
        <v>1.6451937364773883</v>
      </c>
      <c r="CT128" s="399">
        <v>8.7510227019199789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0</v>
      </c>
      <c r="DA128" s="399">
        <v>0</v>
      </c>
      <c r="DB128" s="399">
        <v>0</v>
      </c>
      <c r="DC128" s="399">
        <v>6.3574861694363278</v>
      </c>
      <c r="DD128" s="399">
        <v>0</v>
      </c>
      <c r="DE128" s="399">
        <v>0</v>
      </c>
      <c r="DF128" s="399">
        <v>0</v>
      </c>
      <c r="DG128" s="399">
        <v>0.25996528274846753</v>
      </c>
      <c r="DH128" s="399">
        <v>0</v>
      </c>
      <c r="DI128" s="399">
        <v>-5.4659411557071635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-0.81902053024354515</v>
      </c>
      <c r="DP128" s="399">
        <v>-6.2495504694340454E-2</v>
      </c>
      <c r="DQ128" s="399">
        <v>0</v>
      </c>
      <c r="DR128" s="399">
        <v>0</v>
      </c>
      <c r="DS128" s="399"/>
      <c r="DT128" s="399"/>
      <c r="DU128" s="399"/>
      <c r="DV128" s="399">
        <v>1219.4799245717445</v>
      </c>
      <c r="DW128" s="399">
        <v>0</v>
      </c>
      <c r="DX128" s="399">
        <v>0</v>
      </c>
      <c r="DY128" s="399">
        <v>-372.7517499999999</v>
      </c>
      <c r="DZ128" s="399">
        <v>6.358099999999979</v>
      </c>
      <c r="EA128" s="399">
        <v>0</v>
      </c>
      <c r="EB128" s="399">
        <v>0</v>
      </c>
      <c r="EC128" s="399">
        <v>-377.06432059050883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30.204998090521677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230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127</v>
      </c>
      <c r="B129" s="399" t="s">
        <v>956</v>
      </c>
      <c r="C129" s="399" t="s">
        <v>2337</v>
      </c>
      <c r="D129" s="399" t="s">
        <v>533</v>
      </c>
      <c r="E129" s="399" t="s">
        <v>2346</v>
      </c>
      <c r="F129" s="399" t="s">
        <v>1239</v>
      </c>
      <c r="G129" s="399" t="s">
        <v>1239</v>
      </c>
      <c r="H129" s="399" t="s">
        <v>1239</v>
      </c>
      <c r="I129" s="399" t="s">
        <v>2326</v>
      </c>
      <c r="J129" s="399" t="s">
        <v>2329</v>
      </c>
      <c r="K129" s="789">
        <v>44501</v>
      </c>
      <c r="L129" s="399">
        <v>0</v>
      </c>
      <c r="M129" s="399">
        <v>0</v>
      </c>
      <c r="N129" s="399">
        <v>14.297000000000001</v>
      </c>
      <c r="O129" s="399">
        <v>14.297000000000001</v>
      </c>
      <c r="P129" s="399">
        <v>14.297000000000001</v>
      </c>
      <c r="Q129" s="399">
        <v>14.297000000000001</v>
      </c>
      <c r="R129" s="399"/>
      <c r="S129" s="399">
        <v>96.28</v>
      </c>
      <c r="T129" s="399">
        <v>128.11000000000001</v>
      </c>
      <c r="U129" s="399"/>
      <c r="V129" s="399">
        <v>3208.1038300000005</v>
      </c>
      <c r="W129" s="399">
        <v>3208.1038300000005</v>
      </c>
      <c r="X129" s="399">
        <v>3211.6780800000001</v>
      </c>
      <c r="Y129" s="399">
        <v>0</v>
      </c>
      <c r="Z129" s="399">
        <v>761.42910973664823</v>
      </c>
      <c r="AA129" s="399">
        <v>0</v>
      </c>
      <c r="AB129" s="399">
        <v>0</v>
      </c>
      <c r="AC129" s="399">
        <v>0</v>
      </c>
      <c r="AD129" s="399">
        <v>0</v>
      </c>
      <c r="AE129" s="399">
        <v>0</v>
      </c>
      <c r="AF129" s="399">
        <v>1831.6036307408413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135.16169935682802</v>
      </c>
      <c r="AM129" s="399"/>
      <c r="AN129" s="399">
        <v>7.0284145315394397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74.896483147350452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1906.5001138881917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3212.3520000000003</v>
      </c>
      <c r="CJ129" s="399">
        <v>4.2181699999996454</v>
      </c>
      <c r="CK129" s="399"/>
      <c r="CL129" s="399"/>
      <c r="CM129" s="399"/>
      <c r="CN129" s="399"/>
      <c r="CO129" s="399">
        <v>-80.20617</v>
      </c>
      <c r="CP129" s="399">
        <v>83.780419999999793</v>
      </c>
      <c r="CQ129" s="399">
        <v>30</v>
      </c>
      <c r="CR129" s="399">
        <v>3.5577031863904267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0</v>
      </c>
      <c r="DA129" s="399">
        <v>0</v>
      </c>
      <c r="DB129" s="399">
        <v>0</v>
      </c>
      <c r="DC129" s="399">
        <v>83.77233158012109</v>
      </c>
      <c r="DD129" s="399">
        <v>0</v>
      </c>
      <c r="DE129" s="399">
        <v>0</v>
      </c>
      <c r="DF129" s="399">
        <v>0</v>
      </c>
      <c r="DG129" s="399">
        <v>3.4255517488062992</v>
      </c>
      <c r="DH129" s="399">
        <v>0</v>
      </c>
      <c r="DI129" s="399">
        <v>-72.024479910733021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-10.792199558425779</v>
      </c>
      <c r="DP129" s="399">
        <v>-0.82350067337786736</v>
      </c>
      <c r="DQ129" s="399">
        <v>0</v>
      </c>
      <c r="DR129" s="399">
        <v>0</v>
      </c>
      <c r="DS129" s="399"/>
      <c r="DT129" s="399"/>
      <c r="DU129" s="399"/>
      <c r="DV129" s="399">
        <v>0</v>
      </c>
      <c r="DW129" s="399">
        <v>0</v>
      </c>
      <c r="DX129" s="399">
        <v>0</v>
      </c>
      <c r="DY129" s="399">
        <v>-80.206170000000157</v>
      </c>
      <c r="DZ129" s="399">
        <v>83.780419999999822</v>
      </c>
      <c r="EA129" s="399">
        <v>0</v>
      </c>
      <c r="EB129" s="399">
        <v>0</v>
      </c>
      <c r="EC129" s="399">
        <v>0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398.0100070969479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230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128</v>
      </c>
      <c r="B130" s="399" t="s">
        <v>956</v>
      </c>
      <c r="C130" s="399" t="s">
        <v>2337</v>
      </c>
      <c r="D130" s="399" t="s">
        <v>533</v>
      </c>
      <c r="E130" s="399" t="s">
        <v>2346</v>
      </c>
      <c r="F130" s="399" t="s">
        <v>1239</v>
      </c>
      <c r="G130" s="399" t="s">
        <v>1239</v>
      </c>
      <c r="H130" s="399" t="s">
        <v>1239</v>
      </c>
      <c r="I130" s="399" t="s">
        <v>1239</v>
      </c>
      <c r="J130" s="399" t="s">
        <v>2329</v>
      </c>
      <c r="K130" s="789">
        <v>44501</v>
      </c>
      <c r="L130" s="399">
        <v>95</v>
      </c>
      <c r="M130" s="399">
        <v>95</v>
      </c>
      <c r="N130" s="399">
        <v>0</v>
      </c>
      <c r="O130" s="399">
        <v>0</v>
      </c>
      <c r="P130" s="399">
        <v>0</v>
      </c>
      <c r="Q130" s="399">
        <v>0</v>
      </c>
      <c r="R130" s="399">
        <v>18.12</v>
      </c>
      <c r="S130" s="399"/>
      <c r="T130" s="399"/>
      <c r="U130" s="399">
        <v>1721.4</v>
      </c>
      <c r="V130" s="399"/>
      <c r="W130" s="399">
        <v>1721.4</v>
      </c>
      <c r="X130" s="399">
        <v>1372.75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0</v>
      </c>
      <c r="AE130" s="399">
        <v>1240.5991402087554</v>
      </c>
      <c r="AF130" s="399"/>
      <c r="AG130" s="399"/>
      <c r="AH130" s="399"/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0</v>
      </c>
      <c r="AO130" s="399">
        <v>75.512689137147717</v>
      </c>
      <c r="AP130" s="399">
        <v>404.82549878573383</v>
      </c>
      <c r="AQ130" s="399">
        <v>0</v>
      </c>
      <c r="AR130" s="399">
        <v>0</v>
      </c>
      <c r="AS130" s="399"/>
      <c r="AT130" s="399"/>
      <c r="AU130" s="399">
        <v>0</v>
      </c>
      <c r="AV130" s="399">
        <v>0</v>
      </c>
      <c r="AW130" s="399">
        <v>0</v>
      </c>
      <c r="AX130" s="399"/>
      <c r="AY130" s="399"/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/>
      <c r="BG130" s="399">
        <v>0</v>
      </c>
      <c r="BH130" s="399">
        <v>0</v>
      </c>
      <c r="BI130" s="399">
        <v>0</v>
      </c>
      <c r="BJ130" s="399">
        <v>0</v>
      </c>
      <c r="BK130" s="399">
        <v>0</v>
      </c>
      <c r="BL130" s="399">
        <v>1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0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1372.75</v>
      </c>
      <c r="CJ130" s="399">
        <v>-348.68000000000006</v>
      </c>
      <c r="CK130" s="399"/>
      <c r="CL130" s="399"/>
      <c r="CM130" s="399"/>
      <c r="CN130" s="399"/>
      <c r="CO130" s="399">
        <v>-348.65000000000015</v>
      </c>
      <c r="CP130" s="399">
        <v>0</v>
      </c>
      <c r="CQ130" s="399">
        <v>30</v>
      </c>
      <c r="CR130" s="399">
        <v>35.062675168269209</v>
      </c>
      <c r="CS130" s="399">
        <v>5.5121099193624161</v>
      </c>
      <c r="CT130" s="399">
        <v>29.550565248906821</v>
      </c>
      <c r="CU130" s="399">
        <v>0</v>
      </c>
      <c r="CV130" s="399">
        <v>0</v>
      </c>
      <c r="CW130" s="399"/>
      <c r="CX130" s="399"/>
      <c r="CY130" s="399"/>
      <c r="CZ130" s="399">
        <v>0</v>
      </c>
      <c r="DA130" s="399">
        <v>0</v>
      </c>
      <c r="DB130" s="399">
        <v>0</v>
      </c>
      <c r="DC130" s="399"/>
      <c r="DD130" s="399"/>
      <c r="DE130" s="399">
        <v>0</v>
      </c>
      <c r="DF130" s="399">
        <v>0</v>
      </c>
      <c r="DG130" s="399">
        <v>0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/>
      <c r="DN130" s="399">
        <v>0</v>
      </c>
      <c r="DO130" s="399">
        <v>0</v>
      </c>
      <c r="DP130" s="399">
        <v>0</v>
      </c>
      <c r="DQ130" s="399">
        <v>0</v>
      </c>
      <c r="DR130" s="399">
        <v>0</v>
      </c>
      <c r="DS130" s="399"/>
      <c r="DT130" s="399"/>
      <c r="DU130" s="399">
        <v>1240.5991402087554</v>
      </c>
      <c r="DV130" s="399"/>
      <c r="DW130" s="399">
        <v>0</v>
      </c>
      <c r="DX130" s="399">
        <v>0</v>
      </c>
      <c r="DY130" s="399">
        <v>-348.65000000000009</v>
      </c>
      <c r="DZ130" s="399"/>
      <c r="EA130" s="399">
        <v>0</v>
      </c>
      <c r="EB130" s="399"/>
      <c r="EC130" s="399">
        <v>-383.59440159891403</v>
      </c>
      <c r="ED130" s="399"/>
      <c r="EE130" s="399">
        <v>0</v>
      </c>
      <c r="EF130" s="399">
        <v>0</v>
      </c>
      <c r="EG130" s="399"/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/>
      <c r="EN130" s="399"/>
      <c r="EO130" s="399">
        <v>0</v>
      </c>
      <c r="EP130" s="399">
        <v>0</v>
      </c>
      <c r="EQ130" s="399"/>
      <c r="ER130" s="399">
        <v>0</v>
      </c>
      <c r="ES130" s="399"/>
      <c r="ET130" s="399">
        <v>0</v>
      </c>
      <c r="EU130" s="399"/>
      <c r="EV130" s="399">
        <v>230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129</v>
      </c>
      <c r="B131" s="399" t="s">
        <v>956</v>
      </c>
      <c r="C131" s="399" t="s">
        <v>2328</v>
      </c>
      <c r="D131" s="399" t="s">
        <v>2340</v>
      </c>
      <c r="E131" s="399" t="s">
        <v>894</v>
      </c>
      <c r="F131" s="399" t="s">
        <v>2347</v>
      </c>
      <c r="G131" s="399" t="s">
        <v>2348</v>
      </c>
      <c r="H131" s="399" t="s">
        <v>1239</v>
      </c>
      <c r="I131" s="399" t="s">
        <v>1239</v>
      </c>
      <c r="J131" s="399" t="s">
        <v>2329</v>
      </c>
      <c r="K131" s="789">
        <v>44501</v>
      </c>
      <c r="L131" s="399">
        <v>0</v>
      </c>
      <c r="M131" s="399">
        <v>0</v>
      </c>
      <c r="N131" s="399">
        <v>0</v>
      </c>
      <c r="O131" s="399">
        <v>0</v>
      </c>
      <c r="P131" s="399">
        <v>0</v>
      </c>
      <c r="Q131" s="399">
        <v>0</v>
      </c>
      <c r="R131" s="399"/>
      <c r="S131" s="399"/>
      <c r="T131" s="399"/>
      <c r="U131" s="399"/>
      <c r="V131" s="399"/>
      <c r="W131" s="399"/>
      <c r="X131" s="399"/>
      <c r="Y131" s="399"/>
      <c r="Z131" s="399"/>
      <c r="AA131" s="399">
        <v>0</v>
      </c>
      <c r="AB131" s="399"/>
      <c r="AC131" s="399"/>
      <c r="AD131" s="399"/>
      <c r="AE131" s="399"/>
      <c r="AF131" s="399"/>
      <c r="AG131" s="399"/>
      <c r="AH131" s="399"/>
      <c r="AI131" s="399"/>
      <c r="AJ131" s="399"/>
      <c r="AK131" s="399"/>
      <c r="AL131" s="399"/>
      <c r="AM131" s="399"/>
      <c r="AN131" s="399"/>
      <c r="AO131" s="399"/>
      <c r="AP131" s="399"/>
      <c r="AQ131" s="399"/>
      <c r="AR131" s="399"/>
      <c r="AS131" s="399"/>
      <c r="AT131" s="399"/>
      <c r="AU131" s="399"/>
      <c r="AV131" s="399"/>
      <c r="AW131" s="399"/>
      <c r="AX131" s="399"/>
      <c r="AY131" s="399"/>
      <c r="AZ131" s="399">
        <v>0</v>
      </c>
      <c r="BA131" s="399"/>
      <c r="BB131" s="399"/>
      <c r="BC131" s="399"/>
      <c r="BD131" s="399"/>
      <c r="BE131" s="399"/>
      <c r="BF131" s="399"/>
      <c r="BG131" s="399"/>
      <c r="BH131" s="399"/>
      <c r="BI131" s="399">
        <v>0</v>
      </c>
      <c r="BJ131" s="399">
        <v>0</v>
      </c>
      <c r="BK131" s="399">
        <v>30521.59</v>
      </c>
      <c r="BL131" s="399">
        <v>158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/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/>
      <c r="CJ131" s="399">
        <v>-0.03</v>
      </c>
      <c r="CK131" s="399"/>
      <c r="CL131" s="399"/>
      <c r="CM131" s="399"/>
      <c r="CN131" s="399"/>
      <c r="CO131" s="399">
        <v>0</v>
      </c>
      <c r="CP131" s="399">
        <v>0</v>
      </c>
      <c r="CQ131" s="399">
        <v>30</v>
      </c>
      <c r="CR131" s="399"/>
      <c r="CS131" s="399"/>
      <c r="CT131" s="399"/>
      <c r="CU131" s="399"/>
      <c r="CV131" s="399"/>
      <c r="CW131" s="399"/>
      <c r="CX131" s="399"/>
      <c r="CY131" s="399"/>
      <c r="CZ131" s="399"/>
      <c r="DA131" s="399"/>
      <c r="DB131" s="399"/>
      <c r="DC131" s="399"/>
      <c r="DD131" s="399"/>
      <c r="DE131" s="399"/>
      <c r="DF131" s="399"/>
      <c r="DG131" s="399"/>
      <c r="DH131" s="399"/>
      <c r="DI131" s="399"/>
      <c r="DJ131" s="399"/>
      <c r="DK131" s="399">
        <v>0</v>
      </c>
      <c r="DL131" s="399"/>
      <c r="DM131" s="399"/>
      <c r="DN131" s="399"/>
      <c r="DO131" s="399"/>
      <c r="DP131" s="399"/>
      <c r="DQ131" s="399"/>
      <c r="DR131" s="399"/>
      <c r="DS131" s="399"/>
      <c r="DT131" s="399"/>
      <c r="DU131" s="399"/>
      <c r="DV131" s="399"/>
      <c r="DW131" s="399"/>
      <c r="DX131" s="399"/>
      <c r="DY131" s="399"/>
      <c r="DZ131" s="399"/>
      <c r="EA131" s="399"/>
      <c r="EB131" s="399"/>
      <c r="EC131" s="399"/>
      <c r="ED131" s="399"/>
      <c r="EE131" s="399"/>
      <c r="EF131" s="399"/>
      <c r="EG131" s="399"/>
      <c r="EH131" s="399"/>
      <c r="EI131" s="399"/>
      <c r="EJ131" s="399"/>
      <c r="EK131" s="399"/>
      <c r="EL131" s="399"/>
      <c r="EM131" s="399"/>
      <c r="EN131" s="399"/>
      <c r="EO131" s="399"/>
      <c r="EP131" s="399"/>
      <c r="EQ131" s="399"/>
      <c r="ER131" s="399"/>
      <c r="ES131" s="399"/>
      <c r="ET131" s="399"/>
      <c r="EU131" s="399"/>
      <c r="EV131" s="399">
        <v>230</v>
      </c>
      <c r="EW131" s="399"/>
      <c r="EX131" s="399"/>
      <c r="EY131" s="399"/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130</v>
      </c>
      <c r="B132" s="399" t="s">
        <v>956</v>
      </c>
      <c r="C132" s="399" t="s">
        <v>2328</v>
      </c>
      <c r="D132" s="399" t="s">
        <v>2340</v>
      </c>
      <c r="E132" s="399" t="s">
        <v>894</v>
      </c>
      <c r="F132" s="399" t="s">
        <v>2347</v>
      </c>
      <c r="G132" s="399" t="s">
        <v>2348</v>
      </c>
      <c r="H132" s="399" t="s">
        <v>1239</v>
      </c>
      <c r="I132" s="399" t="s">
        <v>1239</v>
      </c>
      <c r="J132" s="399" t="s">
        <v>2329</v>
      </c>
      <c r="K132" s="789">
        <v>44501</v>
      </c>
      <c r="L132" s="399">
        <v>0</v>
      </c>
      <c r="M132" s="399">
        <v>0</v>
      </c>
      <c r="N132" s="399">
        <v>171.75</v>
      </c>
      <c r="O132" s="399">
        <v>171.75</v>
      </c>
      <c r="P132" s="399">
        <v>171.75</v>
      </c>
      <c r="Q132" s="399">
        <v>171.75</v>
      </c>
      <c r="R132" s="399"/>
      <c r="S132" s="399">
        <v>333.61</v>
      </c>
      <c r="T132" s="399">
        <v>128.11000000000001</v>
      </c>
      <c r="U132" s="399"/>
      <c r="V132" s="399">
        <v>79300.41</v>
      </c>
      <c r="W132" s="399">
        <v>79300.41</v>
      </c>
      <c r="X132" s="399">
        <v>69220.402499999997</v>
      </c>
      <c r="Y132" s="399">
        <v>0</v>
      </c>
      <c r="Z132" s="399">
        <v>10513.856664509574</v>
      </c>
      <c r="AA132" s="399">
        <v>0</v>
      </c>
      <c r="AB132" s="399">
        <v>0</v>
      </c>
      <c r="AC132" s="399">
        <v>0</v>
      </c>
      <c r="AD132" s="399">
        <v>0</v>
      </c>
      <c r="AE132" s="399">
        <v>33404.72205189713</v>
      </c>
      <c r="AF132" s="399">
        <v>22003.072223525178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1623.6988084587822</v>
      </c>
      <c r="AM132" s="399"/>
      <c r="AN132" s="399">
        <v>147.77162290090263</v>
      </c>
      <c r="AO132" s="399">
        <v>597.00646392555961</v>
      </c>
      <c r="AP132" s="399">
        <v>3184.6976611694099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2330.3676912490309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>
        <v>8307.5474999999988</v>
      </c>
      <c r="BS132" s="399"/>
      <c r="BT132" s="399"/>
      <c r="BU132" s="399"/>
      <c r="BV132" s="399">
        <v>24333.439914774208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60912.85500000001</v>
      </c>
      <c r="CJ132" s="399">
        <v>-8872.6349999999802</v>
      </c>
      <c r="CK132" s="399"/>
      <c r="CL132" s="399"/>
      <c r="CM132" s="399"/>
      <c r="CN132" s="399"/>
      <c r="CO132" s="399">
        <v>-11086.462500000001</v>
      </c>
      <c r="CP132" s="399">
        <v>1006.4549999999974</v>
      </c>
      <c r="CQ132" s="399">
        <v>30</v>
      </c>
      <c r="CR132" s="399">
        <v>247.51182674665324</v>
      </c>
      <c r="CS132" s="399">
        <v>43.578970492639996</v>
      </c>
      <c r="CT132" s="399">
        <v>232.46958582578009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0</v>
      </c>
      <c r="DA132" s="399">
        <v>0</v>
      </c>
      <c r="DB132" s="399">
        <v>0</v>
      </c>
      <c r="DC132" s="399">
        <v>1006.3578337333565</v>
      </c>
      <c r="DD132" s="399">
        <v>0</v>
      </c>
      <c r="DE132" s="399">
        <v>0</v>
      </c>
      <c r="DF132" s="399">
        <v>0</v>
      </c>
      <c r="DG132" s="399">
        <v>106.58437866052691</v>
      </c>
      <c r="DH132" s="399">
        <v>0</v>
      </c>
      <c r="DI132" s="399">
        <v>-994.51813495703027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-129.64679822057951</v>
      </c>
      <c r="DP132" s="399">
        <v>-17.314008788036091</v>
      </c>
      <c r="DQ132" s="399">
        <v>0</v>
      </c>
      <c r="DR132" s="399">
        <v>0</v>
      </c>
      <c r="DS132" s="399"/>
      <c r="DT132" s="399"/>
      <c r="DU132" s="399"/>
      <c r="DV132" s="399">
        <v>33404.72205189713</v>
      </c>
      <c r="DW132" s="399">
        <v>0</v>
      </c>
      <c r="DX132" s="399">
        <v>0</v>
      </c>
      <c r="DY132" s="399">
        <v>-11086.462500000001</v>
      </c>
      <c r="DZ132" s="399">
        <v>1006.4549999999981</v>
      </c>
      <c r="EA132" s="399">
        <v>0</v>
      </c>
      <c r="EB132" s="399">
        <v>0</v>
      </c>
      <c r="EC132" s="399">
        <v>-10328.770954910808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5495.7449250988984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230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956</v>
      </c>
      <c r="C133" s="399" t="s">
        <v>2328</v>
      </c>
      <c r="D133" s="399" t="s">
        <v>2340</v>
      </c>
      <c r="E133" s="399" t="s">
        <v>894</v>
      </c>
      <c r="F133" s="399" t="s">
        <v>2347</v>
      </c>
      <c r="G133" s="399" t="s">
        <v>2349</v>
      </c>
      <c r="H133" s="399" t="s">
        <v>1239</v>
      </c>
      <c r="I133" s="399" t="s">
        <v>1239</v>
      </c>
      <c r="J133" s="399" t="s">
        <v>2329</v>
      </c>
      <c r="K133" s="789">
        <v>44501</v>
      </c>
      <c r="L133" s="399">
        <v>0</v>
      </c>
      <c r="M133" s="399">
        <v>0</v>
      </c>
      <c r="N133" s="399">
        <v>108.729</v>
      </c>
      <c r="O133" s="399">
        <v>43.491599999999998</v>
      </c>
      <c r="P133" s="399">
        <v>108.729</v>
      </c>
      <c r="Q133" s="399">
        <v>43.491599999999998</v>
      </c>
      <c r="R133" s="399"/>
      <c r="S133" s="399">
        <v>333.61</v>
      </c>
      <c r="T133" s="399">
        <v>128.11000000000001</v>
      </c>
      <c r="U133" s="399"/>
      <c r="V133" s="399">
        <v>50202.353880000002</v>
      </c>
      <c r="W133" s="399">
        <v>50202.353880000002</v>
      </c>
      <c r="X133" s="399">
        <v>43821.048869999999</v>
      </c>
      <c r="Y133" s="399">
        <v>0</v>
      </c>
      <c r="Z133" s="399">
        <v>6655.9599492021043</v>
      </c>
      <c r="AA133" s="399">
        <v>0</v>
      </c>
      <c r="AB133" s="399">
        <v>0</v>
      </c>
      <c r="AC133" s="399">
        <v>0</v>
      </c>
      <c r="AD133" s="399">
        <v>0</v>
      </c>
      <c r="AE133" s="399">
        <v>21147.377141081361</v>
      </c>
      <c r="AF133" s="399">
        <v>13929.385966763721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1027.907701571557</v>
      </c>
      <c r="AM133" s="399"/>
      <c r="AN133" s="399">
        <v>93.549116660216839</v>
      </c>
      <c r="AO133" s="399">
        <v>377.94419689177397</v>
      </c>
      <c r="AP133" s="399">
        <v>2016.1222241705314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1475.2753927325523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>
        <v>28396.318014000004</v>
      </c>
      <c r="BT133" s="399"/>
      <c r="BU133" s="399"/>
      <c r="BV133" s="399">
        <v>15404.661359496273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15424.163400000001</v>
      </c>
      <c r="CJ133" s="399">
        <v>-2247.3735119999947</v>
      </c>
      <c r="CK133" s="399"/>
      <c r="CL133" s="399"/>
      <c r="CM133" s="399"/>
      <c r="CN133" s="399"/>
      <c r="CO133" s="399">
        <v>-7018.4569500000016</v>
      </c>
      <c r="CP133" s="399">
        <v>637.15193999999838</v>
      </c>
      <c r="CQ133" s="399">
        <v>30</v>
      </c>
      <c r="CR133" s="399">
        <v>156.69119889570356</v>
      </c>
      <c r="CS133" s="399">
        <v>27.588342839558891</v>
      </c>
      <c r="CT133" s="399">
        <v>147.16847509316585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0</v>
      </c>
      <c r="DA133" s="399">
        <v>0</v>
      </c>
      <c r="DB133" s="399">
        <v>0</v>
      </c>
      <c r="DC133" s="399">
        <v>637.09042738861353</v>
      </c>
      <c r="DD133" s="399">
        <v>0</v>
      </c>
      <c r="DE133" s="399">
        <v>0</v>
      </c>
      <c r="DF133" s="399">
        <v>0</v>
      </c>
      <c r="DG133" s="399">
        <v>67.474893201632995</v>
      </c>
      <c r="DH133" s="399">
        <v>0</v>
      </c>
      <c r="DI133" s="399">
        <v>-629.59512253707635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-82.074915421981814</v>
      </c>
      <c r="DP133" s="399">
        <v>-10.960901668205977</v>
      </c>
      <c r="DQ133" s="399">
        <v>0</v>
      </c>
      <c r="DR133" s="399">
        <v>0</v>
      </c>
      <c r="DS133" s="399"/>
      <c r="DT133" s="399"/>
      <c r="DU133" s="399"/>
      <c r="DV133" s="399">
        <v>21147.377141081361</v>
      </c>
      <c r="DW133" s="399">
        <v>0</v>
      </c>
      <c r="DX133" s="399">
        <v>0</v>
      </c>
      <c r="DY133" s="399">
        <v>-7018.4569499999998</v>
      </c>
      <c r="DZ133" s="399">
        <v>637.15193999999792</v>
      </c>
      <c r="EA133" s="399">
        <v>0</v>
      </c>
      <c r="EB133" s="399">
        <v>0</v>
      </c>
      <c r="EC133" s="399">
        <v>-6538.7885715079938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3479.1665208796398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230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956</v>
      </c>
      <c r="C134" s="399" t="s">
        <v>2328</v>
      </c>
      <c r="D134" s="399" t="s">
        <v>2340</v>
      </c>
      <c r="E134" s="399" t="s">
        <v>894</v>
      </c>
      <c r="F134" s="399" t="s">
        <v>2350</v>
      </c>
      <c r="G134" s="399" t="s">
        <v>2348</v>
      </c>
      <c r="H134" s="399" t="s">
        <v>1239</v>
      </c>
      <c r="I134" s="399" t="s">
        <v>1239</v>
      </c>
      <c r="J134" s="399" t="s">
        <v>2329</v>
      </c>
      <c r="K134" s="789">
        <v>44501</v>
      </c>
      <c r="L134" s="399">
        <v>0</v>
      </c>
      <c r="M134" s="399">
        <v>0</v>
      </c>
      <c r="N134" s="399">
        <v>0</v>
      </c>
      <c r="O134" s="399">
        <v>0</v>
      </c>
      <c r="P134" s="399">
        <v>0</v>
      </c>
      <c r="Q134" s="399">
        <v>0</v>
      </c>
      <c r="R134" s="399"/>
      <c r="S134" s="399"/>
      <c r="T134" s="399"/>
      <c r="U134" s="399"/>
      <c r="V134" s="399"/>
      <c r="W134" s="399"/>
      <c r="X134" s="399"/>
      <c r="Y134" s="399"/>
      <c r="Z134" s="399"/>
      <c r="AA134" s="399">
        <v>0</v>
      </c>
      <c r="AB134" s="399"/>
      <c r="AC134" s="399"/>
      <c r="AD134" s="399"/>
      <c r="AE134" s="399"/>
      <c r="AF134" s="399"/>
      <c r="AG134" s="399"/>
      <c r="AH134" s="399"/>
      <c r="AI134" s="399"/>
      <c r="AJ134" s="399"/>
      <c r="AK134" s="399"/>
      <c r="AL134" s="399"/>
      <c r="AM134" s="399"/>
      <c r="AN134" s="399"/>
      <c r="AO134" s="399"/>
      <c r="AP134" s="399"/>
      <c r="AQ134" s="399"/>
      <c r="AR134" s="399"/>
      <c r="AS134" s="399"/>
      <c r="AT134" s="399"/>
      <c r="AU134" s="399"/>
      <c r="AV134" s="399"/>
      <c r="AW134" s="399"/>
      <c r="AX134" s="399"/>
      <c r="AY134" s="399"/>
      <c r="AZ134" s="399">
        <v>0</v>
      </c>
      <c r="BA134" s="399"/>
      <c r="BB134" s="399"/>
      <c r="BC134" s="399"/>
      <c r="BD134" s="399"/>
      <c r="BE134" s="399"/>
      <c r="BF134" s="399"/>
      <c r="BG134" s="399"/>
      <c r="BH134" s="399"/>
      <c r="BI134" s="399">
        <v>0</v>
      </c>
      <c r="BJ134" s="399">
        <v>0</v>
      </c>
      <c r="BK134" s="399">
        <v>5.71</v>
      </c>
      <c r="BL134" s="399">
        <v>1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/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/>
      <c r="CJ134" s="399">
        <v>-0.03</v>
      </c>
      <c r="CK134" s="399"/>
      <c r="CL134" s="399"/>
      <c r="CM134" s="399"/>
      <c r="CN134" s="399"/>
      <c r="CO134" s="399">
        <v>0</v>
      </c>
      <c r="CP134" s="399">
        <v>0</v>
      </c>
      <c r="CQ134" s="399">
        <v>30</v>
      </c>
      <c r="CR134" s="399"/>
      <c r="CS134" s="399"/>
      <c r="CT134" s="399"/>
      <c r="CU134" s="399"/>
      <c r="CV134" s="399"/>
      <c r="CW134" s="399"/>
      <c r="CX134" s="399"/>
      <c r="CY134" s="399"/>
      <c r="CZ134" s="399"/>
      <c r="DA134" s="399"/>
      <c r="DB134" s="399"/>
      <c r="DC134" s="399"/>
      <c r="DD134" s="399"/>
      <c r="DE134" s="399"/>
      <c r="DF134" s="399"/>
      <c r="DG134" s="399"/>
      <c r="DH134" s="399"/>
      <c r="DI134" s="399"/>
      <c r="DJ134" s="399"/>
      <c r="DK134" s="399">
        <v>0</v>
      </c>
      <c r="DL134" s="399"/>
      <c r="DM134" s="399"/>
      <c r="DN134" s="399"/>
      <c r="DO134" s="399"/>
      <c r="DP134" s="399"/>
      <c r="DQ134" s="399"/>
      <c r="DR134" s="399"/>
      <c r="DS134" s="399"/>
      <c r="DT134" s="399"/>
      <c r="DU134" s="399"/>
      <c r="DV134" s="399"/>
      <c r="DW134" s="399"/>
      <c r="DX134" s="399"/>
      <c r="DY134" s="399"/>
      <c r="DZ134" s="399"/>
      <c r="EA134" s="399"/>
      <c r="EB134" s="399"/>
      <c r="EC134" s="399"/>
      <c r="ED134" s="399"/>
      <c r="EE134" s="399"/>
      <c r="EF134" s="399"/>
      <c r="EG134" s="399"/>
      <c r="EH134" s="399"/>
      <c r="EI134" s="399"/>
      <c r="EJ134" s="399"/>
      <c r="EK134" s="399"/>
      <c r="EL134" s="399"/>
      <c r="EM134" s="399"/>
      <c r="EN134" s="399"/>
      <c r="EO134" s="399"/>
      <c r="EP134" s="399"/>
      <c r="EQ134" s="399"/>
      <c r="ER134" s="399"/>
      <c r="ES134" s="399"/>
      <c r="ET134" s="399"/>
      <c r="EU134" s="399"/>
      <c r="EV134" s="399">
        <v>230</v>
      </c>
      <c r="EW134" s="399"/>
      <c r="EX134" s="399"/>
      <c r="EY134" s="399"/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956</v>
      </c>
      <c r="C135" s="399" t="s">
        <v>2328</v>
      </c>
      <c r="D135" s="399" t="s">
        <v>2340</v>
      </c>
      <c r="E135" s="399" t="s">
        <v>894</v>
      </c>
      <c r="F135" s="399" t="s">
        <v>2350</v>
      </c>
      <c r="G135" s="399" t="s">
        <v>2348</v>
      </c>
      <c r="H135" s="399" t="s">
        <v>1239</v>
      </c>
      <c r="I135" s="399" t="s">
        <v>1239</v>
      </c>
      <c r="J135" s="399" t="s">
        <v>2329</v>
      </c>
      <c r="K135" s="789">
        <v>44501</v>
      </c>
      <c r="L135" s="399">
        <v>0</v>
      </c>
      <c r="M135" s="399">
        <v>0</v>
      </c>
      <c r="N135" s="399">
        <v>7.3999999999999996E-2</v>
      </c>
      <c r="O135" s="399">
        <v>7.3999999999999996E-2</v>
      </c>
      <c r="P135" s="399">
        <v>7.3999999999999996E-2</v>
      </c>
      <c r="Q135" s="399">
        <v>7.3999999999999996E-2</v>
      </c>
      <c r="R135" s="399"/>
      <c r="S135" s="399">
        <v>333.61</v>
      </c>
      <c r="T135" s="399">
        <v>128.11000000000001</v>
      </c>
      <c r="U135" s="399"/>
      <c r="V135" s="399">
        <v>34.167279999999998</v>
      </c>
      <c r="W135" s="399">
        <v>34.167279999999998</v>
      </c>
      <c r="X135" s="399">
        <v>29.824219999999997</v>
      </c>
      <c r="Y135" s="399">
        <v>0</v>
      </c>
      <c r="Z135" s="399">
        <v>4.5299877331802527</v>
      </c>
      <c r="AA135" s="399">
        <v>0</v>
      </c>
      <c r="AB135" s="399">
        <v>0</v>
      </c>
      <c r="AC135" s="399">
        <v>0</v>
      </c>
      <c r="AD135" s="399">
        <v>0</v>
      </c>
      <c r="AE135" s="399">
        <v>14.392718671559754</v>
      </c>
      <c r="AF135" s="399">
        <v>9.4802174354635405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0.69958493057321625</v>
      </c>
      <c r="AM135" s="399"/>
      <c r="AN135" s="399">
        <v>6.366870506356212E-2</v>
      </c>
      <c r="AO135" s="399">
        <v>0.25722549246283211</v>
      </c>
      <c r="AP135" s="399">
        <v>1.3721550330511576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1.0040594419355358</v>
      </c>
      <c r="BH135" s="399">
        <v>0</v>
      </c>
      <c r="BI135" s="399">
        <v>0</v>
      </c>
      <c r="BJ135" s="399">
        <v>0</v>
      </c>
      <c r="BK135" s="399">
        <v>0</v>
      </c>
      <c r="BL135" s="399">
        <v>0</v>
      </c>
      <c r="BM135" s="399"/>
      <c r="BN135" s="399"/>
      <c r="BO135" s="399"/>
      <c r="BP135" s="399"/>
      <c r="BQ135" s="399"/>
      <c r="BR135" s="399">
        <v>3.5793799999999991</v>
      </c>
      <c r="BS135" s="399"/>
      <c r="BT135" s="399"/>
      <c r="BU135" s="399"/>
      <c r="BV135" s="399">
        <v>10.484276877399076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24.8262</v>
      </c>
      <c r="CJ135" s="399">
        <v>-5.2714800000000004</v>
      </c>
      <c r="CK135" s="399"/>
      <c r="CL135" s="399"/>
      <c r="CM135" s="399"/>
      <c r="CN135" s="399"/>
      <c r="CO135" s="399">
        <v>-4.7767000000000008</v>
      </c>
      <c r="CP135" s="399">
        <v>0.43363999999999886</v>
      </c>
      <c r="CQ135" s="399">
        <v>30</v>
      </c>
      <c r="CR135" s="399">
        <v>0.10664265024310282</v>
      </c>
      <c r="CS135" s="399">
        <v>1.8776383210802661E-2</v>
      </c>
      <c r="CT135" s="399">
        <v>0.10016156827428069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0</v>
      </c>
      <c r="DA135" s="399">
        <v>0</v>
      </c>
      <c r="DB135" s="399">
        <v>0</v>
      </c>
      <c r="DC135" s="399">
        <v>0.43359813505833245</v>
      </c>
      <c r="DD135" s="399">
        <v>0</v>
      </c>
      <c r="DE135" s="399">
        <v>0</v>
      </c>
      <c r="DF135" s="399">
        <v>0</v>
      </c>
      <c r="DG135" s="399">
        <v>4.5922818171056923E-2</v>
      </c>
      <c r="DH135" s="399">
        <v>0</v>
      </c>
      <c r="DI135" s="399">
        <v>-0.42849689657537215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-5.5859464735504516E-2</v>
      </c>
      <c r="DP135" s="399">
        <v>-7.4598931604929891E-3</v>
      </c>
      <c r="DQ135" s="399">
        <v>0</v>
      </c>
      <c r="DR135" s="399">
        <v>0</v>
      </c>
      <c r="DS135" s="399"/>
      <c r="DT135" s="399"/>
      <c r="DU135" s="399"/>
      <c r="DV135" s="399">
        <v>14.392718671559754</v>
      </c>
      <c r="DW135" s="399">
        <v>0</v>
      </c>
      <c r="DX135" s="399">
        <v>0</v>
      </c>
      <c r="DY135" s="399">
        <v>-4.7767000000000017</v>
      </c>
      <c r="DZ135" s="399">
        <v>0.43363999999999869</v>
      </c>
      <c r="EA135" s="399">
        <v>0</v>
      </c>
      <c r="EB135" s="399">
        <v>0</v>
      </c>
      <c r="EC135" s="399">
        <v>-4.4502419252599719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2.3678900987325675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230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956</v>
      </c>
      <c r="C136" s="399" t="s">
        <v>2328</v>
      </c>
      <c r="D136" s="399" t="s">
        <v>2340</v>
      </c>
      <c r="E136" s="399" t="s">
        <v>894</v>
      </c>
      <c r="F136" s="399" t="s">
        <v>2350</v>
      </c>
      <c r="G136" s="399" t="s">
        <v>2349</v>
      </c>
      <c r="H136" s="399" t="s">
        <v>1239</v>
      </c>
      <c r="I136" s="399" t="s">
        <v>1239</v>
      </c>
      <c r="J136" s="399" t="s">
        <v>2329</v>
      </c>
      <c r="K136" s="789">
        <v>44501</v>
      </c>
      <c r="L136" s="399">
        <v>0</v>
      </c>
      <c r="M136" s="399">
        <v>0</v>
      </c>
      <c r="N136" s="399">
        <v>2.5999999999999999E-2</v>
      </c>
      <c r="O136" s="399">
        <v>1.04E-2</v>
      </c>
      <c r="P136" s="399">
        <v>2.5999999999999999E-2</v>
      </c>
      <c r="Q136" s="399">
        <v>1.04E-2</v>
      </c>
      <c r="R136" s="399"/>
      <c r="S136" s="399">
        <v>333.61</v>
      </c>
      <c r="T136" s="399">
        <v>128.11000000000001</v>
      </c>
      <c r="U136" s="399"/>
      <c r="V136" s="399">
        <v>12.004719999999999</v>
      </c>
      <c r="W136" s="399">
        <v>12.004719999999999</v>
      </c>
      <c r="X136" s="399">
        <v>10.478779999999999</v>
      </c>
      <c r="Y136" s="399">
        <v>0</v>
      </c>
      <c r="Z136" s="399">
        <v>1.5916173116579266</v>
      </c>
      <c r="AA136" s="399">
        <v>0</v>
      </c>
      <c r="AB136" s="399">
        <v>0</v>
      </c>
      <c r="AC136" s="399">
        <v>0</v>
      </c>
      <c r="AD136" s="399">
        <v>0</v>
      </c>
      <c r="AE136" s="399">
        <v>5.0569011548723459</v>
      </c>
      <c r="AF136" s="399">
        <v>3.3308872070547575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0.24580011074194083</v>
      </c>
      <c r="AM136" s="399"/>
      <c r="AN136" s="399">
        <v>2.2370085562873177E-2</v>
      </c>
      <c r="AO136" s="399">
        <v>9.0376524378832895E-2</v>
      </c>
      <c r="AP136" s="399">
        <v>0.48210852512608243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0.35277764176113419</v>
      </c>
      <c r="BH136" s="399">
        <v>0</v>
      </c>
      <c r="BI136" s="399">
        <v>0</v>
      </c>
      <c r="BJ136" s="399">
        <v>0</v>
      </c>
      <c r="BK136" s="399">
        <v>0</v>
      </c>
      <c r="BL136" s="399">
        <v>0</v>
      </c>
      <c r="BM136" s="399"/>
      <c r="BN136" s="399"/>
      <c r="BO136" s="399"/>
      <c r="BP136" s="399"/>
      <c r="BQ136" s="399"/>
      <c r="BR136" s="399"/>
      <c r="BS136" s="399">
        <v>6.7903159999999989</v>
      </c>
      <c r="BT136" s="399"/>
      <c r="BU136" s="399"/>
      <c r="BV136" s="399">
        <v>3.6836648488158916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3.5466000000000002</v>
      </c>
      <c r="CJ136" s="399">
        <v>-0.70912799999999843</v>
      </c>
      <c r="CK136" s="399"/>
      <c r="CL136" s="399"/>
      <c r="CM136" s="399"/>
      <c r="CN136" s="399"/>
      <c r="CO136" s="399">
        <v>-1.6783000000000001</v>
      </c>
      <c r="CP136" s="399">
        <v>0.15235999999999961</v>
      </c>
      <c r="CQ136" s="399">
        <v>30</v>
      </c>
      <c r="CR136" s="399">
        <v>3.7469039274602878E-2</v>
      </c>
      <c r="CS136" s="399">
        <v>6.5971076146063429E-3</v>
      </c>
      <c r="CT136" s="399">
        <v>3.5191902366639216E-2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0</v>
      </c>
      <c r="DA136" s="399">
        <v>0</v>
      </c>
      <c r="DB136" s="399">
        <v>0</v>
      </c>
      <c r="DC136" s="399">
        <v>0.15234529069617064</v>
      </c>
      <c r="DD136" s="399">
        <v>0</v>
      </c>
      <c r="DE136" s="399">
        <v>0</v>
      </c>
      <c r="DF136" s="399">
        <v>0</v>
      </c>
      <c r="DG136" s="399">
        <v>1.6135044222263195E-2</v>
      </c>
      <c r="DH136" s="399">
        <v>0</v>
      </c>
      <c r="DI136" s="399">
        <v>-0.15055296366161741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-1.9626298420582639E-2</v>
      </c>
      <c r="DP136" s="399">
        <v>-2.6210435428759143E-3</v>
      </c>
      <c r="DQ136" s="399">
        <v>0</v>
      </c>
      <c r="DR136" s="399">
        <v>0</v>
      </c>
      <c r="DS136" s="399"/>
      <c r="DT136" s="399"/>
      <c r="DU136" s="399"/>
      <c r="DV136" s="399">
        <v>5.0569011548723459</v>
      </c>
      <c r="DW136" s="399">
        <v>0</v>
      </c>
      <c r="DX136" s="399">
        <v>0</v>
      </c>
      <c r="DY136" s="399">
        <v>-1.6783000000000001</v>
      </c>
      <c r="DZ136" s="399">
        <v>0.15235999999999938</v>
      </c>
      <c r="EA136" s="399">
        <v>0</v>
      </c>
      <c r="EB136" s="399">
        <v>0</v>
      </c>
      <c r="EC136" s="399">
        <v>-1.5635985142805304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0.83196138604117242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230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956</v>
      </c>
      <c r="C137" s="399" t="s">
        <v>2328</v>
      </c>
      <c r="D137" s="399" t="s">
        <v>1823</v>
      </c>
      <c r="E137" s="399" t="s">
        <v>889</v>
      </c>
      <c r="F137" s="399" t="s">
        <v>889</v>
      </c>
      <c r="G137" s="399" t="s">
        <v>1239</v>
      </c>
      <c r="H137" s="399" t="s">
        <v>1239</v>
      </c>
      <c r="I137" s="399" t="s">
        <v>1239</v>
      </c>
      <c r="J137" s="399" t="s">
        <v>2329</v>
      </c>
      <c r="K137" s="789">
        <v>44531</v>
      </c>
      <c r="L137" s="399">
        <v>0</v>
      </c>
      <c r="M137" s="399">
        <v>0</v>
      </c>
      <c r="N137" s="399">
        <v>4585.6549999999997</v>
      </c>
      <c r="O137" s="399">
        <v>4585.6549999999997</v>
      </c>
      <c r="P137" s="399">
        <v>4585.6549999999997</v>
      </c>
      <c r="Q137" s="399">
        <v>4585.6549999999997</v>
      </c>
      <c r="R137" s="399"/>
      <c r="S137" s="399">
        <v>333.61</v>
      </c>
      <c r="T137" s="399">
        <v>128.11000000000001</v>
      </c>
      <c r="U137" s="399"/>
      <c r="V137" s="399">
        <v>2117288.6266000001</v>
      </c>
      <c r="W137" s="399">
        <v>2117288.6266000001</v>
      </c>
      <c r="X137" s="399">
        <v>1848156.5346499998</v>
      </c>
      <c r="Y137" s="399">
        <v>0</v>
      </c>
      <c r="Z137" s="399">
        <v>280715.68781887426</v>
      </c>
      <c r="AA137" s="399">
        <v>0</v>
      </c>
      <c r="AB137" s="399">
        <v>0</v>
      </c>
      <c r="AC137" s="399">
        <v>0</v>
      </c>
      <c r="AD137" s="399">
        <v>0</v>
      </c>
      <c r="AE137" s="399">
        <v>891892.46405177494</v>
      </c>
      <c r="AF137" s="399">
        <v>587473.06059487246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43352.096416320564</v>
      </c>
      <c r="AM137" s="399"/>
      <c r="AN137" s="399">
        <v>3945.4421043006614</v>
      </c>
      <c r="AO137" s="399">
        <v>15939.829265400653</v>
      </c>
      <c r="AP137" s="399">
        <v>85030.129568732518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62219.867570390532</v>
      </c>
      <c r="BH137" s="399">
        <v>0</v>
      </c>
      <c r="BI137" s="399">
        <v>0</v>
      </c>
      <c r="BJ137" s="399">
        <v>0</v>
      </c>
      <c r="BK137" s="399">
        <v>542316.06999999995</v>
      </c>
      <c r="BL137" s="399">
        <v>20673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649692.92816526303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1848158.5497999999</v>
      </c>
      <c r="CJ137" s="399">
        <v>-269130.10679999995</v>
      </c>
      <c r="CK137" s="399"/>
      <c r="CL137" s="399"/>
      <c r="CM137" s="399"/>
      <c r="CN137" s="399"/>
      <c r="CO137" s="399">
        <v>-296004.03025000001</v>
      </c>
      <c r="CP137" s="399">
        <v>26871.938299999932</v>
      </c>
      <c r="CQ137" s="399"/>
      <c r="CR137" s="399">
        <v>6608.4648959529586</v>
      </c>
      <c r="CS137" s="399">
        <v>1163.5407507099098</v>
      </c>
      <c r="CT137" s="399">
        <v>6206.8431941188755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0</v>
      </c>
      <c r="DA137" s="399">
        <v>0</v>
      </c>
      <c r="DB137" s="399">
        <v>0</v>
      </c>
      <c r="DC137" s="399">
        <v>26869.344000282581</v>
      </c>
      <c r="DD137" s="399">
        <v>0</v>
      </c>
      <c r="DE137" s="399">
        <v>0</v>
      </c>
      <c r="DF137" s="399">
        <v>0</v>
      </c>
      <c r="DG137" s="399">
        <v>2845.7594697323948</v>
      </c>
      <c r="DH137" s="399">
        <v>0</v>
      </c>
      <c r="DI137" s="399">
        <v>-26553.228868450562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-3461.5166724552619</v>
      </c>
      <c r="DP137" s="399">
        <v>-462.27697798487134</v>
      </c>
      <c r="DQ137" s="399">
        <v>0</v>
      </c>
      <c r="DR137" s="399">
        <v>0</v>
      </c>
      <c r="DS137" s="399"/>
      <c r="DT137" s="399"/>
      <c r="DU137" s="399"/>
      <c r="DV137" s="399">
        <v>891892.46405177494</v>
      </c>
      <c r="DW137" s="399">
        <v>0</v>
      </c>
      <c r="DX137" s="399">
        <v>0</v>
      </c>
      <c r="DY137" s="399">
        <v>-296004.03025000007</v>
      </c>
      <c r="DZ137" s="399">
        <v>26871.938299999922</v>
      </c>
      <c r="EA137" s="399">
        <v>0</v>
      </c>
      <c r="EB137" s="399">
        <v>0</v>
      </c>
      <c r="EC137" s="399">
        <v>-275773.97480781097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146734.14960410123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230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2330</v>
      </c>
      <c r="C138" s="399" t="s">
        <v>2328</v>
      </c>
      <c r="D138" s="399" t="s">
        <v>1823</v>
      </c>
      <c r="E138" s="399" t="s">
        <v>889</v>
      </c>
      <c r="F138" s="399" t="s">
        <v>889</v>
      </c>
      <c r="G138" s="399" t="s">
        <v>1239</v>
      </c>
      <c r="H138" s="399" t="s">
        <v>1239</v>
      </c>
      <c r="I138" s="399" t="s">
        <v>1239</v>
      </c>
      <c r="J138" s="399" t="s">
        <v>2329</v>
      </c>
      <c r="K138" s="789">
        <v>44531</v>
      </c>
      <c r="L138" s="399">
        <v>0</v>
      </c>
      <c r="M138" s="399">
        <v>0</v>
      </c>
      <c r="N138" s="399">
        <v>-0.81899999999999995</v>
      </c>
      <c r="O138" s="399">
        <v>-0.81899999999999995</v>
      </c>
      <c r="P138" s="399">
        <v>-0.81899999999999995</v>
      </c>
      <c r="Q138" s="399">
        <v>-0.81899999999999995</v>
      </c>
      <c r="R138" s="399"/>
      <c r="S138" s="399">
        <v>333.61</v>
      </c>
      <c r="T138" s="399">
        <v>128.11000000000001</v>
      </c>
      <c r="U138" s="399"/>
      <c r="V138" s="399">
        <v>-378.14868000000001</v>
      </c>
      <c r="W138" s="399">
        <v>-378.14868000000001</v>
      </c>
      <c r="X138" s="399">
        <v>-330.08157</v>
      </c>
      <c r="Y138" s="399">
        <v>0</v>
      </c>
      <c r="Z138" s="399">
        <v>-50.135945317224689</v>
      </c>
      <c r="AA138" s="399">
        <v>0</v>
      </c>
      <c r="AB138" s="399">
        <v>0</v>
      </c>
      <c r="AC138" s="399">
        <v>0</v>
      </c>
      <c r="AD138" s="399">
        <v>0</v>
      </c>
      <c r="AE138" s="399">
        <v>-159.29238637847891</v>
      </c>
      <c r="AF138" s="399">
        <v>-104.92294702222486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-7.7427034883711361</v>
      </c>
      <c r="AM138" s="399"/>
      <c r="AN138" s="399">
        <v>-0.70465769523050503</v>
      </c>
      <c r="AO138" s="399">
        <v>-2.8468605179332362</v>
      </c>
      <c r="AP138" s="399">
        <v>-15.186418541471596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-11.112495715475728</v>
      </c>
      <c r="BH138" s="399">
        <v>0</v>
      </c>
      <c r="BI138" s="399">
        <v>0</v>
      </c>
      <c r="BJ138" s="399">
        <v>0</v>
      </c>
      <c r="BK138" s="399">
        <v>-127.61</v>
      </c>
      <c r="BL138" s="399">
        <v>0</v>
      </c>
      <c r="BM138" s="399"/>
      <c r="BN138" s="399"/>
      <c r="BO138" s="399"/>
      <c r="BP138" s="399"/>
      <c r="BQ138" s="399"/>
      <c r="BR138" s="399"/>
      <c r="BS138" s="399"/>
      <c r="BT138" s="399"/>
      <c r="BU138" s="399"/>
      <c r="BV138" s="399">
        <v>-116.03544273770059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-330.4846</v>
      </c>
      <c r="CJ138" s="399">
        <v>47.63408000000004</v>
      </c>
      <c r="CK138" s="399"/>
      <c r="CL138" s="399"/>
      <c r="CM138" s="399"/>
      <c r="CN138" s="399"/>
      <c r="CO138" s="399">
        <v>52.866450000000007</v>
      </c>
      <c r="CP138" s="399">
        <v>-4.7993399999999875</v>
      </c>
      <c r="CQ138" s="399"/>
      <c r="CR138" s="399">
        <v>-1.180274737149972</v>
      </c>
      <c r="CS138" s="399">
        <v>-0.20780888986009938</v>
      </c>
      <c r="CT138" s="399">
        <v>-1.1085449245491326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0</v>
      </c>
      <c r="DA138" s="399">
        <v>0</v>
      </c>
      <c r="DB138" s="399">
        <v>0</v>
      </c>
      <c r="DC138" s="399">
        <v>-4.7988766569293659</v>
      </c>
      <c r="DD138" s="399">
        <v>0</v>
      </c>
      <c r="DE138" s="399">
        <v>0</v>
      </c>
      <c r="DF138" s="399">
        <v>0</v>
      </c>
      <c r="DG138" s="399">
        <v>-0.50825389300129054</v>
      </c>
      <c r="DH138" s="399">
        <v>0</v>
      </c>
      <c r="DI138" s="399">
        <v>4.7424183553409449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0.61822840024835291</v>
      </c>
      <c r="DP138" s="399">
        <v>8.2562871600591281E-2</v>
      </c>
      <c r="DQ138" s="399">
        <v>0</v>
      </c>
      <c r="DR138" s="399">
        <v>0</v>
      </c>
      <c r="DS138" s="399"/>
      <c r="DT138" s="399"/>
      <c r="DU138" s="399"/>
      <c r="DV138" s="399">
        <v>-159.29238637847891</v>
      </c>
      <c r="DW138" s="399">
        <v>0</v>
      </c>
      <c r="DX138" s="399">
        <v>0</v>
      </c>
      <c r="DY138" s="399">
        <v>52.866449999999986</v>
      </c>
      <c r="DZ138" s="399">
        <v>-4.7993399999999866</v>
      </c>
      <c r="EA138" s="399">
        <v>0</v>
      </c>
      <c r="EB138" s="399">
        <v>0</v>
      </c>
      <c r="EC138" s="399">
        <v>49.253353199836724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-26.206783660296928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230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137</v>
      </c>
      <c r="B139" s="399" t="s">
        <v>2331</v>
      </c>
      <c r="C139" s="399" t="s">
        <v>2328</v>
      </c>
      <c r="D139" s="399" t="s">
        <v>1823</v>
      </c>
      <c r="E139" s="399" t="s">
        <v>889</v>
      </c>
      <c r="F139" s="399" t="s">
        <v>889</v>
      </c>
      <c r="G139" s="399" t="s">
        <v>1239</v>
      </c>
      <c r="H139" s="399" t="s">
        <v>1239</v>
      </c>
      <c r="I139" s="399" t="s">
        <v>1239</v>
      </c>
      <c r="J139" s="399" t="s">
        <v>2329</v>
      </c>
      <c r="K139" s="789">
        <v>44531</v>
      </c>
      <c r="L139" s="399">
        <v>0</v>
      </c>
      <c r="M139" s="399">
        <v>0</v>
      </c>
      <c r="N139" s="399">
        <v>10.584</v>
      </c>
      <c r="O139" s="399">
        <v>10.584</v>
      </c>
      <c r="P139" s="399">
        <v>10.584</v>
      </c>
      <c r="Q139" s="399">
        <v>10.584</v>
      </c>
      <c r="R139" s="399"/>
      <c r="S139" s="399">
        <v>333.61</v>
      </c>
      <c r="T139" s="399">
        <v>128.11000000000001</v>
      </c>
      <c r="U139" s="399"/>
      <c r="V139" s="399">
        <v>4886.8444799999997</v>
      </c>
      <c r="W139" s="399">
        <v>4886.8444799999997</v>
      </c>
      <c r="X139" s="399">
        <v>4265.6695200000004</v>
      </c>
      <c r="Y139" s="399">
        <v>0</v>
      </c>
      <c r="Z139" s="399">
        <v>647.910677945673</v>
      </c>
      <c r="AA139" s="399">
        <v>0</v>
      </c>
      <c r="AB139" s="399">
        <v>0</v>
      </c>
      <c r="AC139" s="399">
        <v>0</v>
      </c>
      <c r="AD139" s="399">
        <v>0</v>
      </c>
      <c r="AE139" s="399">
        <v>2058.5477624295736</v>
      </c>
      <c r="AF139" s="399">
        <v>1355.9273153641368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100.05955277279622</v>
      </c>
      <c r="AM139" s="399"/>
      <c r="AN139" s="399">
        <v>9.1063455999019123</v>
      </c>
      <c r="AO139" s="399">
        <v>36.790197462521824</v>
      </c>
      <c r="AP139" s="399">
        <v>196.25525499747908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143.60763693845556</v>
      </c>
      <c r="BH139" s="399">
        <v>0</v>
      </c>
      <c r="BI139" s="399">
        <v>0</v>
      </c>
      <c r="BJ139" s="399">
        <v>0</v>
      </c>
      <c r="BK139" s="399">
        <v>3048.33</v>
      </c>
      <c r="BL139" s="399">
        <v>44</v>
      </c>
      <c r="BM139" s="399"/>
      <c r="BN139" s="399"/>
      <c r="BO139" s="399"/>
      <c r="BP139" s="399"/>
      <c r="BQ139" s="399"/>
      <c r="BR139" s="399"/>
      <c r="BS139" s="399"/>
      <c r="BT139" s="399"/>
      <c r="BU139" s="399"/>
      <c r="BV139" s="399">
        <v>1499.5349523025923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4264.0573999999997</v>
      </c>
      <c r="CJ139" s="399">
        <v>-622.81708000000071</v>
      </c>
      <c r="CK139" s="399"/>
      <c r="CL139" s="399"/>
      <c r="CM139" s="399"/>
      <c r="CN139" s="399"/>
      <c r="CO139" s="399">
        <v>-683.19720000000007</v>
      </c>
      <c r="CP139" s="399">
        <v>62.02223999999984</v>
      </c>
      <c r="CQ139" s="399"/>
      <c r="CR139" s="399">
        <v>15.252781218553537</v>
      </c>
      <c r="CS139" s="399">
        <v>2.685530268961287</v>
      </c>
      <c r="CT139" s="399">
        <v>14.32581133263497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0</v>
      </c>
      <c r="DA139" s="399">
        <v>0</v>
      </c>
      <c r="DB139" s="399">
        <v>0</v>
      </c>
      <c r="DC139" s="399">
        <v>62.016252181856316</v>
      </c>
      <c r="DD139" s="399">
        <v>0</v>
      </c>
      <c r="DE139" s="399">
        <v>0</v>
      </c>
      <c r="DF139" s="399">
        <v>0</v>
      </c>
      <c r="DG139" s="399">
        <v>6.5682041557089974</v>
      </c>
      <c r="DH139" s="399">
        <v>0</v>
      </c>
      <c r="DI139" s="399">
        <v>-61.286637207483068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-7.9894131724402513</v>
      </c>
      <c r="DP139" s="399">
        <v>-1.0669663406845658</v>
      </c>
      <c r="DQ139" s="399">
        <v>0</v>
      </c>
      <c r="DR139" s="399">
        <v>0</v>
      </c>
      <c r="DS139" s="399"/>
      <c r="DT139" s="399"/>
      <c r="DU139" s="399"/>
      <c r="DV139" s="399">
        <v>2058.5477624295736</v>
      </c>
      <c r="DW139" s="399">
        <v>0</v>
      </c>
      <c r="DX139" s="399">
        <v>0</v>
      </c>
      <c r="DY139" s="399">
        <v>-683.19720000000007</v>
      </c>
      <c r="DZ139" s="399">
        <v>62.022240000000011</v>
      </c>
      <c r="EA139" s="399">
        <v>0</v>
      </c>
      <c r="EB139" s="399">
        <v>0</v>
      </c>
      <c r="EC139" s="399">
        <v>-636.50487212096687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338.67228114845261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230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138</v>
      </c>
      <c r="B140" s="399" t="s">
        <v>956</v>
      </c>
      <c r="C140" s="399" t="s">
        <v>2328</v>
      </c>
      <c r="D140" s="399" t="s">
        <v>1823</v>
      </c>
      <c r="E140" s="399" t="s">
        <v>889</v>
      </c>
      <c r="F140" s="399" t="s">
        <v>2332</v>
      </c>
      <c r="G140" s="399" t="s">
        <v>1239</v>
      </c>
      <c r="H140" s="399" t="s">
        <v>1239</v>
      </c>
      <c r="I140" s="399" t="s">
        <v>1239</v>
      </c>
      <c r="J140" s="399" t="s">
        <v>2329</v>
      </c>
      <c r="K140" s="789">
        <v>44531</v>
      </c>
      <c r="L140" s="399">
        <v>0</v>
      </c>
      <c r="M140" s="399">
        <v>0</v>
      </c>
      <c r="N140" s="399">
        <v>13.44</v>
      </c>
      <c r="O140" s="399">
        <v>13.44</v>
      </c>
      <c r="P140" s="399">
        <v>13.44</v>
      </c>
      <c r="Q140" s="399">
        <v>13.44</v>
      </c>
      <c r="R140" s="399"/>
      <c r="S140" s="399">
        <v>230.94</v>
      </c>
      <c r="T140" s="399">
        <v>128.11000000000001</v>
      </c>
      <c r="U140" s="399"/>
      <c r="V140" s="399">
        <v>4825.6319999999996</v>
      </c>
      <c r="W140" s="399">
        <v>4825.6319999999996</v>
      </c>
      <c r="X140" s="399">
        <v>4124.7359999999999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0</v>
      </c>
      <c r="AE140" s="399">
        <v>2614.0289046724743</v>
      </c>
      <c r="AF140" s="399">
        <v>1721.8124639544594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11.563613460192904</v>
      </c>
      <c r="AO140" s="399">
        <v>46.717711063519772</v>
      </c>
      <c r="AP140" s="399">
        <v>249.21302221902107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182.35890404883244</v>
      </c>
      <c r="BH140" s="399">
        <v>0</v>
      </c>
      <c r="BI140" s="399">
        <v>0</v>
      </c>
      <c r="BJ140" s="399">
        <v>0</v>
      </c>
      <c r="BK140" s="399">
        <v>192.81</v>
      </c>
      <c r="BL140" s="399">
        <v>13</v>
      </c>
      <c r="BM140" s="399"/>
      <c r="BN140" s="399"/>
      <c r="BO140" s="399"/>
      <c r="BP140" s="399"/>
      <c r="BQ140" s="399"/>
      <c r="BR140" s="399"/>
      <c r="BS140" s="399"/>
      <c r="BT140" s="399">
        <v>2681.0111999999999</v>
      </c>
      <c r="BU140" s="399"/>
      <c r="BV140" s="399">
        <v>1904.1713680032919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1443.7248</v>
      </c>
      <c r="CJ140" s="399">
        <v>-245.31000000000017</v>
      </c>
      <c r="CK140" s="399"/>
      <c r="CL140" s="399"/>
      <c r="CM140" s="399"/>
      <c r="CN140" s="399"/>
      <c r="CO140" s="399">
        <v>-779.6543999999999</v>
      </c>
      <c r="CP140" s="399">
        <v>78.758399999999796</v>
      </c>
      <c r="CQ140" s="399"/>
      <c r="CR140" s="399">
        <v>107.3381988552087</v>
      </c>
      <c r="CS140" s="399">
        <v>3.4101971669349709</v>
      </c>
      <c r="CT140" s="399">
        <v>18.191506454139642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0</v>
      </c>
      <c r="DA140" s="399">
        <v>0</v>
      </c>
      <c r="DB140" s="399">
        <v>0</v>
      </c>
      <c r="DC140" s="399">
        <v>78.750796421404857</v>
      </c>
      <c r="DD140" s="399">
        <v>0</v>
      </c>
      <c r="DE140" s="399">
        <v>0</v>
      </c>
      <c r="DF140" s="399">
        <v>0</v>
      </c>
      <c r="DG140" s="399">
        <v>8.3405767056622153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0</v>
      </c>
      <c r="DP140" s="399">
        <v>-1.3548778929327803</v>
      </c>
      <c r="DQ140" s="399">
        <v>0</v>
      </c>
      <c r="DR140" s="399">
        <v>0</v>
      </c>
      <c r="DS140" s="399"/>
      <c r="DT140" s="399"/>
      <c r="DU140" s="399"/>
      <c r="DV140" s="399">
        <v>2614.0289046724743</v>
      </c>
      <c r="DW140" s="399">
        <v>0</v>
      </c>
      <c r="DX140" s="399">
        <v>0</v>
      </c>
      <c r="DY140" s="399">
        <v>-779.6543999999999</v>
      </c>
      <c r="DZ140" s="399">
        <v>78.75839999999971</v>
      </c>
      <c r="EA140" s="399">
        <v>0</v>
      </c>
      <c r="EB140" s="399">
        <v>0</v>
      </c>
      <c r="EC140" s="399">
        <v>-808.26015507424336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230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139</v>
      </c>
      <c r="B141" s="399" t="s">
        <v>956</v>
      </c>
      <c r="C141" s="399" t="s">
        <v>2328</v>
      </c>
      <c r="D141" s="399" t="s">
        <v>1823</v>
      </c>
      <c r="E141" s="399" t="s">
        <v>889</v>
      </c>
      <c r="F141" s="399" t="s">
        <v>2333</v>
      </c>
      <c r="G141" s="399" t="s">
        <v>1239</v>
      </c>
      <c r="H141" s="399" t="s">
        <v>1239</v>
      </c>
      <c r="I141" s="399" t="s">
        <v>1239</v>
      </c>
      <c r="J141" s="399" t="s">
        <v>2329</v>
      </c>
      <c r="K141" s="789">
        <v>44531</v>
      </c>
      <c r="L141" s="399">
        <v>0</v>
      </c>
      <c r="M141" s="399">
        <v>0</v>
      </c>
      <c r="N141" s="399">
        <v>28.824999999999999</v>
      </c>
      <c r="O141" s="399">
        <v>28.824999999999999</v>
      </c>
      <c r="P141" s="399">
        <v>28.824999999999999</v>
      </c>
      <c r="Q141" s="399">
        <v>28.824999999999999</v>
      </c>
      <c r="R141" s="399"/>
      <c r="S141" s="399">
        <v>230.94</v>
      </c>
      <c r="T141" s="399">
        <v>128.11000000000001</v>
      </c>
      <c r="U141" s="399"/>
      <c r="V141" s="399">
        <v>10349.616249999999</v>
      </c>
      <c r="W141" s="399">
        <v>10349.616249999999</v>
      </c>
      <c r="X141" s="399">
        <v>8846.3924999999999</v>
      </c>
      <c r="Y141" s="399">
        <v>0</v>
      </c>
      <c r="Z141" s="399">
        <v>0</v>
      </c>
      <c r="AA141" s="399">
        <v>0</v>
      </c>
      <c r="AB141" s="399">
        <v>0</v>
      </c>
      <c r="AC141" s="399">
        <v>0</v>
      </c>
      <c r="AD141" s="399">
        <v>0</v>
      </c>
      <c r="AE141" s="399">
        <v>5606.352914969053</v>
      </c>
      <c r="AF141" s="399">
        <v>3692.8009132058996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0</v>
      </c>
      <c r="AM141" s="399"/>
      <c r="AN141" s="399">
        <v>24.800681398069976</v>
      </c>
      <c r="AO141" s="399">
        <v>100.19628135460994</v>
      </c>
      <c r="AP141" s="399">
        <v>534.49147064458941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391.10828937556511</v>
      </c>
      <c r="BH141" s="399">
        <v>0</v>
      </c>
      <c r="BI141" s="399">
        <v>0</v>
      </c>
      <c r="BJ141" s="399">
        <v>0</v>
      </c>
      <c r="BK141" s="399">
        <v>726.88</v>
      </c>
      <c r="BL141" s="399">
        <v>59</v>
      </c>
      <c r="BM141" s="399"/>
      <c r="BN141" s="399"/>
      <c r="BO141" s="399"/>
      <c r="BP141" s="399"/>
      <c r="BQ141" s="399"/>
      <c r="BR141" s="399"/>
      <c r="BS141" s="399"/>
      <c r="BT141" s="399">
        <v>3538.5570000000002</v>
      </c>
      <c r="BU141" s="399"/>
      <c r="BV141" s="399">
        <v>4083.9092025814648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5308.7561999999998</v>
      </c>
      <c r="CJ141" s="399">
        <v>-901.33180000000084</v>
      </c>
      <c r="CK141" s="399"/>
      <c r="CL141" s="399"/>
      <c r="CM141" s="399"/>
      <c r="CN141" s="399"/>
      <c r="CO141" s="399">
        <v>-1672.1382499999997</v>
      </c>
      <c r="CP141" s="399">
        <v>168.91449999999958</v>
      </c>
      <c r="CQ141" s="399"/>
      <c r="CR141" s="399">
        <v>230.21008794653244</v>
      </c>
      <c r="CS141" s="399">
        <v>7.3139087304241315</v>
      </c>
      <c r="CT141" s="399">
        <v>39.015637912245211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0</v>
      </c>
      <c r="DA141" s="399">
        <v>0</v>
      </c>
      <c r="DB141" s="399">
        <v>0</v>
      </c>
      <c r="DC141" s="399">
        <v>168.89819247373498</v>
      </c>
      <c r="DD141" s="399">
        <v>0</v>
      </c>
      <c r="DE141" s="399">
        <v>0</v>
      </c>
      <c r="DF141" s="399">
        <v>0</v>
      </c>
      <c r="DG141" s="399">
        <v>17.888178834874509</v>
      </c>
      <c r="DH141" s="399">
        <v>0</v>
      </c>
      <c r="DI141" s="399">
        <v>0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0</v>
      </c>
      <c r="DP141" s="399">
        <v>-2.9058300047460861</v>
      </c>
      <c r="DQ141" s="399">
        <v>0</v>
      </c>
      <c r="DR141" s="399">
        <v>0</v>
      </c>
      <c r="DS141" s="399"/>
      <c r="DT141" s="399"/>
      <c r="DU141" s="399"/>
      <c r="DV141" s="399">
        <v>5606.352914969053</v>
      </c>
      <c r="DW141" s="399">
        <v>0</v>
      </c>
      <c r="DX141" s="399">
        <v>0</v>
      </c>
      <c r="DY141" s="399">
        <v>-1672.1382499999991</v>
      </c>
      <c r="DZ141" s="399">
        <v>168.91449999999986</v>
      </c>
      <c r="EA141" s="399">
        <v>0</v>
      </c>
      <c r="EB141" s="399">
        <v>0</v>
      </c>
      <c r="EC141" s="399">
        <v>-1733.4895066975496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230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140</v>
      </c>
      <c r="B142" s="399" t="s">
        <v>956</v>
      </c>
      <c r="C142" s="399" t="s">
        <v>2328</v>
      </c>
      <c r="D142" s="399" t="s">
        <v>1823</v>
      </c>
      <c r="E142" s="399" t="s">
        <v>889</v>
      </c>
      <c r="F142" s="399" t="s">
        <v>2334</v>
      </c>
      <c r="G142" s="399" t="s">
        <v>1239</v>
      </c>
      <c r="H142" s="399" t="s">
        <v>1239</v>
      </c>
      <c r="I142" s="399" t="s">
        <v>1239</v>
      </c>
      <c r="J142" s="399" t="s">
        <v>2329</v>
      </c>
      <c r="K142" s="789">
        <v>44531</v>
      </c>
      <c r="L142" s="399">
        <v>0</v>
      </c>
      <c r="M142" s="399">
        <v>0</v>
      </c>
      <c r="N142" s="399">
        <v>33.396999999999998</v>
      </c>
      <c r="O142" s="399">
        <v>33.396999999999998</v>
      </c>
      <c r="P142" s="399">
        <v>33.396999999999998</v>
      </c>
      <c r="Q142" s="399">
        <v>33.396999999999998</v>
      </c>
      <c r="R142" s="399"/>
      <c r="S142" s="399">
        <v>230.94</v>
      </c>
      <c r="T142" s="399">
        <v>128.11000000000001</v>
      </c>
      <c r="U142" s="399"/>
      <c r="V142" s="399">
        <v>11991.192849999999</v>
      </c>
      <c r="W142" s="399">
        <v>11991.192849999999</v>
      </c>
      <c r="X142" s="399">
        <v>10249.5393</v>
      </c>
      <c r="Y142" s="399">
        <v>0</v>
      </c>
      <c r="Z142" s="399">
        <v>0</v>
      </c>
      <c r="AA142" s="399">
        <v>0</v>
      </c>
      <c r="AB142" s="399">
        <v>0</v>
      </c>
      <c r="AC142" s="399">
        <v>0</v>
      </c>
      <c r="AD142" s="399">
        <v>0</v>
      </c>
      <c r="AE142" s="399">
        <v>6495.5895334335282</v>
      </c>
      <c r="AF142" s="399">
        <v>4278.524617461836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0</v>
      </c>
      <c r="AM142" s="399"/>
      <c r="AN142" s="399">
        <v>28.734374905510595</v>
      </c>
      <c r="AO142" s="399">
        <v>116.08864556461086</v>
      </c>
      <c r="AP142" s="399">
        <v>619.26840052445289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453.14288084217685</v>
      </c>
      <c r="BH142" s="399">
        <v>0</v>
      </c>
      <c r="BI142" s="399">
        <v>0</v>
      </c>
      <c r="BJ142" s="399">
        <v>0</v>
      </c>
      <c r="BK142" s="399">
        <v>2162.5500000000002</v>
      </c>
      <c r="BL142" s="399">
        <v>211</v>
      </c>
      <c r="BM142" s="399"/>
      <c r="BN142" s="399"/>
      <c r="BO142" s="399"/>
      <c r="BP142" s="399"/>
      <c r="BQ142" s="399"/>
      <c r="BR142" s="399"/>
      <c r="BS142" s="399"/>
      <c r="BT142" s="399">
        <v>1024.9539300000008</v>
      </c>
      <c r="BU142" s="399"/>
      <c r="BV142" s="399">
        <v>4731.667498304013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9225.4139999999989</v>
      </c>
      <c r="CJ142" s="399">
        <v>-1566.8565500000004</v>
      </c>
      <c r="CK142" s="399"/>
      <c r="CL142" s="399"/>
      <c r="CM142" s="399"/>
      <c r="CN142" s="399"/>
      <c r="CO142" s="399">
        <v>-1937.3599699999995</v>
      </c>
      <c r="CP142" s="399">
        <v>195.7064199999995</v>
      </c>
      <c r="CQ142" s="399"/>
      <c r="CR142" s="399">
        <v>266.72424309281359</v>
      </c>
      <c r="CS142" s="399">
        <v>8.4739847309618312</v>
      </c>
      <c r="CT142" s="399">
        <v>45.203998589948014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0</v>
      </c>
      <c r="DA142" s="399">
        <v>0</v>
      </c>
      <c r="DB142" s="399">
        <v>0</v>
      </c>
      <c r="DC142" s="399">
        <v>195.68752589923133</v>
      </c>
      <c r="DD142" s="399">
        <v>0</v>
      </c>
      <c r="DE142" s="399">
        <v>0</v>
      </c>
      <c r="DF142" s="399">
        <v>0</v>
      </c>
      <c r="DG142" s="399">
        <v>20.72546430349712</v>
      </c>
      <c r="DH142" s="399">
        <v>0</v>
      </c>
      <c r="DI142" s="399">
        <v>0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0</v>
      </c>
      <c r="DP142" s="399">
        <v>-3.3667304308241128</v>
      </c>
      <c r="DQ142" s="399">
        <v>0</v>
      </c>
      <c r="DR142" s="399">
        <v>0</v>
      </c>
      <c r="DS142" s="399"/>
      <c r="DT142" s="399"/>
      <c r="DU142" s="399"/>
      <c r="DV142" s="399">
        <v>6495.5895334335282</v>
      </c>
      <c r="DW142" s="399">
        <v>0</v>
      </c>
      <c r="DX142" s="399">
        <v>0</v>
      </c>
      <c r="DY142" s="399">
        <v>-1937.3599699999995</v>
      </c>
      <c r="DZ142" s="399">
        <v>195.70641999999953</v>
      </c>
      <c r="EA142" s="399">
        <v>0</v>
      </c>
      <c r="EB142" s="399">
        <v>0</v>
      </c>
      <c r="EC142" s="399">
        <v>-2008.442291593341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230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141</v>
      </c>
      <c r="B143" s="399" t="s">
        <v>956</v>
      </c>
      <c r="C143" s="399" t="s">
        <v>2328</v>
      </c>
      <c r="D143" s="399" t="s">
        <v>1823</v>
      </c>
      <c r="E143" s="399" t="s">
        <v>889</v>
      </c>
      <c r="F143" s="399" t="s">
        <v>2335</v>
      </c>
      <c r="G143" s="399" t="s">
        <v>1239</v>
      </c>
      <c r="H143" s="399" t="s">
        <v>1239</v>
      </c>
      <c r="I143" s="399" t="s">
        <v>1239</v>
      </c>
      <c r="J143" s="399" t="s">
        <v>2329</v>
      </c>
      <c r="K143" s="789">
        <v>44531</v>
      </c>
      <c r="L143" s="399">
        <v>0</v>
      </c>
      <c r="M143" s="399">
        <v>0</v>
      </c>
      <c r="N143" s="399">
        <v>13.891</v>
      </c>
      <c r="O143" s="399">
        <v>13.891</v>
      </c>
      <c r="P143" s="399">
        <v>13.891</v>
      </c>
      <c r="Q143" s="399">
        <v>13.891</v>
      </c>
      <c r="R143" s="399"/>
      <c r="S143" s="399">
        <v>230.94</v>
      </c>
      <c r="T143" s="399">
        <v>128.11000000000001</v>
      </c>
      <c r="U143" s="399"/>
      <c r="V143" s="399">
        <v>4987.5635500000008</v>
      </c>
      <c r="W143" s="399">
        <v>4987.5635500000008</v>
      </c>
      <c r="X143" s="399">
        <v>4263.1478999999999</v>
      </c>
      <c r="Y143" s="399">
        <v>0</v>
      </c>
      <c r="Z143" s="399">
        <v>0</v>
      </c>
      <c r="AA143" s="399">
        <v>0</v>
      </c>
      <c r="AB143" s="399">
        <v>0</v>
      </c>
      <c r="AC143" s="399">
        <v>0</v>
      </c>
      <c r="AD143" s="399">
        <v>0</v>
      </c>
      <c r="AE143" s="399">
        <v>2701.7466900896829</v>
      </c>
      <c r="AF143" s="399">
        <v>1779.5905458922168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0</v>
      </c>
      <c r="AM143" s="399"/>
      <c r="AN143" s="399">
        <v>11.951648405918128</v>
      </c>
      <c r="AO143" s="399">
        <v>48.285396159475688</v>
      </c>
      <c r="AP143" s="399">
        <v>257.57575086640043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188.47823929630442</v>
      </c>
      <c r="BH143" s="399">
        <v>0</v>
      </c>
      <c r="BI143" s="399">
        <v>0</v>
      </c>
      <c r="BJ143" s="399">
        <v>0</v>
      </c>
      <c r="BK143" s="399">
        <v>1476.34</v>
      </c>
      <c r="BL143" s="399">
        <v>165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1968.0687851885214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4262.8410000000003</v>
      </c>
      <c r="CJ143" s="399">
        <v>-724.75255000000107</v>
      </c>
      <c r="CK143" s="399"/>
      <c r="CL143" s="399"/>
      <c r="CM143" s="399"/>
      <c r="CN143" s="399"/>
      <c r="CO143" s="399">
        <v>-805.81690999999989</v>
      </c>
      <c r="CP143" s="399">
        <v>81.401259999999795</v>
      </c>
      <c r="CQ143" s="399"/>
      <c r="CR143" s="399">
        <v>110.94009823643682</v>
      </c>
      <c r="CS143" s="399">
        <v>3.524631610557563</v>
      </c>
      <c r="CT143" s="399">
        <v>18.801950606730202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0</v>
      </c>
      <c r="DA143" s="399">
        <v>0</v>
      </c>
      <c r="DB143" s="399">
        <v>0</v>
      </c>
      <c r="DC143" s="399">
        <v>81.393401271557877</v>
      </c>
      <c r="DD143" s="399">
        <v>0</v>
      </c>
      <c r="DE143" s="399">
        <v>0</v>
      </c>
      <c r="DF143" s="399">
        <v>0</v>
      </c>
      <c r="DG143" s="399">
        <v>8.620457665056108</v>
      </c>
      <c r="DH143" s="399">
        <v>0</v>
      </c>
      <c r="DI143" s="399">
        <v>0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0</v>
      </c>
      <c r="DP143" s="399">
        <v>-1.4003429174649753</v>
      </c>
      <c r="DQ143" s="399">
        <v>0</v>
      </c>
      <c r="DR143" s="399">
        <v>0</v>
      </c>
      <c r="DS143" s="399"/>
      <c r="DT143" s="399"/>
      <c r="DU143" s="399"/>
      <c r="DV143" s="399">
        <v>2701.7466900896829</v>
      </c>
      <c r="DW143" s="399">
        <v>0</v>
      </c>
      <c r="DX143" s="399">
        <v>0</v>
      </c>
      <c r="DY143" s="399">
        <v>-805.81691000000001</v>
      </c>
      <c r="DZ143" s="399">
        <v>81.401259999999866</v>
      </c>
      <c r="EA143" s="399">
        <v>0</v>
      </c>
      <c r="EB143" s="399">
        <v>0</v>
      </c>
      <c r="EC143" s="399">
        <v>-835.38257545657098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230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142</v>
      </c>
      <c r="B144" s="399" t="s">
        <v>956</v>
      </c>
      <c r="C144" s="399" t="s">
        <v>2328</v>
      </c>
      <c r="D144" s="399" t="s">
        <v>1826</v>
      </c>
      <c r="E144" s="399" t="s">
        <v>890</v>
      </c>
      <c r="F144" s="399" t="s">
        <v>1239</v>
      </c>
      <c r="G144" s="399" t="s">
        <v>1239</v>
      </c>
      <c r="H144" s="399" t="s">
        <v>1239</v>
      </c>
      <c r="I144" s="399" t="s">
        <v>1239</v>
      </c>
      <c r="J144" s="399" t="s">
        <v>2329</v>
      </c>
      <c r="K144" s="789">
        <v>44531</v>
      </c>
      <c r="L144" s="399">
        <v>0</v>
      </c>
      <c r="M144" s="399">
        <v>0</v>
      </c>
      <c r="N144" s="399">
        <v>408.26499999999999</v>
      </c>
      <c r="O144" s="399">
        <v>408.26499999999999</v>
      </c>
      <c r="P144" s="399">
        <v>408.26499999999999</v>
      </c>
      <c r="Q144" s="399">
        <v>408.26499999999999</v>
      </c>
      <c r="R144" s="399"/>
      <c r="S144" s="399">
        <v>333.61</v>
      </c>
      <c r="T144" s="399">
        <v>128.11000000000001</v>
      </c>
      <c r="U144" s="399"/>
      <c r="V144" s="399">
        <v>188504.1158</v>
      </c>
      <c r="W144" s="399">
        <v>188504.1158</v>
      </c>
      <c r="X144" s="399">
        <v>164543.04295</v>
      </c>
      <c r="Y144" s="399">
        <v>0</v>
      </c>
      <c r="Z144" s="399">
        <v>24992.370836308593</v>
      </c>
      <c r="AA144" s="399">
        <v>0</v>
      </c>
      <c r="AB144" s="399">
        <v>0</v>
      </c>
      <c r="AC144" s="399">
        <v>0</v>
      </c>
      <c r="AD144" s="399">
        <v>0</v>
      </c>
      <c r="AE144" s="399">
        <v>79405.990384383011</v>
      </c>
      <c r="AF144" s="399">
        <v>52303.256368777329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3859.6762389253258</v>
      </c>
      <c r="AM144" s="399"/>
      <c r="AN144" s="399">
        <v>351.26626855101608</v>
      </c>
      <c r="AO144" s="399">
        <v>1419.1373740586237</v>
      </c>
      <c r="AP144" s="399">
        <v>7570.3091157923091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5539.4909197542092</v>
      </c>
      <c r="BH144" s="399">
        <v>0</v>
      </c>
      <c r="BI144" s="399">
        <v>0</v>
      </c>
      <c r="BJ144" s="399">
        <v>0</v>
      </c>
      <c r="BK144" s="399">
        <v>74170.149999999994</v>
      </c>
      <c r="BL144" s="399">
        <v>216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57842.747288531536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164545.05809999999</v>
      </c>
      <c r="CJ144" s="399">
        <v>-23959.087700000033</v>
      </c>
      <c r="CK144" s="399"/>
      <c r="CL144" s="399"/>
      <c r="CM144" s="399"/>
      <c r="CN144" s="399"/>
      <c r="CO144" s="399">
        <v>-26353.505750000004</v>
      </c>
      <c r="CP144" s="399">
        <v>2392.4328999999939</v>
      </c>
      <c r="CQ144" s="399"/>
      <c r="CR144" s="399">
        <v>588.35758920943772</v>
      </c>
      <c r="CS144" s="399">
        <v>103.5910823183558</v>
      </c>
      <c r="CT144" s="399">
        <v>552.60084691215161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0</v>
      </c>
      <c r="DA144" s="399">
        <v>0</v>
      </c>
      <c r="DB144" s="399">
        <v>0</v>
      </c>
      <c r="DC144" s="399">
        <v>2392.2019271566169</v>
      </c>
      <c r="DD144" s="399">
        <v>0</v>
      </c>
      <c r="DE144" s="399">
        <v>0</v>
      </c>
      <c r="DF144" s="399">
        <v>0</v>
      </c>
      <c r="DG144" s="399">
        <v>253.36053190008806</v>
      </c>
      <c r="DH144" s="399">
        <v>0</v>
      </c>
      <c r="DI144" s="399">
        <v>-2364.057911896547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-308.18195094919884</v>
      </c>
      <c r="DP144" s="399">
        <v>-41.156936232009059</v>
      </c>
      <c r="DQ144" s="399">
        <v>0</v>
      </c>
      <c r="DR144" s="399">
        <v>0</v>
      </c>
      <c r="DS144" s="399"/>
      <c r="DT144" s="399"/>
      <c r="DU144" s="399"/>
      <c r="DV144" s="399">
        <v>79405.990384383011</v>
      </c>
      <c r="DW144" s="399">
        <v>0</v>
      </c>
      <c r="DX144" s="399">
        <v>0</v>
      </c>
      <c r="DY144" s="399">
        <v>-26353.505749999997</v>
      </c>
      <c r="DZ144" s="399">
        <v>2392.4328999999925</v>
      </c>
      <c r="EA144" s="399">
        <v>0</v>
      </c>
      <c r="EB144" s="399">
        <v>0</v>
      </c>
      <c r="EC144" s="399">
        <v>-24552.405670490029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13063.87366431151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230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143</v>
      </c>
      <c r="B145" s="399" t="s">
        <v>2331</v>
      </c>
      <c r="C145" s="399" t="s">
        <v>2328</v>
      </c>
      <c r="D145" s="399" t="s">
        <v>1826</v>
      </c>
      <c r="E145" s="399" t="s">
        <v>890</v>
      </c>
      <c r="F145" s="399" t="s">
        <v>1239</v>
      </c>
      <c r="G145" s="399" t="s">
        <v>1239</v>
      </c>
      <c r="H145" s="399" t="s">
        <v>1239</v>
      </c>
      <c r="I145" s="399" t="s">
        <v>1239</v>
      </c>
      <c r="J145" s="399" t="s">
        <v>2329</v>
      </c>
      <c r="K145" s="789">
        <v>44531</v>
      </c>
      <c r="L145" s="399">
        <v>0</v>
      </c>
      <c r="M145" s="399">
        <v>0</v>
      </c>
      <c r="N145" s="399">
        <v>2.2069999999999999</v>
      </c>
      <c r="O145" s="399">
        <v>2.2069999999999999</v>
      </c>
      <c r="P145" s="399">
        <v>2.2069999999999999</v>
      </c>
      <c r="Q145" s="399">
        <v>2.2069999999999999</v>
      </c>
      <c r="R145" s="399"/>
      <c r="S145" s="399">
        <v>333.61</v>
      </c>
      <c r="T145" s="399">
        <v>128.11000000000001</v>
      </c>
      <c r="U145" s="399"/>
      <c r="V145" s="399">
        <v>1019.01604</v>
      </c>
      <c r="W145" s="399">
        <v>1019.01604</v>
      </c>
      <c r="X145" s="399">
        <v>889.48721</v>
      </c>
      <c r="Y145" s="399">
        <v>0</v>
      </c>
      <c r="Z145" s="399">
        <v>135.10382333957861</v>
      </c>
      <c r="AA145" s="399">
        <v>0</v>
      </c>
      <c r="AB145" s="399">
        <v>0</v>
      </c>
      <c r="AC145" s="399">
        <v>0</v>
      </c>
      <c r="AD145" s="399">
        <v>0</v>
      </c>
      <c r="AE145" s="399">
        <v>429.25310956935641</v>
      </c>
      <c r="AF145" s="399">
        <v>282.74107946037884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20.864647861825514</v>
      </c>
      <c r="AM145" s="399"/>
      <c r="AN145" s="399">
        <v>1.8988761091254269</v>
      </c>
      <c r="AO145" s="399">
        <v>7.6715765116955463</v>
      </c>
      <c r="AP145" s="399">
        <v>40.923596728971688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29.945394437185506</v>
      </c>
      <c r="BH145" s="399">
        <v>0</v>
      </c>
      <c r="BI145" s="399">
        <v>0</v>
      </c>
      <c r="BJ145" s="399">
        <v>0</v>
      </c>
      <c r="BK145" s="399">
        <v>1300.6099999999999</v>
      </c>
      <c r="BL145" s="399">
        <v>2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312.68647389756433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890.69630000000006</v>
      </c>
      <c r="CJ145" s="399">
        <v>-128.34973999999988</v>
      </c>
      <c r="CK145" s="399"/>
      <c r="CL145" s="399"/>
      <c r="CM145" s="399"/>
      <c r="CN145" s="399"/>
      <c r="CO145" s="399">
        <v>-142.46185000000003</v>
      </c>
      <c r="CP145" s="399">
        <v>12.933019999999967</v>
      </c>
      <c r="CQ145" s="399"/>
      <c r="CR145" s="399">
        <v>3.1805449876557077</v>
      </c>
      <c r="CS145" s="399">
        <v>0.55999294251677689</v>
      </c>
      <c r="CT145" s="399">
        <v>2.9872510970451032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0</v>
      </c>
      <c r="DA145" s="399">
        <v>0</v>
      </c>
      <c r="DB145" s="399">
        <v>0</v>
      </c>
      <c r="DC145" s="399">
        <v>12.931771406401879</v>
      </c>
      <c r="DD145" s="399">
        <v>0</v>
      </c>
      <c r="DE145" s="399">
        <v>0</v>
      </c>
      <c r="DF145" s="399">
        <v>0</v>
      </c>
      <c r="DG145" s="399">
        <v>1.3696170230205738</v>
      </c>
      <c r="DH145" s="399">
        <v>0</v>
      </c>
      <c r="DI145" s="399">
        <v>-12.779630415430361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-1.6659707928548393</v>
      </c>
      <c r="DP145" s="399">
        <v>-0.22248627304335167</v>
      </c>
      <c r="DQ145" s="399">
        <v>0</v>
      </c>
      <c r="DR145" s="399">
        <v>0</v>
      </c>
      <c r="DS145" s="399"/>
      <c r="DT145" s="399"/>
      <c r="DU145" s="399"/>
      <c r="DV145" s="399">
        <v>429.25310956935641</v>
      </c>
      <c r="DW145" s="399">
        <v>0</v>
      </c>
      <c r="DX145" s="399">
        <v>0</v>
      </c>
      <c r="DY145" s="399">
        <v>-142.46184999999991</v>
      </c>
      <c r="DZ145" s="399">
        <v>12.933019999999999</v>
      </c>
      <c r="EA145" s="399">
        <v>0</v>
      </c>
      <c r="EB145" s="399">
        <v>0</v>
      </c>
      <c r="EC145" s="399">
        <v>-132.72545850065882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70.620722268956442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230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144</v>
      </c>
      <c r="B146" s="399" t="s">
        <v>956</v>
      </c>
      <c r="C146" s="399" t="s">
        <v>2336</v>
      </c>
      <c r="D146" s="399" t="s">
        <v>535</v>
      </c>
      <c r="E146" s="399" t="s">
        <v>890</v>
      </c>
      <c r="F146" s="399" t="s">
        <v>1239</v>
      </c>
      <c r="G146" s="399" t="s">
        <v>1239</v>
      </c>
      <c r="H146" s="399" t="s">
        <v>1239</v>
      </c>
      <c r="I146" s="399" t="s">
        <v>893</v>
      </c>
      <c r="J146" s="399" t="s">
        <v>2329</v>
      </c>
      <c r="K146" s="789">
        <v>44531</v>
      </c>
      <c r="L146" s="399">
        <v>2442</v>
      </c>
      <c r="M146" s="399">
        <v>2442</v>
      </c>
      <c r="N146" s="399">
        <v>110.199</v>
      </c>
      <c r="O146" s="399">
        <v>110.199</v>
      </c>
      <c r="P146" s="399">
        <v>110.199</v>
      </c>
      <c r="Q146" s="399">
        <v>110.199</v>
      </c>
      <c r="R146" s="399">
        <v>28.46</v>
      </c>
      <c r="S146" s="399">
        <v>75.12</v>
      </c>
      <c r="T146" s="399">
        <v>128.11000000000001</v>
      </c>
      <c r="U146" s="399">
        <v>69499.320000000007</v>
      </c>
      <c r="V146" s="399">
        <v>22395.742770000004</v>
      </c>
      <c r="W146" s="399">
        <v>91895.062770000004</v>
      </c>
      <c r="X146" s="399">
        <v>75655.807440000004</v>
      </c>
      <c r="Y146" s="399">
        <v>0</v>
      </c>
      <c r="Z146" s="399">
        <v>4519.7848540520199</v>
      </c>
      <c r="AA146" s="399">
        <v>0</v>
      </c>
      <c r="AB146" s="399">
        <v>0</v>
      </c>
      <c r="AC146" s="399">
        <v>0</v>
      </c>
      <c r="AD146" s="399">
        <v>0</v>
      </c>
      <c r="AE146" s="399">
        <v>56146.384509016003</v>
      </c>
      <c r="AF146" s="399">
        <v>14117.709205008739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1041.8048616788899</v>
      </c>
      <c r="AM146" s="399"/>
      <c r="AN146" s="399">
        <v>26.97186642851748</v>
      </c>
      <c r="AO146" s="399">
        <v>2010.4276854592322</v>
      </c>
      <c r="AP146" s="399">
        <v>11333.171026891316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327.00240237543579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14444.711607384175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75656.012000000002</v>
      </c>
      <c r="CJ146" s="399">
        <v>-16239.08077</v>
      </c>
      <c r="CK146" s="399"/>
      <c r="CL146" s="399"/>
      <c r="CM146" s="399"/>
      <c r="CN146" s="399"/>
      <c r="CO146" s="399">
        <v>-16885.021470000003</v>
      </c>
      <c r="CP146" s="399">
        <v>645.76613999999836</v>
      </c>
      <c r="CQ146" s="399"/>
      <c r="CR146" s="399">
        <v>1120.8101798338394</v>
      </c>
      <c r="CS146" s="399">
        <v>146.75279762655509</v>
      </c>
      <c r="CT146" s="399">
        <v>827.27400055506223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0</v>
      </c>
      <c r="DA146" s="399">
        <v>0</v>
      </c>
      <c r="DB146" s="399">
        <v>0</v>
      </c>
      <c r="DC146" s="399">
        <v>645.70379574720391</v>
      </c>
      <c r="DD146" s="399">
        <v>0</v>
      </c>
      <c r="DE146" s="399">
        <v>0</v>
      </c>
      <c r="DF146" s="399">
        <v>0</v>
      </c>
      <c r="DG146" s="399">
        <v>14.956158209957039</v>
      </c>
      <c r="DH146" s="399">
        <v>0</v>
      </c>
      <c r="DI146" s="399">
        <v>-427.53179417332194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-83.184556140376344</v>
      </c>
      <c r="DP146" s="399">
        <v>-3.1602219912428886</v>
      </c>
      <c r="DQ146" s="399">
        <v>0</v>
      </c>
      <c r="DR146" s="399">
        <v>0</v>
      </c>
      <c r="DS146" s="399"/>
      <c r="DT146" s="399"/>
      <c r="DU146" s="399">
        <v>56146.384509016003</v>
      </c>
      <c r="DV146" s="399">
        <v>0</v>
      </c>
      <c r="DW146" s="399">
        <v>0</v>
      </c>
      <c r="DX146" s="399">
        <v>0</v>
      </c>
      <c r="DY146" s="399">
        <v>-16885.02147</v>
      </c>
      <c r="DZ146" s="399">
        <v>645.7661399999979</v>
      </c>
      <c r="EA146" s="399">
        <v>0</v>
      </c>
      <c r="EB146" s="399">
        <v>0</v>
      </c>
      <c r="EC146" s="399">
        <v>-17360.514020712828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2362.5569062628997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230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145</v>
      </c>
      <c r="B147" s="399" t="s">
        <v>956</v>
      </c>
      <c r="C147" s="399" t="s">
        <v>2336</v>
      </c>
      <c r="D147" s="399" t="s">
        <v>535</v>
      </c>
      <c r="E147" s="399" t="s">
        <v>890</v>
      </c>
      <c r="F147" s="399" t="s">
        <v>1239</v>
      </c>
      <c r="G147" s="399" t="s">
        <v>1239</v>
      </c>
      <c r="H147" s="399" t="s">
        <v>1239</v>
      </c>
      <c r="I147" s="399" t="s">
        <v>2326</v>
      </c>
      <c r="J147" s="399" t="s">
        <v>2329</v>
      </c>
      <c r="K147" s="789">
        <v>44531</v>
      </c>
      <c r="L147" s="399">
        <v>2500</v>
      </c>
      <c r="M147" s="399">
        <v>2500</v>
      </c>
      <c r="N147" s="399">
        <v>1023.229</v>
      </c>
      <c r="O147" s="399">
        <v>1023.229</v>
      </c>
      <c r="P147" s="399">
        <v>1023.229</v>
      </c>
      <c r="Q147" s="399">
        <v>1023.229</v>
      </c>
      <c r="R147" s="399">
        <v>9.92</v>
      </c>
      <c r="S147" s="399">
        <v>75.12</v>
      </c>
      <c r="T147" s="399">
        <v>128.11000000000001</v>
      </c>
      <c r="U147" s="399">
        <v>24800</v>
      </c>
      <c r="V147" s="399">
        <v>207950.82967000001</v>
      </c>
      <c r="W147" s="399">
        <v>232750.82967000001</v>
      </c>
      <c r="X147" s="399">
        <v>231211.72424000001</v>
      </c>
      <c r="Y147" s="399">
        <v>0</v>
      </c>
      <c r="Z147" s="399">
        <v>41967.48551644566</v>
      </c>
      <c r="AA147" s="399">
        <v>0</v>
      </c>
      <c r="AB147" s="399">
        <v>0</v>
      </c>
      <c r="AC147" s="399">
        <v>0</v>
      </c>
      <c r="AD147" s="399">
        <v>0</v>
      </c>
      <c r="AE147" s="399">
        <v>12300.546167828574</v>
      </c>
      <c r="AF147" s="399">
        <v>131086.93792259358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9673.4539043986697</v>
      </c>
      <c r="AM147" s="399"/>
      <c r="AN147" s="399">
        <v>250.44143698024044</v>
      </c>
      <c r="AO147" s="399">
        <v>1858.1087599355999</v>
      </c>
      <c r="AP147" s="399">
        <v>10633.863386614099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3036.3101405658385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134123.24806315944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231211.92879999999</v>
      </c>
      <c r="CJ147" s="399">
        <v>-1538.9308700000402</v>
      </c>
      <c r="CK147" s="399"/>
      <c r="CL147" s="399"/>
      <c r="CM147" s="399"/>
      <c r="CN147" s="399"/>
      <c r="CO147" s="399">
        <v>-7535.2273700000023</v>
      </c>
      <c r="CP147" s="399">
        <v>5996.1219399999854</v>
      </c>
      <c r="CQ147" s="399"/>
      <c r="CR147" s="399">
        <v>2274.786996856943</v>
      </c>
      <c r="CS147" s="399">
        <v>135.63415425841004</v>
      </c>
      <c r="CT147" s="399">
        <v>776.22747281642478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0</v>
      </c>
      <c r="DA147" s="399">
        <v>0</v>
      </c>
      <c r="DB147" s="399">
        <v>0</v>
      </c>
      <c r="DC147" s="399">
        <v>5995.5430559135275</v>
      </c>
      <c r="DD147" s="399">
        <v>0</v>
      </c>
      <c r="DE147" s="399">
        <v>0</v>
      </c>
      <c r="DF147" s="399">
        <v>0</v>
      </c>
      <c r="DG147" s="399">
        <v>138.87217496543644</v>
      </c>
      <c r="DH147" s="399">
        <v>0</v>
      </c>
      <c r="DI147" s="399">
        <v>-3969.7540832509767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-772.39221948439808</v>
      </c>
      <c r="DP147" s="399">
        <v>-29.343558361486686</v>
      </c>
      <c r="DQ147" s="399">
        <v>0</v>
      </c>
      <c r="DR147" s="399">
        <v>0</v>
      </c>
      <c r="DS147" s="399"/>
      <c r="DT147" s="399"/>
      <c r="DU147" s="399">
        <v>12300.546167828574</v>
      </c>
      <c r="DV147" s="399">
        <v>0</v>
      </c>
      <c r="DW147" s="399">
        <v>0</v>
      </c>
      <c r="DX147" s="399">
        <v>0</v>
      </c>
      <c r="DY147" s="399">
        <v>-7535.2273699999932</v>
      </c>
      <c r="DZ147" s="399">
        <v>5996.1219399999827</v>
      </c>
      <c r="EA147" s="399">
        <v>0</v>
      </c>
      <c r="EB147" s="399">
        <v>0</v>
      </c>
      <c r="EC147" s="399">
        <v>-3803.3402520285745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21937.011593920823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230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146</v>
      </c>
      <c r="B148" s="399" t="s">
        <v>956</v>
      </c>
      <c r="C148" s="399" t="s">
        <v>2336</v>
      </c>
      <c r="D148" s="399" t="s">
        <v>535</v>
      </c>
      <c r="E148" s="399" t="s">
        <v>890</v>
      </c>
      <c r="F148" s="399" t="s">
        <v>1239</v>
      </c>
      <c r="G148" s="399" t="s">
        <v>1239</v>
      </c>
      <c r="H148" s="399" t="s">
        <v>1239</v>
      </c>
      <c r="I148" s="399" t="s">
        <v>1239</v>
      </c>
      <c r="J148" s="399" t="s">
        <v>2329</v>
      </c>
      <c r="K148" s="789">
        <v>44531</v>
      </c>
      <c r="L148" s="399">
        <v>0</v>
      </c>
      <c r="M148" s="399">
        <v>0</v>
      </c>
      <c r="N148" s="399">
        <v>0</v>
      </c>
      <c r="O148" s="399">
        <v>0</v>
      </c>
      <c r="P148" s="399">
        <v>0</v>
      </c>
      <c r="Q148" s="399">
        <v>0</v>
      </c>
      <c r="R148" s="399"/>
      <c r="S148" s="399"/>
      <c r="T148" s="399"/>
      <c r="U148" s="399"/>
      <c r="V148" s="399"/>
      <c r="W148" s="399"/>
      <c r="X148" s="399"/>
      <c r="Y148" s="399"/>
      <c r="Z148" s="399"/>
      <c r="AA148" s="399">
        <v>0</v>
      </c>
      <c r="AB148" s="399"/>
      <c r="AC148" s="399"/>
      <c r="AD148" s="399"/>
      <c r="AE148" s="399"/>
      <c r="AF148" s="399"/>
      <c r="AG148" s="399"/>
      <c r="AH148" s="399"/>
      <c r="AI148" s="399"/>
      <c r="AJ148" s="399"/>
      <c r="AK148" s="399"/>
      <c r="AL148" s="399"/>
      <c r="AM148" s="399"/>
      <c r="AN148" s="399"/>
      <c r="AO148" s="399"/>
      <c r="AP148" s="399"/>
      <c r="AQ148" s="399"/>
      <c r="AR148" s="399"/>
      <c r="AS148" s="399"/>
      <c r="AT148" s="399"/>
      <c r="AU148" s="399"/>
      <c r="AV148" s="399"/>
      <c r="AW148" s="399"/>
      <c r="AX148" s="399"/>
      <c r="AY148" s="399"/>
      <c r="AZ148" s="399">
        <v>0</v>
      </c>
      <c r="BA148" s="399"/>
      <c r="BB148" s="399"/>
      <c r="BC148" s="399"/>
      <c r="BD148" s="399"/>
      <c r="BE148" s="399"/>
      <c r="BF148" s="399"/>
      <c r="BG148" s="399"/>
      <c r="BH148" s="399"/>
      <c r="BI148" s="399">
        <v>0</v>
      </c>
      <c r="BJ148" s="399">
        <v>0</v>
      </c>
      <c r="BK148" s="399">
        <v>156930.89000000001</v>
      </c>
      <c r="BL148" s="399">
        <v>1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/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/>
      <c r="CJ148" s="399">
        <v>-0.03</v>
      </c>
      <c r="CK148" s="399"/>
      <c r="CL148" s="399"/>
      <c r="CM148" s="399"/>
      <c r="CN148" s="399"/>
      <c r="CO148" s="399">
        <v>0</v>
      </c>
      <c r="CP148" s="399">
        <v>0</v>
      </c>
      <c r="CQ148" s="399"/>
      <c r="CR148" s="399"/>
      <c r="CS148" s="399"/>
      <c r="CT148" s="399"/>
      <c r="CU148" s="399"/>
      <c r="CV148" s="399"/>
      <c r="CW148" s="399"/>
      <c r="CX148" s="399"/>
      <c r="CY148" s="399"/>
      <c r="CZ148" s="399"/>
      <c r="DA148" s="399"/>
      <c r="DB148" s="399"/>
      <c r="DC148" s="399"/>
      <c r="DD148" s="399"/>
      <c r="DE148" s="399"/>
      <c r="DF148" s="399"/>
      <c r="DG148" s="399"/>
      <c r="DH148" s="399"/>
      <c r="DI148" s="399"/>
      <c r="DJ148" s="399"/>
      <c r="DK148" s="399">
        <v>0</v>
      </c>
      <c r="DL148" s="399"/>
      <c r="DM148" s="399"/>
      <c r="DN148" s="399"/>
      <c r="DO148" s="399"/>
      <c r="DP148" s="399"/>
      <c r="DQ148" s="399"/>
      <c r="DR148" s="399"/>
      <c r="DS148" s="399"/>
      <c r="DT148" s="399"/>
      <c r="DU148" s="399"/>
      <c r="DV148" s="399"/>
      <c r="DW148" s="399"/>
      <c r="DX148" s="399"/>
      <c r="DY148" s="399"/>
      <c r="DZ148" s="399"/>
      <c r="EA148" s="399"/>
      <c r="EB148" s="399"/>
      <c r="EC148" s="399"/>
      <c r="ED148" s="399"/>
      <c r="EE148" s="399"/>
      <c r="EF148" s="399"/>
      <c r="EG148" s="399"/>
      <c r="EH148" s="399"/>
      <c r="EI148" s="399"/>
      <c r="EJ148" s="399"/>
      <c r="EK148" s="399"/>
      <c r="EL148" s="399"/>
      <c r="EM148" s="399"/>
      <c r="EN148" s="399"/>
      <c r="EO148" s="399"/>
      <c r="EP148" s="399"/>
      <c r="EQ148" s="399"/>
      <c r="ER148" s="399"/>
      <c r="ES148" s="399"/>
      <c r="ET148" s="399"/>
      <c r="EU148" s="399"/>
      <c r="EV148" s="399">
        <v>230</v>
      </c>
      <c r="EW148" s="399"/>
      <c r="EX148" s="399"/>
      <c r="EY148" s="399"/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147</v>
      </c>
      <c r="B149" s="399" t="s">
        <v>956</v>
      </c>
      <c r="C149" s="399" t="s">
        <v>2336</v>
      </c>
      <c r="D149" s="399" t="s">
        <v>533</v>
      </c>
      <c r="E149" s="399" t="s">
        <v>890</v>
      </c>
      <c r="F149" s="399" t="s">
        <v>1239</v>
      </c>
      <c r="G149" s="399" t="s">
        <v>1239</v>
      </c>
      <c r="H149" s="399" t="s">
        <v>1239</v>
      </c>
      <c r="I149" s="399" t="s">
        <v>893</v>
      </c>
      <c r="J149" s="399" t="s">
        <v>2329</v>
      </c>
      <c r="K149" s="789">
        <v>44531</v>
      </c>
      <c r="L149" s="399">
        <v>5967</v>
      </c>
      <c r="M149" s="399">
        <v>5967</v>
      </c>
      <c r="N149" s="399">
        <v>354.03300000000002</v>
      </c>
      <c r="O149" s="399">
        <v>354.03300000000002</v>
      </c>
      <c r="P149" s="399">
        <v>354.03300000000002</v>
      </c>
      <c r="Q149" s="399">
        <v>354.03300000000002</v>
      </c>
      <c r="R149" s="399">
        <v>52.19</v>
      </c>
      <c r="S149" s="399">
        <v>96.28</v>
      </c>
      <c r="T149" s="399">
        <v>128.11000000000001</v>
      </c>
      <c r="U149" s="399">
        <v>311417.73</v>
      </c>
      <c r="V149" s="399">
        <v>79441.464869999996</v>
      </c>
      <c r="W149" s="399">
        <v>390859.19486999995</v>
      </c>
      <c r="X149" s="399">
        <v>307111.35312000004</v>
      </c>
      <c r="Y149" s="399">
        <v>0</v>
      </c>
      <c r="Z149" s="399">
        <v>18855.076729901011</v>
      </c>
      <c r="AA149" s="399">
        <v>0</v>
      </c>
      <c r="AB149" s="399">
        <v>0</v>
      </c>
      <c r="AC149" s="399">
        <v>0</v>
      </c>
      <c r="AD149" s="399">
        <v>0</v>
      </c>
      <c r="AE149" s="399">
        <v>278859.66883608041</v>
      </c>
      <c r="AF149" s="399">
        <v>45355.538099046811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3346.9750233192904</v>
      </c>
      <c r="AM149" s="399"/>
      <c r="AN149" s="399">
        <v>174.04285387455428</v>
      </c>
      <c r="AO149" s="399">
        <v>5153.2780299315482</v>
      </c>
      <c r="AP149" s="399">
        <v>27414.093017197752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1854.6426955379395</v>
      </c>
      <c r="BH149" s="399">
        <v>0</v>
      </c>
      <c r="BI149" s="399">
        <v>0</v>
      </c>
      <c r="BJ149" s="399">
        <v>0</v>
      </c>
      <c r="BK149" s="399">
        <v>0</v>
      </c>
      <c r="BL149" s="399">
        <v>0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47210.180794584754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307110.67920000001</v>
      </c>
      <c r="CJ149" s="399">
        <v>-83748.545669999963</v>
      </c>
      <c r="CK149" s="399"/>
      <c r="CL149" s="399"/>
      <c r="CM149" s="399"/>
      <c r="CN149" s="399"/>
      <c r="CO149" s="399">
        <v>-85822.475129999977</v>
      </c>
      <c r="CP149" s="399">
        <v>2074.6333799999948</v>
      </c>
      <c r="CQ149" s="399"/>
      <c r="CR149" s="399">
        <v>2465.3801391258894</v>
      </c>
      <c r="CS149" s="399">
        <v>376.16770466785783</v>
      </c>
      <c r="CT149" s="399">
        <v>2001.1139290241954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0</v>
      </c>
      <c r="DA149" s="399">
        <v>0</v>
      </c>
      <c r="DB149" s="399">
        <v>0</v>
      </c>
      <c r="DC149" s="399">
        <v>2074.4330885014351</v>
      </c>
      <c r="DD149" s="399">
        <v>0</v>
      </c>
      <c r="DE149" s="399">
        <v>0</v>
      </c>
      <c r="DF149" s="399">
        <v>0</v>
      </c>
      <c r="DG149" s="399">
        <v>84.826072762477679</v>
      </c>
      <c r="DH149" s="399">
        <v>0</v>
      </c>
      <c r="DI149" s="399">
        <v>-1783.5240047727857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-267.2445118743899</v>
      </c>
      <c r="DP149" s="399">
        <v>-20.392139182904572</v>
      </c>
      <c r="DQ149" s="399">
        <v>0</v>
      </c>
      <c r="DR149" s="399">
        <v>0</v>
      </c>
      <c r="DS149" s="399"/>
      <c r="DT149" s="399"/>
      <c r="DU149" s="399">
        <v>278859.66883608041</v>
      </c>
      <c r="DV149" s="399">
        <v>0</v>
      </c>
      <c r="DW149" s="399">
        <v>0</v>
      </c>
      <c r="DX149" s="399">
        <v>0</v>
      </c>
      <c r="DY149" s="399">
        <v>-85822.475129999948</v>
      </c>
      <c r="DZ149" s="399">
        <v>2074.6333799999993</v>
      </c>
      <c r="EA149" s="399">
        <v>0</v>
      </c>
      <c r="EB149" s="399">
        <v>0</v>
      </c>
      <c r="EC149" s="399">
        <v>-86223.667525069817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9855.8212801674308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230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148</v>
      </c>
      <c r="B150" s="399" t="s">
        <v>956</v>
      </c>
      <c r="C150" s="399" t="s">
        <v>2336</v>
      </c>
      <c r="D150" s="399" t="s">
        <v>533</v>
      </c>
      <c r="E150" s="399" t="s">
        <v>890</v>
      </c>
      <c r="F150" s="399" t="s">
        <v>1239</v>
      </c>
      <c r="G150" s="399" t="s">
        <v>1239</v>
      </c>
      <c r="H150" s="399" t="s">
        <v>1239</v>
      </c>
      <c r="I150" s="399" t="s">
        <v>2326</v>
      </c>
      <c r="J150" s="399" t="s">
        <v>2329</v>
      </c>
      <c r="K150" s="789">
        <v>44531</v>
      </c>
      <c r="L150" s="399">
        <v>6256</v>
      </c>
      <c r="M150" s="399">
        <v>6256</v>
      </c>
      <c r="N150" s="399">
        <v>3047.5450000000001</v>
      </c>
      <c r="O150" s="399">
        <v>3047.5450000000001</v>
      </c>
      <c r="P150" s="399">
        <v>3047.5450000000001</v>
      </c>
      <c r="Q150" s="399">
        <v>3047.5450000000001</v>
      </c>
      <c r="R150" s="399">
        <v>18.12</v>
      </c>
      <c r="S150" s="399">
        <v>96.28</v>
      </c>
      <c r="T150" s="399">
        <v>128.11000000000001</v>
      </c>
      <c r="U150" s="399">
        <v>113358.72</v>
      </c>
      <c r="V150" s="399">
        <v>683838.62255000009</v>
      </c>
      <c r="W150" s="399">
        <v>797197.34255000006</v>
      </c>
      <c r="X150" s="399">
        <v>774999.70880000002</v>
      </c>
      <c r="Y150" s="399">
        <v>0</v>
      </c>
      <c r="Z150" s="399">
        <v>162306.04156343103</v>
      </c>
      <c r="AA150" s="399">
        <v>0</v>
      </c>
      <c r="AB150" s="399">
        <v>0</v>
      </c>
      <c r="AC150" s="399">
        <v>0</v>
      </c>
      <c r="AD150" s="399">
        <v>0</v>
      </c>
      <c r="AE150" s="399">
        <v>81696.718117326047</v>
      </c>
      <c r="AF150" s="399">
        <v>390424.17897783429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28811.034557348004</v>
      </c>
      <c r="AM150" s="399"/>
      <c r="AN150" s="399">
        <v>1498.1751111086496</v>
      </c>
      <c r="AO150" s="399">
        <v>4972.7092972841701</v>
      </c>
      <c r="AP150" s="399">
        <v>26658.824425300536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15964.915907763316</v>
      </c>
      <c r="BH150" s="399">
        <v>0</v>
      </c>
      <c r="BI150" s="399">
        <v>0</v>
      </c>
      <c r="BJ150" s="399">
        <v>0</v>
      </c>
      <c r="BK150" s="399">
        <v>0</v>
      </c>
      <c r="BL150" s="399">
        <v>0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406389.09488559759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775000.83200000005</v>
      </c>
      <c r="CJ150" s="399">
        <v>-22196.540550000034</v>
      </c>
      <c r="CK150" s="399"/>
      <c r="CL150" s="399"/>
      <c r="CM150" s="399"/>
      <c r="CN150" s="399"/>
      <c r="CO150" s="399">
        <v>-40056.24745000001</v>
      </c>
      <c r="CP150" s="399">
        <v>17858.613699999954</v>
      </c>
      <c r="CQ150" s="399"/>
      <c r="CR150" s="399">
        <v>3067.328565313248</v>
      </c>
      <c r="CS150" s="399">
        <v>362.98694374243405</v>
      </c>
      <c r="CT150" s="399">
        <v>1945.9824862859059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0</v>
      </c>
      <c r="DA150" s="399">
        <v>0</v>
      </c>
      <c r="DB150" s="399">
        <v>0</v>
      </c>
      <c r="DC150" s="399">
        <v>17856.889574410045</v>
      </c>
      <c r="DD150" s="399">
        <v>0</v>
      </c>
      <c r="DE150" s="399">
        <v>0</v>
      </c>
      <c r="DF150" s="399">
        <v>0</v>
      </c>
      <c r="DG150" s="399">
        <v>730.18976738588026</v>
      </c>
      <c r="DH150" s="399">
        <v>0</v>
      </c>
      <c r="DI150" s="399">
        <v>-15352.720404948923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-2300.4626007751722</v>
      </c>
      <c r="DP150" s="399">
        <v>-175.53720078683318</v>
      </c>
      <c r="DQ150" s="399">
        <v>0</v>
      </c>
      <c r="DR150" s="399">
        <v>0</v>
      </c>
      <c r="DS150" s="399"/>
      <c r="DT150" s="399"/>
      <c r="DU150" s="399">
        <v>81696.718117326047</v>
      </c>
      <c r="DV150" s="399">
        <v>0</v>
      </c>
      <c r="DW150" s="399">
        <v>0</v>
      </c>
      <c r="DX150" s="399">
        <v>0</v>
      </c>
      <c r="DY150" s="399">
        <v>-40056.247449999966</v>
      </c>
      <c r="DZ150" s="399">
        <v>17858.613699999929</v>
      </c>
      <c r="EA150" s="399">
        <v>0</v>
      </c>
      <c r="EB150" s="399">
        <v>0</v>
      </c>
      <c r="EC150" s="399">
        <v>-25260.70080424007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84839.715120533539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230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149</v>
      </c>
      <c r="B151" s="399" t="s">
        <v>956</v>
      </c>
      <c r="C151" s="399" t="s">
        <v>2336</v>
      </c>
      <c r="D151" s="399" t="s">
        <v>533</v>
      </c>
      <c r="E151" s="399" t="s">
        <v>890</v>
      </c>
      <c r="F151" s="399" t="s">
        <v>1239</v>
      </c>
      <c r="G151" s="399" t="s">
        <v>1239</v>
      </c>
      <c r="H151" s="399" t="s">
        <v>1239</v>
      </c>
      <c r="I151" s="399" t="s">
        <v>1239</v>
      </c>
      <c r="J151" s="399" t="s">
        <v>2329</v>
      </c>
      <c r="K151" s="789">
        <v>44531</v>
      </c>
      <c r="L151" s="399">
        <v>0</v>
      </c>
      <c r="M151" s="399">
        <v>0</v>
      </c>
      <c r="N151" s="399">
        <v>0</v>
      </c>
      <c r="O151" s="399">
        <v>0</v>
      </c>
      <c r="P151" s="399">
        <v>0</v>
      </c>
      <c r="Q151" s="399">
        <v>0</v>
      </c>
      <c r="R151" s="399"/>
      <c r="S151" s="399"/>
      <c r="T151" s="399"/>
      <c r="U151" s="399"/>
      <c r="V151" s="399"/>
      <c r="W151" s="399"/>
      <c r="X151" s="399"/>
      <c r="Y151" s="399"/>
      <c r="Z151" s="399"/>
      <c r="AA151" s="399">
        <v>0</v>
      </c>
      <c r="AB151" s="399"/>
      <c r="AC151" s="399"/>
      <c r="AD151" s="399"/>
      <c r="AE151" s="399"/>
      <c r="AF151" s="399"/>
      <c r="AG151" s="399"/>
      <c r="AH151" s="399"/>
      <c r="AI151" s="399"/>
      <c r="AJ151" s="399"/>
      <c r="AK151" s="399"/>
      <c r="AL151" s="399"/>
      <c r="AM151" s="399"/>
      <c r="AN151" s="399"/>
      <c r="AO151" s="399"/>
      <c r="AP151" s="399"/>
      <c r="AQ151" s="399"/>
      <c r="AR151" s="399"/>
      <c r="AS151" s="399"/>
      <c r="AT151" s="399"/>
      <c r="AU151" s="399"/>
      <c r="AV151" s="399"/>
      <c r="AW151" s="399"/>
      <c r="AX151" s="399"/>
      <c r="AY151" s="399"/>
      <c r="AZ151" s="399">
        <v>0</v>
      </c>
      <c r="BA151" s="399"/>
      <c r="BB151" s="399"/>
      <c r="BC151" s="399"/>
      <c r="BD151" s="399"/>
      <c r="BE151" s="399"/>
      <c r="BF151" s="399"/>
      <c r="BG151" s="399"/>
      <c r="BH151" s="399"/>
      <c r="BI151" s="399">
        <v>0</v>
      </c>
      <c r="BJ151" s="399">
        <v>0</v>
      </c>
      <c r="BK151" s="399">
        <v>0</v>
      </c>
      <c r="BL151" s="399">
        <v>1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/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/>
      <c r="CJ151" s="399">
        <v>-0.03</v>
      </c>
      <c r="CK151" s="399"/>
      <c r="CL151" s="399"/>
      <c r="CM151" s="399"/>
      <c r="CN151" s="399"/>
      <c r="CO151" s="399">
        <v>0</v>
      </c>
      <c r="CP151" s="399">
        <v>0</v>
      </c>
      <c r="CQ151" s="399"/>
      <c r="CR151" s="399"/>
      <c r="CS151" s="399"/>
      <c r="CT151" s="399"/>
      <c r="CU151" s="399"/>
      <c r="CV151" s="399"/>
      <c r="CW151" s="399"/>
      <c r="CX151" s="399"/>
      <c r="CY151" s="399"/>
      <c r="CZ151" s="399"/>
      <c r="DA151" s="399"/>
      <c r="DB151" s="399"/>
      <c r="DC151" s="399"/>
      <c r="DD151" s="399"/>
      <c r="DE151" s="399"/>
      <c r="DF151" s="399"/>
      <c r="DG151" s="399"/>
      <c r="DH151" s="399"/>
      <c r="DI151" s="399"/>
      <c r="DJ151" s="399"/>
      <c r="DK151" s="399">
        <v>0</v>
      </c>
      <c r="DL151" s="399"/>
      <c r="DM151" s="399"/>
      <c r="DN151" s="399"/>
      <c r="DO151" s="399"/>
      <c r="DP151" s="399"/>
      <c r="DQ151" s="399"/>
      <c r="DR151" s="399"/>
      <c r="DS151" s="399"/>
      <c r="DT151" s="399"/>
      <c r="DU151" s="399"/>
      <c r="DV151" s="399"/>
      <c r="DW151" s="399"/>
      <c r="DX151" s="399"/>
      <c r="DY151" s="399"/>
      <c r="DZ151" s="399"/>
      <c r="EA151" s="399"/>
      <c r="EB151" s="399"/>
      <c r="EC151" s="399"/>
      <c r="ED151" s="399"/>
      <c r="EE151" s="399"/>
      <c r="EF151" s="399"/>
      <c r="EG151" s="399"/>
      <c r="EH151" s="399"/>
      <c r="EI151" s="399"/>
      <c r="EJ151" s="399"/>
      <c r="EK151" s="399"/>
      <c r="EL151" s="399"/>
      <c r="EM151" s="399"/>
      <c r="EN151" s="399"/>
      <c r="EO151" s="399"/>
      <c r="EP151" s="399"/>
      <c r="EQ151" s="399"/>
      <c r="ER151" s="399"/>
      <c r="ES151" s="399"/>
      <c r="ET151" s="399"/>
      <c r="EU151" s="399"/>
      <c r="EV151" s="399">
        <v>230</v>
      </c>
      <c r="EW151" s="399"/>
      <c r="EX151" s="399"/>
      <c r="EY151" s="399"/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150</v>
      </c>
      <c r="B152" s="399" t="s">
        <v>956</v>
      </c>
      <c r="C152" s="399" t="s">
        <v>2337</v>
      </c>
      <c r="D152" s="399" t="s">
        <v>533</v>
      </c>
      <c r="E152" s="399" t="s">
        <v>890</v>
      </c>
      <c r="F152" s="399" t="s">
        <v>1239</v>
      </c>
      <c r="G152" s="399" t="s">
        <v>1239</v>
      </c>
      <c r="H152" s="399" t="s">
        <v>1239</v>
      </c>
      <c r="I152" s="399" t="s">
        <v>893</v>
      </c>
      <c r="J152" s="399" t="s">
        <v>2329</v>
      </c>
      <c r="K152" s="789">
        <v>44531</v>
      </c>
      <c r="L152" s="399">
        <v>0</v>
      </c>
      <c r="M152" s="399">
        <v>0</v>
      </c>
      <c r="N152" s="399">
        <v>823.31500000000005</v>
      </c>
      <c r="O152" s="399">
        <v>823.31500000000005</v>
      </c>
      <c r="P152" s="399">
        <v>823.31500000000005</v>
      </c>
      <c r="Q152" s="399">
        <v>823.31500000000005</v>
      </c>
      <c r="R152" s="399"/>
      <c r="S152" s="399">
        <v>1351.49</v>
      </c>
      <c r="T152" s="399">
        <v>128.11000000000001</v>
      </c>
      <c r="U152" s="399"/>
      <c r="V152" s="399">
        <v>1218176.8740000003</v>
      </c>
      <c r="W152" s="399">
        <v>1218176.8740000003</v>
      </c>
      <c r="X152" s="399">
        <v>940151.63165000011</v>
      </c>
      <c r="Y152" s="399">
        <v>0</v>
      </c>
      <c r="Z152" s="399">
        <v>43848.080540171264</v>
      </c>
      <c r="AA152" s="399">
        <v>0</v>
      </c>
      <c r="AB152" s="399">
        <v>0</v>
      </c>
      <c r="AC152" s="399">
        <v>0</v>
      </c>
      <c r="AD152" s="399">
        <v>0</v>
      </c>
      <c r="AE152" s="399">
        <v>925360.47382376587</v>
      </c>
      <c r="AF152" s="399">
        <v>105475.74618754954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7783.4968529038861</v>
      </c>
      <c r="AM152" s="399"/>
      <c r="AN152" s="399">
        <v>404.74219137122429</v>
      </c>
      <c r="AO152" s="399">
        <v>17102.334806421284</v>
      </c>
      <c r="AP152" s="399">
        <v>90969.784790985446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4313.0305674239935</v>
      </c>
      <c r="BH152" s="399">
        <v>0</v>
      </c>
      <c r="BI152" s="399">
        <v>0</v>
      </c>
      <c r="BJ152" s="399">
        <v>0</v>
      </c>
      <c r="BK152" s="399">
        <v>0</v>
      </c>
      <c r="BL152" s="399">
        <v>0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109788.77675497353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940157.34120000014</v>
      </c>
      <c r="CJ152" s="399">
        <v>-278019.56280000019</v>
      </c>
      <c r="CK152" s="399"/>
      <c r="CL152" s="399"/>
      <c r="CM152" s="399"/>
      <c r="CN152" s="399"/>
      <c r="CO152" s="399">
        <v>-282849.86825</v>
      </c>
      <c r="CP152" s="399">
        <v>4824.6258999999882</v>
      </c>
      <c r="CQ152" s="399"/>
      <c r="CR152" s="399">
        <v>8093.6877994643874</v>
      </c>
      <c r="CS152" s="399">
        <v>1248.3987844680923</v>
      </c>
      <c r="CT152" s="399">
        <v>6640.4131390149851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0</v>
      </c>
      <c r="DA152" s="399">
        <v>0</v>
      </c>
      <c r="DB152" s="399">
        <v>0</v>
      </c>
      <c r="DC152" s="399">
        <v>4824.1601157506811</v>
      </c>
      <c r="DD152" s="399">
        <v>0</v>
      </c>
      <c r="DE152" s="399">
        <v>0</v>
      </c>
      <c r="DF152" s="399">
        <v>0</v>
      </c>
      <c r="DG152" s="399">
        <v>197.26572973829934</v>
      </c>
      <c r="DH152" s="399">
        <v>0</v>
      </c>
      <c r="DI152" s="399">
        <v>-4147.6417904249247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-621.48561092853834</v>
      </c>
      <c r="DP152" s="399">
        <v>-47.422568154304997</v>
      </c>
      <c r="DQ152" s="399">
        <v>0</v>
      </c>
      <c r="DR152" s="399">
        <v>0</v>
      </c>
      <c r="DS152" s="399"/>
      <c r="DT152" s="399"/>
      <c r="DU152" s="399"/>
      <c r="DV152" s="399">
        <v>925360.47382376587</v>
      </c>
      <c r="DW152" s="399">
        <v>0</v>
      </c>
      <c r="DX152" s="399">
        <v>0</v>
      </c>
      <c r="DY152" s="399">
        <v>-282849.86825000006</v>
      </c>
      <c r="DZ152" s="399">
        <v>4824.6258999999845</v>
      </c>
      <c r="EA152" s="399">
        <v>0</v>
      </c>
      <c r="EB152" s="399">
        <v>0</v>
      </c>
      <c r="EC152" s="399">
        <v>-286122.31438430864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22920.02580912245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230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151</v>
      </c>
      <c r="B153" s="399" t="s">
        <v>956</v>
      </c>
      <c r="C153" s="399" t="s">
        <v>2337</v>
      </c>
      <c r="D153" s="399" t="s">
        <v>533</v>
      </c>
      <c r="E153" s="399" t="s">
        <v>890</v>
      </c>
      <c r="F153" s="399" t="s">
        <v>1239</v>
      </c>
      <c r="G153" s="399" t="s">
        <v>1239</v>
      </c>
      <c r="H153" s="399" t="s">
        <v>1239</v>
      </c>
      <c r="I153" s="399" t="s">
        <v>2326</v>
      </c>
      <c r="J153" s="399" t="s">
        <v>2329</v>
      </c>
      <c r="K153" s="789">
        <v>44531</v>
      </c>
      <c r="L153" s="399">
        <v>0</v>
      </c>
      <c r="M153" s="399">
        <v>0</v>
      </c>
      <c r="N153" s="399">
        <v>12253.656000000001</v>
      </c>
      <c r="O153" s="399">
        <v>12253.656000000001</v>
      </c>
      <c r="P153" s="399">
        <v>12253.656000000001</v>
      </c>
      <c r="Q153" s="399">
        <v>12253.656000000001</v>
      </c>
      <c r="R153" s="399"/>
      <c r="S153" s="399">
        <v>96.28</v>
      </c>
      <c r="T153" s="399">
        <v>128.11000000000001</v>
      </c>
      <c r="U153" s="399"/>
      <c r="V153" s="399">
        <v>2749597.8698400003</v>
      </c>
      <c r="W153" s="399">
        <v>2749597.8698400003</v>
      </c>
      <c r="X153" s="399">
        <v>2752661.2838400002</v>
      </c>
      <c r="Y153" s="399">
        <v>0</v>
      </c>
      <c r="Z153" s="399">
        <v>652604.76876961172</v>
      </c>
      <c r="AA153" s="399">
        <v>0</v>
      </c>
      <c r="AB153" s="399">
        <v>0</v>
      </c>
      <c r="AC153" s="399">
        <v>0</v>
      </c>
      <c r="AD153" s="399">
        <v>0</v>
      </c>
      <c r="AE153" s="399">
        <v>0</v>
      </c>
      <c r="AF153" s="399">
        <v>1569828.6926942223</v>
      </c>
      <c r="AG153" s="399">
        <v>0</v>
      </c>
      <c r="AH153" s="399">
        <v>0</v>
      </c>
      <c r="AI153" s="399">
        <v>0</v>
      </c>
      <c r="AJ153" s="399">
        <v>0</v>
      </c>
      <c r="AK153" s="399">
        <v>0</v>
      </c>
      <c r="AL153" s="399">
        <v>115844.23083821723</v>
      </c>
      <c r="AM153" s="399"/>
      <c r="AN153" s="399">
        <v>6023.9052874648842</v>
      </c>
      <c r="AO153" s="399">
        <v>0</v>
      </c>
      <c r="AP153" s="399">
        <v>0</v>
      </c>
      <c r="AQ153" s="399">
        <v>0</v>
      </c>
      <c r="AR153" s="399">
        <v>0</v>
      </c>
      <c r="AS153" s="399">
        <v>0</v>
      </c>
      <c r="AT153" s="399">
        <v>0</v>
      </c>
      <c r="AU153" s="399">
        <v>0</v>
      </c>
      <c r="AV153" s="399">
        <v>0</v>
      </c>
      <c r="AW153" s="399">
        <v>0</v>
      </c>
      <c r="AX153" s="399">
        <v>0</v>
      </c>
      <c r="AY153" s="399">
        <v>0</v>
      </c>
      <c r="AZ153" s="399">
        <v>0</v>
      </c>
      <c r="BA153" s="399"/>
      <c r="BB153" s="399">
        <v>0</v>
      </c>
      <c r="BC153" s="399">
        <v>0</v>
      </c>
      <c r="BD153" s="399">
        <v>0</v>
      </c>
      <c r="BE153" s="399">
        <v>0</v>
      </c>
      <c r="BF153" s="399">
        <v>0</v>
      </c>
      <c r="BG153" s="399">
        <v>64192.18997673846</v>
      </c>
      <c r="BH153" s="399">
        <v>0</v>
      </c>
      <c r="BI153" s="399">
        <v>0</v>
      </c>
      <c r="BJ153" s="399">
        <v>0</v>
      </c>
      <c r="BK153" s="399">
        <v>0</v>
      </c>
      <c r="BL153" s="399">
        <v>0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>
        <v>1634020.8826709609</v>
      </c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>
        <v>2752662.1824000003</v>
      </c>
      <c r="CJ153" s="399">
        <v>3064.2825600001961</v>
      </c>
      <c r="CK153" s="399"/>
      <c r="CL153" s="399"/>
      <c r="CM153" s="399"/>
      <c r="CN153" s="399"/>
      <c r="CO153" s="399">
        <v>-68743.010159999991</v>
      </c>
      <c r="CP153" s="399">
        <v>71806.42415999982</v>
      </c>
      <c r="CQ153" s="399"/>
      <c r="CR153" s="399">
        <v>3049.2320763892494</v>
      </c>
      <c r="CS153" s="399">
        <v>0</v>
      </c>
      <c r="CT153" s="399">
        <v>0</v>
      </c>
      <c r="CU153" s="399">
        <v>0</v>
      </c>
      <c r="CV153" s="399">
        <v>0</v>
      </c>
      <c r="CW153" s="399">
        <v>0</v>
      </c>
      <c r="CX153" s="399">
        <v>0</v>
      </c>
      <c r="CY153" s="399">
        <v>0</v>
      </c>
      <c r="CZ153" s="399">
        <v>0</v>
      </c>
      <c r="DA153" s="399">
        <v>0</v>
      </c>
      <c r="DB153" s="399">
        <v>0</v>
      </c>
      <c r="DC153" s="399">
        <v>71799.491746572079</v>
      </c>
      <c r="DD153" s="399">
        <v>0</v>
      </c>
      <c r="DE153" s="399">
        <v>0</v>
      </c>
      <c r="DF153" s="399">
        <v>0</v>
      </c>
      <c r="DG153" s="399">
        <v>2935.967877181989</v>
      </c>
      <c r="DH153" s="399">
        <v>0</v>
      </c>
      <c r="DI153" s="399">
        <v>-61730.656809472828</v>
      </c>
      <c r="DJ153" s="399"/>
      <c r="DK153" s="399">
        <v>0</v>
      </c>
      <c r="DL153" s="399">
        <v>0</v>
      </c>
      <c r="DM153" s="399">
        <v>0</v>
      </c>
      <c r="DN153" s="399">
        <v>0</v>
      </c>
      <c r="DO153" s="399">
        <v>-9249.7657461216586</v>
      </c>
      <c r="DP153" s="399">
        <v>-705.80499177035381</v>
      </c>
      <c r="DQ153" s="399">
        <v>0</v>
      </c>
      <c r="DR153" s="399">
        <v>0</v>
      </c>
      <c r="DS153" s="399"/>
      <c r="DT153" s="399"/>
      <c r="DU153" s="399"/>
      <c r="DV153" s="399">
        <v>0</v>
      </c>
      <c r="DW153" s="399">
        <v>0</v>
      </c>
      <c r="DX153" s="399">
        <v>0</v>
      </c>
      <c r="DY153" s="399">
        <v>-68743.010160000063</v>
      </c>
      <c r="DZ153" s="399">
        <v>71806.424159999937</v>
      </c>
      <c r="EA153" s="399">
        <v>0</v>
      </c>
      <c r="EB153" s="399">
        <v>0</v>
      </c>
      <c r="EC153" s="399">
        <v>0</v>
      </c>
      <c r="ED153" s="399">
        <v>0</v>
      </c>
      <c r="EE153" s="399">
        <v>0</v>
      </c>
      <c r="EF153" s="399">
        <v>0</v>
      </c>
      <c r="EG153" s="399">
        <v>0</v>
      </c>
      <c r="EH153" s="399">
        <v>0</v>
      </c>
      <c r="EI153" s="399">
        <v>0</v>
      </c>
      <c r="EJ153" s="399">
        <v>0</v>
      </c>
      <c r="EK153" s="399">
        <v>0</v>
      </c>
      <c r="EL153" s="399">
        <v>0</v>
      </c>
      <c r="EM153" s="399">
        <v>0</v>
      </c>
      <c r="EN153" s="399">
        <v>0</v>
      </c>
      <c r="EO153" s="399">
        <v>0</v>
      </c>
      <c r="EP153" s="399">
        <v>341125.9503059074</v>
      </c>
      <c r="EQ153" s="399">
        <v>0</v>
      </c>
      <c r="ER153" s="399">
        <v>0</v>
      </c>
      <c r="ES153" s="399">
        <v>0</v>
      </c>
      <c r="ET153" s="399">
        <v>0</v>
      </c>
      <c r="EU153" s="399">
        <v>0</v>
      </c>
      <c r="EV153" s="399">
        <v>230</v>
      </c>
      <c r="EW153" s="399">
        <v>0</v>
      </c>
      <c r="EX153" s="399">
        <v>0</v>
      </c>
      <c r="EY153" s="399">
        <v>0</v>
      </c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152</v>
      </c>
      <c r="B154" s="399" t="s">
        <v>956</v>
      </c>
      <c r="C154" s="399" t="s">
        <v>2337</v>
      </c>
      <c r="D154" s="399" t="s">
        <v>533</v>
      </c>
      <c r="E154" s="399" t="s">
        <v>890</v>
      </c>
      <c r="F154" s="399" t="s">
        <v>1239</v>
      </c>
      <c r="G154" s="399" t="s">
        <v>1239</v>
      </c>
      <c r="H154" s="399" t="s">
        <v>1239</v>
      </c>
      <c r="I154" s="399" t="s">
        <v>1239</v>
      </c>
      <c r="J154" s="399" t="s">
        <v>2329</v>
      </c>
      <c r="K154" s="789">
        <v>44531</v>
      </c>
      <c r="L154" s="399">
        <v>49875</v>
      </c>
      <c r="M154" s="399">
        <v>49875</v>
      </c>
      <c r="N154" s="399">
        <v>0</v>
      </c>
      <c r="O154" s="399">
        <v>0</v>
      </c>
      <c r="P154" s="399">
        <v>0</v>
      </c>
      <c r="Q154" s="399">
        <v>0</v>
      </c>
      <c r="R154" s="399">
        <v>18.12</v>
      </c>
      <c r="S154" s="399"/>
      <c r="T154" s="399"/>
      <c r="U154" s="399">
        <v>903735</v>
      </c>
      <c r="V154" s="399"/>
      <c r="W154" s="399">
        <v>903735</v>
      </c>
      <c r="X154" s="399">
        <v>720693.75</v>
      </c>
      <c r="Y154" s="399">
        <v>0</v>
      </c>
      <c r="Z154" s="399">
        <v>0</v>
      </c>
      <c r="AA154" s="399">
        <v>0</v>
      </c>
      <c r="AB154" s="399">
        <v>0</v>
      </c>
      <c r="AC154" s="399">
        <v>0</v>
      </c>
      <c r="AD154" s="399">
        <v>0</v>
      </c>
      <c r="AE154" s="399">
        <v>651314.54860959668</v>
      </c>
      <c r="AF154" s="399"/>
      <c r="AG154" s="399"/>
      <c r="AH154" s="399"/>
      <c r="AI154" s="399">
        <v>0</v>
      </c>
      <c r="AJ154" s="399">
        <v>0</v>
      </c>
      <c r="AK154" s="399">
        <v>0</v>
      </c>
      <c r="AL154" s="399">
        <v>0</v>
      </c>
      <c r="AM154" s="399"/>
      <c r="AN154" s="399">
        <v>0</v>
      </c>
      <c r="AO154" s="399">
        <v>39644.161797002555</v>
      </c>
      <c r="AP154" s="399">
        <v>212533.38686251026</v>
      </c>
      <c r="AQ154" s="399">
        <v>0</v>
      </c>
      <c r="AR154" s="399">
        <v>0</v>
      </c>
      <c r="AS154" s="399"/>
      <c r="AT154" s="399"/>
      <c r="AU154" s="399">
        <v>0</v>
      </c>
      <c r="AV154" s="399">
        <v>0</v>
      </c>
      <c r="AW154" s="399">
        <v>0</v>
      </c>
      <c r="AX154" s="399"/>
      <c r="AY154" s="399"/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/>
      <c r="BG154" s="399">
        <v>0</v>
      </c>
      <c r="BH154" s="399">
        <v>0</v>
      </c>
      <c r="BI154" s="399">
        <v>0</v>
      </c>
      <c r="BJ154" s="399">
        <v>0</v>
      </c>
      <c r="BK154" s="399">
        <v>1890773.35</v>
      </c>
      <c r="BL154" s="399">
        <v>99</v>
      </c>
      <c r="BM154" s="399"/>
      <c r="BN154" s="399"/>
      <c r="BO154" s="399"/>
      <c r="BP154" s="399"/>
      <c r="BQ154" s="399"/>
      <c r="BR154" s="399"/>
      <c r="BS154" s="399"/>
      <c r="BT154" s="399"/>
      <c r="BU154" s="399"/>
      <c r="BV154" s="399">
        <v>0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720693.75</v>
      </c>
      <c r="CJ154" s="399">
        <v>-183041.28000000003</v>
      </c>
      <c r="CK154" s="399"/>
      <c r="CL154" s="399"/>
      <c r="CM154" s="399"/>
      <c r="CN154" s="399"/>
      <c r="CO154" s="399">
        <v>-183041.25000000009</v>
      </c>
      <c r="CP154" s="399">
        <v>0</v>
      </c>
      <c r="CQ154" s="399"/>
      <c r="CR154" s="399">
        <v>18407.904463341343</v>
      </c>
      <c r="CS154" s="399">
        <v>2893.8577076652655</v>
      </c>
      <c r="CT154" s="399">
        <v>15514.0467556761</v>
      </c>
      <c r="CU154" s="399">
        <v>0</v>
      </c>
      <c r="CV154" s="399">
        <v>0</v>
      </c>
      <c r="CW154" s="399"/>
      <c r="CX154" s="399"/>
      <c r="CY154" s="399"/>
      <c r="CZ154" s="399">
        <v>0</v>
      </c>
      <c r="DA154" s="399">
        <v>0</v>
      </c>
      <c r="DB154" s="399">
        <v>0</v>
      </c>
      <c r="DC154" s="399"/>
      <c r="DD154" s="399"/>
      <c r="DE154" s="399">
        <v>0</v>
      </c>
      <c r="DF154" s="399">
        <v>0</v>
      </c>
      <c r="DG154" s="399">
        <v>0</v>
      </c>
      <c r="DH154" s="399">
        <v>0</v>
      </c>
      <c r="DI154" s="399">
        <v>0</v>
      </c>
      <c r="DJ154" s="399"/>
      <c r="DK154" s="399">
        <v>0</v>
      </c>
      <c r="DL154" s="399">
        <v>0</v>
      </c>
      <c r="DM154" s="399"/>
      <c r="DN154" s="399">
        <v>0</v>
      </c>
      <c r="DO154" s="399">
        <v>0</v>
      </c>
      <c r="DP154" s="399">
        <v>0</v>
      </c>
      <c r="DQ154" s="399">
        <v>0</v>
      </c>
      <c r="DR154" s="399">
        <v>0</v>
      </c>
      <c r="DS154" s="399"/>
      <c r="DT154" s="399"/>
      <c r="DU154" s="399">
        <v>651314.54860959668</v>
      </c>
      <c r="DV154" s="399"/>
      <c r="DW154" s="399">
        <v>0</v>
      </c>
      <c r="DX154" s="399">
        <v>0</v>
      </c>
      <c r="DY154" s="399">
        <v>-183041.25</v>
      </c>
      <c r="DZ154" s="399"/>
      <c r="EA154" s="399">
        <v>0</v>
      </c>
      <c r="EB154" s="399"/>
      <c r="EC154" s="399">
        <v>-201387.06083942996</v>
      </c>
      <c r="ED154" s="399"/>
      <c r="EE154" s="399">
        <v>0</v>
      </c>
      <c r="EF154" s="399">
        <v>0</v>
      </c>
      <c r="EG154" s="399"/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/>
      <c r="EN154" s="399"/>
      <c r="EO154" s="399">
        <v>0</v>
      </c>
      <c r="EP154" s="399">
        <v>0</v>
      </c>
      <c r="EQ154" s="399"/>
      <c r="ER154" s="399">
        <v>0</v>
      </c>
      <c r="ES154" s="399"/>
      <c r="ET154" s="399">
        <v>0</v>
      </c>
      <c r="EU154" s="399"/>
      <c r="EV154" s="399">
        <v>230</v>
      </c>
      <c r="EW154" s="399"/>
      <c r="EX154" s="399"/>
      <c r="EY154" s="399"/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153</v>
      </c>
      <c r="B155" s="399" t="s">
        <v>956</v>
      </c>
      <c r="C155" s="399" t="s">
        <v>2328</v>
      </c>
      <c r="D155" s="399" t="s">
        <v>1826</v>
      </c>
      <c r="E155" s="399" t="s">
        <v>918</v>
      </c>
      <c r="F155" s="399" t="s">
        <v>1239</v>
      </c>
      <c r="G155" s="399" t="s">
        <v>1239</v>
      </c>
      <c r="H155" s="399" t="s">
        <v>1239</v>
      </c>
      <c r="I155" s="399" t="s">
        <v>1239</v>
      </c>
      <c r="J155" s="399" t="s">
        <v>2329</v>
      </c>
      <c r="K155" s="789">
        <v>44531</v>
      </c>
      <c r="L155" s="399">
        <v>0</v>
      </c>
      <c r="M155" s="399">
        <v>0</v>
      </c>
      <c r="N155" s="399">
        <v>1147.079</v>
      </c>
      <c r="O155" s="399">
        <v>1147.079</v>
      </c>
      <c r="P155" s="399">
        <v>1147.079</v>
      </c>
      <c r="Q155" s="399">
        <v>1147.079</v>
      </c>
      <c r="R155" s="399"/>
      <c r="S155" s="399">
        <v>333.61</v>
      </c>
      <c r="T155" s="399">
        <v>128.11000000000001</v>
      </c>
      <c r="U155" s="399"/>
      <c r="V155" s="399">
        <v>529629.31588000001</v>
      </c>
      <c r="W155" s="399">
        <v>529629.31588000001</v>
      </c>
      <c r="X155" s="399">
        <v>462307.24936999998</v>
      </c>
      <c r="Y155" s="399">
        <v>0</v>
      </c>
      <c r="Z155" s="399">
        <v>70219.645932279338</v>
      </c>
      <c r="AA155" s="399">
        <v>0</v>
      </c>
      <c r="AB155" s="399">
        <v>0</v>
      </c>
      <c r="AC155" s="399">
        <v>0</v>
      </c>
      <c r="AD155" s="399">
        <v>0</v>
      </c>
      <c r="AE155" s="399">
        <v>223102.50460883908</v>
      </c>
      <c r="AF155" s="399">
        <v>146953.49102235248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10844.31327806749</v>
      </c>
      <c r="AM155" s="399"/>
      <c r="AN155" s="399">
        <v>986.93289912980777</v>
      </c>
      <c r="AO155" s="399">
        <v>3987.2697387672024</v>
      </c>
      <c r="AP155" s="399">
        <v>21269.867880503905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15563.993251296924</v>
      </c>
      <c r="BH155" s="399">
        <v>0</v>
      </c>
      <c r="BI155" s="399">
        <v>0</v>
      </c>
      <c r="BJ155" s="399">
        <v>0</v>
      </c>
      <c r="BK155" s="399">
        <v>207253.55</v>
      </c>
      <c r="BL155" s="399">
        <v>1660</v>
      </c>
      <c r="BM155" s="399"/>
      <c r="BN155" s="399"/>
      <c r="BO155" s="399"/>
      <c r="BP155" s="399"/>
      <c r="BQ155" s="399"/>
      <c r="BR155" s="399"/>
      <c r="BS155" s="399"/>
      <c r="BT155" s="399"/>
      <c r="BU155" s="399"/>
      <c r="BV155" s="399">
        <v>162517.4842736494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462307.65239999996</v>
      </c>
      <c r="CJ155" s="399">
        <v>-67321.693480000074</v>
      </c>
      <c r="CK155" s="399"/>
      <c r="CL155" s="399"/>
      <c r="CM155" s="399"/>
      <c r="CN155" s="399"/>
      <c r="CO155" s="399">
        <v>-74043.949450000015</v>
      </c>
      <c r="CP155" s="399">
        <v>6721.8829399999831</v>
      </c>
      <c r="CQ155" s="399"/>
      <c r="CR155" s="399">
        <v>1653.0749270027736</v>
      </c>
      <c r="CS155" s="399">
        <v>291.05398482519286</v>
      </c>
      <c r="CT155" s="399">
        <v>1552.6112374931581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0</v>
      </c>
      <c r="DA155" s="399">
        <v>0</v>
      </c>
      <c r="DB155" s="399">
        <v>0</v>
      </c>
      <c r="DC155" s="399">
        <v>6721.2339887104754</v>
      </c>
      <c r="DD155" s="399">
        <v>0</v>
      </c>
      <c r="DE155" s="399">
        <v>0</v>
      </c>
      <c r="DF155" s="399">
        <v>0</v>
      </c>
      <c r="DG155" s="399">
        <v>711.85270736267194</v>
      </c>
      <c r="DH155" s="399">
        <v>0</v>
      </c>
      <c r="DI155" s="399">
        <v>-6642.1593463078607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-865.88133715321055</v>
      </c>
      <c r="DP155" s="399">
        <v>-115.63630792763695</v>
      </c>
      <c r="DQ155" s="399">
        <v>0</v>
      </c>
      <c r="DR155" s="399">
        <v>0</v>
      </c>
      <c r="DS155" s="399"/>
      <c r="DT155" s="399"/>
      <c r="DU155" s="399"/>
      <c r="DV155" s="399">
        <v>223102.50460883908</v>
      </c>
      <c r="DW155" s="399">
        <v>0</v>
      </c>
      <c r="DX155" s="399">
        <v>0</v>
      </c>
      <c r="DY155" s="399">
        <v>-74043.949450000015</v>
      </c>
      <c r="DZ155" s="399">
        <v>6721.8829399999813</v>
      </c>
      <c r="EA155" s="399">
        <v>0</v>
      </c>
      <c r="EB155" s="399">
        <v>0</v>
      </c>
      <c r="EC155" s="399">
        <v>-68983.500775476801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36704.824413027767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230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154</v>
      </c>
      <c r="B156" s="399" t="s">
        <v>2330</v>
      </c>
      <c r="C156" s="399" t="s">
        <v>2328</v>
      </c>
      <c r="D156" s="399" t="s">
        <v>1826</v>
      </c>
      <c r="E156" s="399" t="s">
        <v>918</v>
      </c>
      <c r="F156" s="399" t="s">
        <v>1239</v>
      </c>
      <c r="G156" s="399" t="s">
        <v>1239</v>
      </c>
      <c r="H156" s="399" t="s">
        <v>1239</v>
      </c>
      <c r="I156" s="399" t="s">
        <v>1239</v>
      </c>
      <c r="J156" s="399" t="s">
        <v>2329</v>
      </c>
      <c r="K156" s="789">
        <v>44531</v>
      </c>
      <c r="L156" s="399">
        <v>0</v>
      </c>
      <c r="M156" s="399">
        <v>0</v>
      </c>
      <c r="N156" s="399">
        <v>-0.29899999999999999</v>
      </c>
      <c r="O156" s="399">
        <v>-0.29899999999999999</v>
      </c>
      <c r="P156" s="399">
        <v>-0.29899999999999999</v>
      </c>
      <c r="Q156" s="399">
        <v>-0.29899999999999999</v>
      </c>
      <c r="R156" s="399"/>
      <c r="S156" s="399">
        <v>333.61</v>
      </c>
      <c r="T156" s="399">
        <v>128.11000000000001</v>
      </c>
      <c r="U156" s="399"/>
      <c r="V156" s="399">
        <v>-138.05428000000001</v>
      </c>
      <c r="W156" s="399">
        <v>-138.05428000000001</v>
      </c>
      <c r="X156" s="399">
        <v>-120.50596999999999</v>
      </c>
      <c r="Y156" s="399">
        <v>0</v>
      </c>
      <c r="Z156" s="399">
        <v>-18.303599084066157</v>
      </c>
      <c r="AA156" s="399">
        <v>0</v>
      </c>
      <c r="AB156" s="399">
        <v>0</v>
      </c>
      <c r="AC156" s="399">
        <v>0</v>
      </c>
      <c r="AD156" s="399">
        <v>0</v>
      </c>
      <c r="AE156" s="399">
        <v>-58.154363281031976</v>
      </c>
      <c r="AF156" s="399">
        <v>-38.305202881129716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-2.8267012735323194</v>
      </c>
      <c r="AM156" s="399"/>
      <c r="AN156" s="399">
        <v>-0.25725598397304156</v>
      </c>
      <c r="AO156" s="399">
        <v>-1.0393300303565782</v>
      </c>
      <c r="AP156" s="399">
        <v>-5.5442480389499478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-4.0569428802530432</v>
      </c>
      <c r="BH156" s="399">
        <v>0</v>
      </c>
      <c r="BI156" s="399">
        <v>0</v>
      </c>
      <c r="BJ156" s="399">
        <v>0</v>
      </c>
      <c r="BK156" s="399">
        <v>-69.73</v>
      </c>
      <c r="BL156" s="399">
        <v>0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>
        <v>-42.362145761382763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-120.90899999999999</v>
      </c>
      <c r="CJ156" s="399">
        <v>17.115280000000013</v>
      </c>
      <c r="CK156" s="399"/>
      <c r="CL156" s="399"/>
      <c r="CM156" s="399"/>
      <c r="CN156" s="399"/>
      <c r="CO156" s="399">
        <v>19.300450000000001</v>
      </c>
      <c r="CP156" s="399">
        <v>-1.7521399999999956</v>
      </c>
      <c r="CQ156" s="399"/>
      <c r="CR156" s="399">
        <v>-0.43089395165793576</v>
      </c>
      <c r="CS156" s="399">
        <v>-7.5866737567972908E-2</v>
      </c>
      <c r="CT156" s="399">
        <v>-0.40470687721635024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</v>
      </c>
      <c r="DA156" s="399">
        <v>0</v>
      </c>
      <c r="DB156" s="399">
        <v>0</v>
      </c>
      <c r="DC156" s="399">
        <v>-1.7519708430059566</v>
      </c>
      <c r="DD156" s="399">
        <v>0</v>
      </c>
      <c r="DE156" s="399">
        <v>0</v>
      </c>
      <c r="DF156" s="399">
        <v>0</v>
      </c>
      <c r="DG156" s="399">
        <v>-0.18555300855602663</v>
      </c>
      <c r="DH156" s="399">
        <v>0</v>
      </c>
      <c r="DI156" s="399">
        <v>1.7313590821086002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0.22570243183670025</v>
      </c>
      <c r="DP156" s="399">
        <v>3.0142000743073022E-2</v>
      </c>
      <c r="DQ156" s="399">
        <v>0</v>
      </c>
      <c r="DR156" s="399">
        <v>0</v>
      </c>
      <c r="DS156" s="399"/>
      <c r="DT156" s="399"/>
      <c r="DU156" s="399"/>
      <c r="DV156" s="399">
        <v>-58.154363281031976</v>
      </c>
      <c r="DW156" s="399">
        <v>0</v>
      </c>
      <c r="DX156" s="399">
        <v>0</v>
      </c>
      <c r="DY156" s="399">
        <v>19.300450000000012</v>
      </c>
      <c r="DZ156" s="399">
        <v>-1.7521399999999971</v>
      </c>
      <c r="EA156" s="399">
        <v>0</v>
      </c>
      <c r="EB156" s="399">
        <v>0</v>
      </c>
      <c r="EC156" s="399">
        <v>17.981382914226096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-9.5675559394734826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230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155</v>
      </c>
      <c r="B157" s="399" t="s">
        <v>2331</v>
      </c>
      <c r="C157" s="399" t="s">
        <v>2328</v>
      </c>
      <c r="D157" s="399" t="s">
        <v>1826</v>
      </c>
      <c r="E157" s="399" t="s">
        <v>918</v>
      </c>
      <c r="F157" s="399" t="s">
        <v>1239</v>
      </c>
      <c r="G157" s="399" t="s">
        <v>1239</v>
      </c>
      <c r="H157" s="399" t="s">
        <v>1239</v>
      </c>
      <c r="I157" s="399" t="s">
        <v>1239</v>
      </c>
      <c r="J157" s="399" t="s">
        <v>2329</v>
      </c>
      <c r="K157" s="789">
        <v>44531</v>
      </c>
      <c r="L157" s="399">
        <v>0</v>
      </c>
      <c r="M157" s="399">
        <v>0</v>
      </c>
      <c r="N157" s="399">
        <v>0.43</v>
      </c>
      <c r="O157" s="399">
        <v>0.43</v>
      </c>
      <c r="P157" s="399">
        <v>0.43</v>
      </c>
      <c r="Q157" s="399">
        <v>0.43</v>
      </c>
      <c r="R157" s="399"/>
      <c r="S157" s="399">
        <v>333.61</v>
      </c>
      <c r="T157" s="399">
        <v>128.11000000000001</v>
      </c>
      <c r="U157" s="399"/>
      <c r="V157" s="399">
        <v>198.53960000000001</v>
      </c>
      <c r="W157" s="399">
        <v>198.53960000000001</v>
      </c>
      <c r="X157" s="399">
        <v>173.30289999999999</v>
      </c>
      <c r="Y157" s="399">
        <v>0</v>
      </c>
      <c r="Z157" s="399">
        <v>26.322901692804173</v>
      </c>
      <c r="AA157" s="399">
        <v>0</v>
      </c>
      <c r="AB157" s="399">
        <v>0</v>
      </c>
      <c r="AC157" s="399">
        <v>0</v>
      </c>
      <c r="AD157" s="399">
        <v>0</v>
      </c>
      <c r="AE157" s="399">
        <v>83.633365253658027</v>
      </c>
      <c r="AF157" s="399">
        <v>55.087749962828688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4.0651556776551754</v>
      </c>
      <c r="AM157" s="399"/>
      <c r="AN157" s="399">
        <v>0.3699667996936718</v>
      </c>
      <c r="AO157" s="399">
        <v>1.4946886724191595</v>
      </c>
      <c r="AP157" s="399">
        <v>7.9733333001621327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5.834399459895681</v>
      </c>
      <c r="BH157" s="399">
        <v>0</v>
      </c>
      <c r="BI157" s="399">
        <v>0</v>
      </c>
      <c r="BJ157" s="399">
        <v>0</v>
      </c>
      <c r="BK157" s="399">
        <v>1021.06</v>
      </c>
      <c r="BL157" s="399">
        <v>5</v>
      </c>
      <c r="BM157" s="399"/>
      <c r="BN157" s="399"/>
      <c r="BO157" s="399"/>
      <c r="BP157" s="399"/>
      <c r="BQ157" s="399"/>
      <c r="BR157" s="399"/>
      <c r="BS157" s="399"/>
      <c r="BT157" s="399"/>
      <c r="BU157" s="399"/>
      <c r="BV157" s="399">
        <v>60.922149422724367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173.30289999999999</v>
      </c>
      <c r="CJ157" s="399">
        <v>-25.266699999999986</v>
      </c>
      <c r="CK157" s="399"/>
      <c r="CL157" s="399"/>
      <c r="CM157" s="399"/>
      <c r="CN157" s="399"/>
      <c r="CO157" s="399">
        <v>-27.756500000000006</v>
      </c>
      <c r="CP157" s="399">
        <v>2.5197999999999938</v>
      </c>
      <c r="CQ157" s="399"/>
      <c r="CR157" s="399">
        <v>0.6196802649261457</v>
      </c>
      <c r="CS157" s="399">
        <v>0.10910601054925873</v>
      </c>
      <c r="CT157" s="399">
        <v>0.58201992375595513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0</v>
      </c>
      <c r="DA157" s="399">
        <v>0</v>
      </c>
      <c r="DB157" s="399">
        <v>0</v>
      </c>
      <c r="DC157" s="399">
        <v>2.5195567307443554</v>
      </c>
      <c r="DD157" s="399">
        <v>0</v>
      </c>
      <c r="DE157" s="399">
        <v>0</v>
      </c>
      <c r="DF157" s="399">
        <v>0</v>
      </c>
      <c r="DG157" s="399">
        <v>0.26684880829127611</v>
      </c>
      <c r="DH157" s="399">
        <v>0</v>
      </c>
      <c r="DI157" s="399">
        <v>-2.4899143990190566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-0.32458878157117432</v>
      </c>
      <c r="DP157" s="399">
        <v>-4.3348027824486268E-2</v>
      </c>
      <c r="DQ157" s="399">
        <v>0</v>
      </c>
      <c r="DR157" s="399">
        <v>0</v>
      </c>
      <c r="DS157" s="399"/>
      <c r="DT157" s="399"/>
      <c r="DU157" s="399"/>
      <c r="DV157" s="399">
        <v>83.633365253658027</v>
      </c>
      <c r="DW157" s="399">
        <v>0</v>
      </c>
      <c r="DX157" s="399">
        <v>0</v>
      </c>
      <c r="DY157" s="399">
        <v>-27.756500000000003</v>
      </c>
      <c r="DZ157" s="399">
        <v>2.5197999999999894</v>
      </c>
      <c r="EA157" s="399">
        <v>0</v>
      </c>
      <c r="EB157" s="399">
        <v>0</v>
      </c>
      <c r="EC157" s="399">
        <v>-25.859513890024154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13.759361384527082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230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156</v>
      </c>
      <c r="B158" s="399" t="s">
        <v>956</v>
      </c>
      <c r="C158" s="399" t="s">
        <v>2337</v>
      </c>
      <c r="D158" s="399" t="s">
        <v>533</v>
      </c>
      <c r="E158" s="399" t="s">
        <v>918</v>
      </c>
      <c r="F158" s="399" t="s">
        <v>1239</v>
      </c>
      <c r="G158" s="399" t="s">
        <v>1239</v>
      </c>
      <c r="H158" s="399" t="s">
        <v>1239</v>
      </c>
      <c r="I158" s="399" t="s">
        <v>893</v>
      </c>
      <c r="J158" s="399" t="s">
        <v>2329</v>
      </c>
      <c r="K158" s="789">
        <v>44531</v>
      </c>
      <c r="L158" s="399">
        <v>0</v>
      </c>
      <c r="M158" s="399">
        <v>0</v>
      </c>
      <c r="N158" s="399">
        <v>43.884999999999998</v>
      </c>
      <c r="O158" s="399">
        <v>43.884999999999998</v>
      </c>
      <c r="P158" s="399">
        <v>43.884999999999998</v>
      </c>
      <c r="Q158" s="399">
        <v>43.884999999999998</v>
      </c>
      <c r="R158" s="399"/>
      <c r="S158" s="399">
        <v>1351.49</v>
      </c>
      <c r="T158" s="399">
        <v>128.11000000000001</v>
      </c>
      <c r="U158" s="399"/>
      <c r="V158" s="399">
        <v>64932.245999999999</v>
      </c>
      <c r="W158" s="399">
        <v>64932.245999999999</v>
      </c>
      <c r="X158" s="399">
        <v>50112.720350000003</v>
      </c>
      <c r="Y158" s="399">
        <v>0</v>
      </c>
      <c r="Z158" s="399">
        <v>2337.2257453166962</v>
      </c>
      <c r="AA158" s="399">
        <v>0</v>
      </c>
      <c r="AB158" s="399">
        <v>0</v>
      </c>
      <c r="AC158" s="399">
        <v>0</v>
      </c>
      <c r="AD158" s="399">
        <v>0</v>
      </c>
      <c r="AE158" s="399">
        <v>49324.31012887651</v>
      </c>
      <c r="AF158" s="399">
        <v>5622.1532723691553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414.88222538115667</v>
      </c>
      <c r="AM158" s="399"/>
      <c r="AN158" s="399">
        <v>21.573894643394301</v>
      </c>
      <c r="AO158" s="399">
        <v>911.60244011076929</v>
      </c>
      <c r="AP158" s="399">
        <v>4848.9448213045989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229.89663306438234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>
        <v>5852.0499054335378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50118.429900000003</v>
      </c>
      <c r="CJ158" s="399">
        <v>-14813.846100000002</v>
      </c>
      <c r="CK158" s="399"/>
      <c r="CL158" s="399"/>
      <c r="CM158" s="399"/>
      <c r="CN158" s="399"/>
      <c r="CO158" s="399">
        <v>-15076.691749999998</v>
      </c>
      <c r="CP158" s="399">
        <v>257.16609999999935</v>
      </c>
      <c r="CQ158" s="399"/>
      <c r="CR158" s="399">
        <v>431.41627333340148</v>
      </c>
      <c r="CS158" s="399">
        <v>66.543158640838783</v>
      </c>
      <c r="CT158" s="399">
        <v>353.95265555185142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0</v>
      </c>
      <c r="DA158" s="399">
        <v>0</v>
      </c>
      <c r="DB158" s="399">
        <v>0</v>
      </c>
      <c r="DC158" s="399">
        <v>257.14127239236313</v>
      </c>
      <c r="DD158" s="399">
        <v>0</v>
      </c>
      <c r="DE158" s="399">
        <v>0</v>
      </c>
      <c r="DF158" s="399">
        <v>0</v>
      </c>
      <c r="DG158" s="399">
        <v>10.514816989323947</v>
      </c>
      <c r="DH158" s="399">
        <v>0</v>
      </c>
      <c r="DI158" s="399">
        <v>-221.0809471135567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-33.126927161048798</v>
      </c>
      <c r="DP158" s="399">
        <v>-2.5277559663697104</v>
      </c>
      <c r="DQ158" s="399">
        <v>0</v>
      </c>
      <c r="DR158" s="399">
        <v>0</v>
      </c>
      <c r="DS158" s="399"/>
      <c r="DT158" s="399"/>
      <c r="DU158" s="399"/>
      <c r="DV158" s="399">
        <v>49324.31012887651</v>
      </c>
      <c r="DW158" s="399">
        <v>0</v>
      </c>
      <c r="DX158" s="399">
        <v>0</v>
      </c>
      <c r="DY158" s="399">
        <v>-15076.691749999998</v>
      </c>
      <c r="DZ158" s="399">
        <v>257.16609999999946</v>
      </c>
      <c r="EA158" s="399">
        <v>0</v>
      </c>
      <c r="EB158" s="399">
        <v>0</v>
      </c>
      <c r="EC158" s="399">
        <v>-15251.122312547915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1221.7016969608699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230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157</v>
      </c>
      <c r="B159" s="399" t="s">
        <v>956</v>
      </c>
      <c r="C159" s="399" t="s">
        <v>2337</v>
      </c>
      <c r="D159" s="399" t="s">
        <v>533</v>
      </c>
      <c r="E159" s="399" t="s">
        <v>918</v>
      </c>
      <c r="F159" s="399" t="s">
        <v>1239</v>
      </c>
      <c r="G159" s="399" t="s">
        <v>1239</v>
      </c>
      <c r="H159" s="399" t="s">
        <v>1239</v>
      </c>
      <c r="I159" s="399" t="s">
        <v>2326</v>
      </c>
      <c r="J159" s="399" t="s">
        <v>2329</v>
      </c>
      <c r="K159" s="789">
        <v>44531</v>
      </c>
      <c r="L159" s="399">
        <v>0</v>
      </c>
      <c r="M159" s="399">
        <v>0</v>
      </c>
      <c r="N159" s="399">
        <v>474.50400000000002</v>
      </c>
      <c r="O159" s="399">
        <v>474.50400000000002</v>
      </c>
      <c r="P159" s="399">
        <v>474.50400000000002</v>
      </c>
      <c r="Q159" s="399">
        <v>474.50400000000002</v>
      </c>
      <c r="R159" s="399"/>
      <c r="S159" s="399">
        <v>96.28</v>
      </c>
      <c r="T159" s="399">
        <v>128.11000000000001</v>
      </c>
      <c r="U159" s="399"/>
      <c r="V159" s="399">
        <v>106473.95256000001</v>
      </c>
      <c r="W159" s="399">
        <v>106473.95256000001</v>
      </c>
      <c r="X159" s="399">
        <v>106592.57855999999</v>
      </c>
      <c r="Y159" s="399">
        <v>0</v>
      </c>
      <c r="Z159" s="399">
        <v>25271.116897704309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60789.203972935029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4485.8898364420729</v>
      </c>
      <c r="AM159" s="399"/>
      <c r="AN159" s="399">
        <v>233.26647610502835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2485.7439210568914</v>
      </c>
      <c r="BH159" s="399">
        <v>0</v>
      </c>
      <c r="BI159" s="399">
        <v>0</v>
      </c>
      <c r="BJ159" s="399">
        <v>0</v>
      </c>
      <c r="BK159" s="399">
        <v>0</v>
      </c>
      <c r="BL159" s="399">
        <v>0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63274.947893991921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106591.67999999999</v>
      </c>
      <c r="CJ159" s="399">
        <v>117.697439999989</v>
      </c>
      <c r="CK159" s="399"/>
      <c r="CL159" s="399"/>
      <c r="CM159" s="399"/>
      <c r="CN159" s="399"/>
      <c r="CO159" s="399">
        <v>-2661.9674399999999</v>
      </c>
      <c r="CP159" s="399">
        <v>2780.5934399999933</v>
      </c>
      <c r="CQ159" s="399"/>
      <c r="CR159" s="399">
        <v>118.07682679970458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0</v>
      </c>
      <c r="DA159" s="399">
        <v>0</v>
      </c>
      <c r="DB159" s="399">
        <v>0</v>
      </c>
      <c r="DC159" s="399">
        <v>2780.3249929421436</v>
      </c>
      <c r="DD159" s="399">
        <v>0</v>
      </c>
      <c r="DE159" s="399">
        <v>0</v>
      </c>
      <c r="DF159" s="399">
        <v>0</v>
      </c>
      <c r="DG159" s="399">
        <v>113.69084472375926</v>
      </c>
      <c r="DH159" s="399">
        <v>0</v>
      </c>
      <c r="DI159" s="399">
        <v>-2390.4248314725082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-358.18296560615909</v>
      </c>
      <c r="DP159" s="399">
        <v>-27.331213787542254</v>
      </c>
      <c r="DQ159" s="399">
        <v>0</v>
      </c>
      <c r="DR159" s="399">
        <v>0</v>
      </c>
      <c r="DS159" s="399"/>
      <c r="DT159" s="399"/>
      <c r="DU159" s="399"/>
      <c r="DV159" s="399">
        <v>0</v>
      </c>
      <c r="DW159" s="399">
        <v>0</v>
      </c>
      <c r="DX159" s="399">
        <v>0</v>
      </c>
      <c r="DY159" s="399">
        <v>-2661.9674400000004</v>
      </c>
      <c r="DZ159" s="399">
        <v>2780.5934399999969</v>
      </c>
      <c r="EA159" s="399">
        <v>0</v>
      </c>
      <c r="EB159" s="399">
        <v>0</v>
      </c>
      <c r="EC159" s="399">
        <v>0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13209.578261700368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230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158</v>
      </c>
      <c r="B160" s="399" t="s">
        <v>956</v>
      </c>
      <c r="C160" s="399" t="s">
        <v>2337</v>
      </c>
      <c r="D160" s="399" t="s">
        <v>533</v>
      </c>
      <c r="E160" s="399" t="s">
        <v>918</v>
      </c>
      <c r="F160" s="399" t="s">
        <v>1239</v>
      </c>
      <c r="G160" s="399" t="s">
        <v>1239</v>
      </c>
      <c r="H160" s="399" t="s">
        <v>1239</v>
      </c>
      <c r="I160" s="399" t="s">
        <v>1239</v>
      </c>
      <c r="J160" s="399" t="s">
        <v>2329</v>
      </c>
      <c r="K160" s="789">
        <v>44531</v>
      </c>
      <c r="L160" s="399">
        <v>1741</v>
      </c>
      <c r="M160" s="399">
        <v>1741</v>
      </c>
      <c r="N160" s="399">
        <v>0</v>
      </c>
      <c r="O160" s="399">
        <v>0</v>
      </c>
      <c r="P160" s="399">
        <v>0</v>
      </c>
      <c r="Q160" s="399">
        <v>0</v>
      </c>
      <c r="R160" s="399">
        <v>18.12</v>
      </c>
      <c r="S160" s="399"/>
      <c r="T160" s="399"/>
      <c r="U160" s="399">
        <v>31546.920000000002</v>
      </c>
      <c r="V160" s="399"/>
      <c r="W160" s="399">
        <v>31546.920000000002</v>
      </c>
      <c r="X160" s="399">
        <v>25157.449999999997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0</v>
      </c>
      <c r="AE160" s="399">
        <v>22735.611611615193</v>
      </c>
      <c r="AF160" s="399"/>
      <c r="AG160" s="399"/>
      <c r="AH160" s="399"/>
      <c r="AI160" s="399">
        <v>0</v>
      </c>
      <c r="AJ160" s="399">
        <v>0</v>
      </c>
      <c r="AK160" s="399">
        <v>0</v>
      </c>
      <c r="AL160" s="399">
        <v>0</v>
      </c>
      <c r="AM160" s="399"/>
      <c r="AN160" s="399">
        <v>0</v>
      </c>
      <c r="AO160" s="399">
        <v>1383.8693872397282</v>
      </c>
      <c r="AP160" s="399">
        <v>7418.9599303785535</v>
      </c>
      <c r="AQ160" s="399">
        <v>0</v>
      </c>
      <c r="AR160" s="399">
        <v>0</v>
      </c>
      <c r="AS160" s="399"/>
      <c r="AT160" s="399"/>
      <c r="AU160" s="399">
        <v>0</v>
      </c>
      <c r="AV160" s="399">
        <v>0</v>
      </c>
      <c r="AW160" s="399">
        <v>0</v>
      </c>
      <c r="AX160" s="399"/>
      <c r="AY160" s="399"/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/>
      <c r="BG160" s="399">
        <v>0</v>
      </c>
      <c r="BH160" s="399">
        <v>0</v>
      </c>
      <c r="BI160" s="399">
        <v>0</v>
      </c>
      <c r="BJ160" s="399">
        <v>0</v>
      </c>
      <c r="BK160" s="399">
        <v>78046.36</v>
      </c>
      <c r="BL160" s="399">
        <v>17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0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25157.449999999997</v>
      </c>
      <c r="CJ160" s="399">
        <v>-6389.5</v>
      </c>
      <c r="CK160" s="399"/>
      <c r="CL160" s="399"/>
      <c r="CM160" s="399"/>
      <c r="CN160" s="399"/>
      <c r="CO160" s="399">
        <v>-6389.470000000003</v>
      </c>
      <c r="CP160" s="399">
        <v>0</v>
      </c>
      <c r="CQ160" s="399"/>
      <c r="CR160" s="399">
        <v>642.56965755744022</v>
      </c>
      <c r="CS160" s="399">
        <v>101.01666704852573</v>
      </c>
      <c r="CT160" s="399">
        <v>541.55299050891426</v>
      </c>
      <c r="CU160" s="399">
        <v>0</v>
      </c>
      <c r="CV160" s="399">
        <v>0</v>
      </c>
      <c r="CW160" s="399"/>
      <c r="CX160" s="399"/>
      <c r="CY160" s="399"/>
      <c r="CZ160" s="399">
        <v>0</v>
      </c>
      <c r="DA160" s="399">
        <v>0</v>
      </c>
      <c r="DB160" s="399">
        <v>0</v>
      </c>
      <c r="DC160" s="399"/>
      <c r="DD160" s="399"/>
      <c r="DE160" s="399">
        <v>0</v>
      </c>
      <c r="DF160" s="399">
        <v>0</v>
      </c>
      <c r="DG160" s="399">
        <v>0</v>
      </c>
      <c r="DH160" s="399">
        <v>0</v>
      </c>
      <c r="DI160" s="399">
        <v>0</v>
      </c>
      <c r="DJ160" s="399"/>
      <c r="DK160" s="399">
        <v>0</v>
      </c>
      <c r="DL160" s="399">
        <v>0</v>
      </c>
      <c r="DM160" s="399"/>
      <c r="DN160" s="399">
        <v>0</v>
      </c>
      <c r="DO160" s="399">
        <v>0</v>
      </c>
      <c r="DP160" s="399">
        <v>0</v>
      </c>
      <c r="DQ160" s="399">
        <v>0</v>
      </c>
      <c r="DR160" s="399">
        <v>0</v>
      </c>
      <c r="DS160" s="399"/>
      <c r="DT160" s="399"/>
      <c r="DU160" s="399">
        <v>22735.611611615193</v>
      </c>
      <c r="DV160" s="399"/>
      <c r="DW160" s="399">
        <v>0</v>
      </c>
      <c r="DX160" s="399">
        <v>0</v>
      </c>
      <c r="DY160" s="399">
        <v>-6389.4700000000048</v>
      </c>
      <c r="DZ160" s="399"/>
      <c r="EA160" s="399">
        <v>0</v>
      </c>
      <c r="EB160" s="399"/>
      <c r="EC160" s="399">
        <v>-7029.8721387758906</v>
      </c>
      <c r="ED160" s="399"/>
      <c r="EE160" s="399">
        <v>0</v>
      </c>
      <c r="EF160" s="399">
        <v>0</v>
      </c>
      <c r="EG160" s="399"/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/>
      <c r="EN160" s="399"/>
      <c r="EO160" s="399">
        <v>0</v>
      </c>
      <c r="EP160" s="399">
        <v>0</v>
      </c>
      <c r="EQ160" s="399"/>
      <c r="ER160" s="399">
        <v>0</v>
      </c>
      <c r="ES160" s="399"/>
      <c r="ET160" s="399">
        <v>0</v>
      </c>
      <c r="EU160" s="399"/>
      <c r="EV160" s="399">
        <v>230</v>
      </c>
      <c r="EW160" s="399"/>
      <c r="EX160" s="399"/>
      <c r="EY160" s="399"/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159</v>
      </c>
      <c r="B161" s="399" t="s">
        <v>956</v>
      </c>
      <c r="C161" s="399" t="s">
        <v>2328</v>
      </c>
      <c r="D161" s="399" t="s">
        <v>2340</v>
      </c>
      <c r="E161" s="399" t="s">
        <v>894</v>
      </c>
      <c r="F161" s="399" t="s">
        <v>1239</v>
      </c>
      <c r="G161" s="399" t="s">
        <v>1239</v>
      </c>
      <c r="H161" s="399" t="s">
        <v>1239</v>
      </c>
      <c r="I161" s="399" t="s">
        <v>1239</v>
      </c>
      <c r="J161" s="399" t="s">
        <v>2329</v>
      </c>
      <c r="K161" s="789">
        <v>44531</v>
      </c>
      <c r="L161" s="399">
        <v>0</v>
      </c>
      <c r="M161" s="399">
        <v>0</v>
      </c>
      <c r="N161" s="399">
        <v>1242.847</v>
      </c>
      <c r="O161" s="399">
        <v>1242.847</v>
      </c>
      <c r="P161" s="399">
        <v>1242.847</v>
      </c>
      <c r="Q161" s="399">
        <v>1242.847</v>
      </c>
      <c r="R161" s="399"/>
      <c r="S161" s="399">
        <v>333.61</v>
      </c>
      <c r="T161" s="399">
        <v>128.11000000000001</v>
      </c>
      <c r="U161" s="399"/>
      <c r="V161" s="399">
        <v>573847.31683999998</v>
      </c>
      <c r="W161" s="399">
        <v>573847.31683999998</v>
      </c>
      <c r="X161" s="399">
        <v>500904.62641000003</v>
      </c>
      <c r="Y161" s="399">
        <v>0</v>
      </c>
      <c r="Z161" s="399">
        <v>76082.184651619973</v>
      </c>
      <c r="AA161" s="399">
        <v>0</v>
      </c>
      <c r="AB161" s="399">
        <v>0</v>
      </c>
      <c r="AC161" s="399">
        <v>0</v>
      </c>
      <c r="AD161" s="399">
        <v>0</v>
      </c>
      <c r="AE161" s="399">
        <v>241729.01652421657</v>
      </c>
      <c r="AF161" s="399">
        <v>159222.42971639941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11749.68962443419</v>
      </c>
      <c r="AM161" s="399"/>
      <c r="AN161" s="399">
        <v>1069.3305281369323</v>
      </c>
      <c r="AO161" s="399">
        <v>4320.1612382561279</v>
      </c>
      <c r="AP161" s="399">
        <v>23045.659004899084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16863.408989611551</v>
      </c>
      <c r="BH161" s="399">
        <v>0</v>
      </c>
      <c r="BI161" s="399">
        <v>0</v>
      </c>
      <c r="BJ161" s="399">
        <v>0</v>
      </c>
      <c r="BK161" s="399">
        <v>135548.72</v>
      </c>
      <c r="BL161" s="399">
        <v>2373</v>
      </c>
      <c r="BM161" s="399"/>
      <c r="BN161" s="399"/>
      <c r="BO161" s="399"/>
      <c r="BP161" s="399"/>
      <c r="BQ161" s="399"/>
      <c r="BR161" s="399">
        <v>60116.509389999992</v>
      </c>
      <c r="BS161" s="399"/>
      <c r="BT161" s="399"/>
      <c r="BU161" s="399"/>
      <c r="BV161" s="399">
        <v>176085.83870601095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440789.18099999998</v>
      </c>
      <c r="CJ161" s="399">
        <v>-64204.442039999994</v>
      </c>
      <c r="CK161" s="399"/>
      <c r="CL161" s="399"/>
      <c r="CM161" s="399"/>
      <c r="CN161" s="399"/>
      <c r="CO161" s="399">
        <v>-80225.773850000012</v>
      </c>
      <c r="CP161" s="399">
        <v>7283.0834199999817</v>
      </c>
      <c r="CQ161" s="399"/>
      <c r="CR161" s="399">
        <v>1791.0878098200774</v>
      </c>
      <c r="CS161" s="399">
        <v>315.35366951887136</v>
      </c>
      <c r="CT161" s="399">
        <v>1682.236549256555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0</v>
      </c>
      <c r="DA161" s="399">
        <v>0</v>
      </c>
      <c r="DB161" s="399">
        <v>0</v>
      </c>
      <c r="DC161" s="399">
        <v>7282.3802886870399</v>
      </c>
      <c r="DD161" s="399">
        <v>0</v>
      </c>
      <c r="DE161" s="399">
        <v>0</v>
      </c>
      <c r="DF161" s="399">
        <v>0</v>
      </c>
      <c r="DG161" s="399">
        <v>771.28428101950703</v>
      </c>
      <c r="DH161" s="399">
        <v>0</v>
      </c>
      <c r="DI161" s="399">
        <v>-7196.7038164596161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-938.17254281253372</v>
      </c>
      <c r="DP161" s="399">
        <v>-125.29061938971927</v>
      </c>
      <c r="DQ161" s="399">
        <v>0</v>
      </c>
      <c r="DR161" s="399">
        <v>0</v>
      </c>
      <c r="DS161" s="399"/>
      <c r="DT161" s="399"/>
      <c r="DU161" s="399"/>
      <c r="DV161" s="399">
        <v>241729.01652421657</v>
      </c>
      <c r="DW161" s="399">
        <v>0</v>
      </c>
      <c r="DX161" s="399">
        <v>0</v>
      </c>
      <c r="DY161" s="399">
        <v>-80225.773849999998</v>
      </c>
      <c r="DZ161" s="399">
        <v>7283.0834200000099</v>
      </c>
      <c r="EA161" s="399">
        <v>0</v>
      </c>
      <c r="EB161" s="399">
        <v>0</v>
      </c>
      <c r="EC161" s="399">
        <v>-74742.835487615928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39769.258182965881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230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160</v>
      </c>
      <c r="B162" s="399" t="s">
        <v>2331</v>
      </c>
      <c r="C162" s="399" t="s">
        <v>2328</v>
      </c>
      <c r="D162" s="399" t="s">
        <v>2340</v>
      </c>
      <c r="E162" s="399" t="s">
        <v>894</v>
      </c>
      <c r="F162" s="399" t="s">
        <v>1239</v>
      </c>
      <c r="G162" s="399" t="s">
        <v>1239</v>
      </c>
      <c r="H162" s="399" t="s">
        <v>1239</v>
      </c>
      <c r="I162" s="399" t="s">
        <v>1239</v>
      </c>
      <c r="J162" s="399" t="s">
        <v>2329</v>
      </c>
      <c r="K162" s="789">
        <v>44531</v>
      </c>
      <c r="L162" s="399">
        <v>0</v>
      </c>
      <c r="M162" s="399">
        <v>0</v>
      </c>
      <c r="N162" s="399">
        <v>10.256</v>
      </c>
      <c r="O162" s="399">
        <v>10.256</v>
      </c>
      <c r="P162" s="399">
        <v>10.256</v>
      </c>
      <c r="Q162" s="399">
        <v>10.256</v>
      </c>
      <c r="R162" s="399"/>
      <c r="S162" s="399">
        <v>333.61</v>
      </c>
      <c r="T162" s="399">
        <v>128.11000000000001</v>
      </c>
      <c r="U162" s="399"/>
      <c r="V162" s="399">
        <v>4735.4003200000006</v>
      </c>
      <c r="W162" s="399">
        <v>4735.4003200000006</v>
      </c>
      <c r="X162" s="399">
        <v>4133.4756800000005</v>
      </c>
      <c r="Y162" s="399">
        <v>0</v>
      </c>
      <c r="Z162" s="399">
        <v>627.8318133986038</v>
      </c>
      <c r="AA162" s="399">
        <v>0</v>
      </c>
      <c r="AB162" s="399">
        <v>0</v>
      </c>
      <c r="AC162" s="399">
        <v>0</v>
      </c>
      <c r="AD162" s="399">
        <v>0</v>
      </c>
      <c r="AE162" s="399">
        <v>1994.7530093988762</v>
      </c>
      <c r="AF162" s="399">
        <v>1313.9068921366768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96.958689837282506</v>
      </c>
      <c r="AM162" s="399"/>
      <c r="AN162" s="399">
        <v>8.8241383666472046</v>
      </c>
      <c r="AO162" s="399">
        <v>35.650062847281163</v>
      </c>
      <c r="AP162" s="399">
        <v>190.17327052665775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139.15721130393047</v>
      </c>
      <c r="BH162" s="399">
        <v>0</v>
      </c>
      <c r="BI162" s="399">
        <v>0</v>
      </c>
      <c r="BJ162" s="399">
        <v>0</v>
      </c>
      <c r="BK162" s="399">
        <v>4595.74</v>
      </c>
      <c r="BL162" s="399">
        <v>17</v>
      </c>
      <c r="BM162" s="399"/>
      <c r="BN162" s="399"/>
      <c r="BO162" s="399"/>
      <c r="BP162" s="399"/>
      <c r="BQ162" s="399"/>
      <c r="BR162" s="399">
        <v>496.08271999999988</v>
      </c>
      <c r="BS162" s="399"/>
      <c r="BT162" s="399"/>
      <c r="BU162" s="399"/>
      <c r="BV162" s="399">
        <v>1453.0641034406071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3638.8116</v>
      </c>
      <c r="CJ162" s="399">
        <v>-528.43632000000071</v>
      </c>
      <c r="CK162" s="399"/>
      <c r="CL162" s="399"/>
      <c r="CM162" s="399"/>
      <c r="CN162" s="399"/>
      <c r="CO162" s="399">
        <v>-662.02480000000014</v>
      </c>
      <c r="CP162" s="399">
        <v>60.100159999999853</v>
      </c>
      <c r="CQ162" s="399"/>
      <c r="CR162" s="399">
        <v>14.780094876935436</v>
      </c>
      <c r="CS162" s="399">
        <v>2.602305219053946</v>
      </c>
      <c r="CT162" s="399">
        <v>13.881851948932763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0</v>
      </c>
      <c r="DA162" s="399">
        <v>0</v>
      </c>
      <c r="DB162" s="399">
        <v>0</v>
      </c>
      <c r="DC162" s="399">
        <v>60.094357745381785</v>
      </c>
      <c r="DD162" s="399">
        <v>0</v>
      </c>
      <c r="DE162" s="399">
        <v>0</v>
      </c>
      <c r="DF162" s="399">
        <v>0</v>
      </c>
      <c r="DG162" s="399">
        <v>6.364654367058904</v>
      </c>
      <c r="DH162" s="399">
        <v>0</v>
      </c>
      <c r="DI162" s="399">
        <v>-59.387353665905721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-7.7418198692882783</v>
      </c>
      <c r="DP162" s="399">
        <v>-1.0339008682975148</v>
      </c>
      <c r="DQ162" s="399">
        <v>0</v>
      </c>
      <c r="DR162" s="399">
        <v>0</v>
      </c>
      <c r="DS162" s="399"/>
      <c r="DT162" s="399"/>
      <c r="DU162" s="399"/>
      <c r="DV162" s="399">
        <v>1994.7530093988762</v>
      </c>
      <c r="DW162" s="399">
        <v>0</v>
      </c>
      <c r="DX162" s="399">
        <v>0</v>
      </c>
      <c r="DY162" s="399">
        <v>-662.02480000000014</v>
      </c>
      <c r="DZ162" s="399">
        <v>60.100159999999732</v>
      </c>
      <c r="EA162" s="399">
        <v>0</v>
      </c>
      <c r="EB162" s="399">
        <v>0</v>
      </c>
      <c r="EC162" s="399">
        <v>-616.77947547927374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328.17676827839477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230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161</v>
      </c>
      <c r="B163" s="399" t="s">
        <v>956</v>
      </c>
      <c r="C163" s="399" t="s">
        <v>2328</v>
      </c>
      <c r="D163" s="399" t="s">
        <v>1826</v>
      </c>
      <c r="E163" s="399" t="s">
        <v>2341</v>
      </c>
      <c r="F163" s="399" t="s">
        <v>1239</v>
      </c>
      <c r="G163" s="399" t="s">
        <v>1239</v>
      </c>
      <c r="H163" s="399" t="s">
        <v>1239</v>
      </c>
      <c r="I163" s="399" t="s">
        <v>1239</v>
      </c>
      <c r="J163" s="399" t="s">
        <v>2329</v>
      </c>
      <c r="K163" s="789">
        <v>44531</v>
      </c>
      <c r="L163" s="399">
        <v>0</v>
      </c>
      <c r="M163" s="399">
        <v>0</v>
      </c>
      <c r="N163" s="399">
        <v>203.458</v>
      </c>
      <c r="O163" s="399">
        <v>203.458</v>
      </c>
      <c r="P163" s="399">
        <v>203.458</v>
      </c>
      <c r="Q163" s="399">
        <v>203.458</v>
      </c>
      <c r="R163" s="399"/>
      <c r="S163" s="399">
        <v>333.61</v>
      </c>
      <c r="T163" s="399">
        <v>128.11000000000001</v>
      </c>
      <c r="U163" s="399"/>
      <c r="V163" s="399">
        <v>93940.627760000003</v>
      </c>
      <c r="W163" s="399">
        <v>93940.627760000003</v>
      </c>
      <c r="X163" s="399">
        <v>81999.677739999999</v>
      </c>
      <c r="Y163" s="399">
        <v>0</v>
      </c>
      <c r="Z163" s="399">
        <v>12454.895192126864</v>
      </c>
      <c r="AA163" s="399">
        <v>0</v>
      </c>
      <c r="AB163" s="399">
        <v>0</v>
      </c>
      <c r="AC163" s="399">
        <v>0</v>
      </c>
      <c r="AD163" s="399">
        <v>0</v>
      </c>
      <c r="AE163" s="399">
        <v>39571.807506462224</v>
      </c>
      <c r="AF163" s="399">
        <v>26065.217283574882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1923.4614973589923</v>
      </c>
      <c r="AM163" s="399"/>
      <c r="AN163" s="399">
        <v>175.05280263273272</v>
      </c>
      <c r="AO163" s="399">
        <v>707.2241114257148</v>
      </c>
      <c r="AP163" s="399">
        <v>3772.6475501962491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2760.593593747571</v>
      </c>
      <c r="BH163" s="399">
        <v>0</v>
      </c>
      <c r="BI163" s="399">
        <v>0</v>
      </c>
      <c r="BJ163" s="399">
        <v>0</v>
      </c>
      <c r="BK163" s="399">
        <v>30902.86</v>
      </c>
      <c r="BL163" s="399">
        <v>211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28825.810877322452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82000.483800000002</v>
      </c>
      <c r="CJ163" s="399">
        <v>-11940.173959999986</v>
      </c>
      <c r="CK163" s="399"/>
      <c r="CL163" s="399"/>
      <c r="CM163" s="399"/>
      <c r="CN163" s="399"/>
      <c r="CO163" s="399">
        <v>-13133.213900000002</v>
      </c>
      <c r="CP163" s="399">
        <v>1192.263879999997</v>
      </c>
      <c r="CQ163" s="399"/>
      <c r="CR163" s="399">
        <v>293.20676125893806</v>
      </c>
      <c r="CS163" s="399">
        <v>51.624396963560571</v>
      </c>
      <c r="CT163" s="399">
        <v>275.38746429660296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0</v>
      </c>
      <c r="DA163" s="399">
        <v>0</v>
      </c>
      <c r="DB163" s="399">
        <v>0</v>
      </c>
      <c r="DC163" s="399">
        <v>1192.148775171594</v>
      </c>
      <c r="DD163" s="399">
        <v>0</v>
      </c>
      <c r="DE163" s="399">
        <v>0</v>
      </c>
      <c r="DF163" s="399">
        <v>0</v>
      </c>
      <c r="DG163" s="399">
        <v>126.2616856682007</v>
      </c>
      <c r="DH163" s="399">
        <v>0</v>
      </c>
      <c r="DI163" s="399">
        <v>-1178.1232646409753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-153.58182400211172</v>
      </c>
      <c r="DP163" s="399">
        <v>-20.510472197940288</v>
      </c>
      <c r="DQ163" s="399">
        <v>0</v>
      </c>
      <c r="DR163" s="399">
        <v>0</v>
      </c>
      <c r="DS163" s="399"/>
      <c r="DT163" s="399"/>
      <c r="DU163" s="399"/>
      <c r="DV163" s="399">
        <v>39571.807506462224</v>
      </c>
      <c r="DW163" s="399">
        <v>0</v>
      </c>
      <c r="DX163" s="399">
        <v>0</v>
      </c>
      <c r="DY163" s="399">
        <v>-13133.213900000002</v>
      </c>
      <c r="DZ163" s="399">
        <v>1192.2638799999986</v>
      </c>
      <c r="EA163" s="399">
        <v>0</v>
      </c>
      <c r="EB163" s="399">
        <v>0</v>
      </c>
      <c r="EC163" s="399">
        <v>-12235.639481480313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6510.3538338909557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230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162</v>
      </c>
      <c r="B164" s="399" t="s">
        <v>956</v>
      </c>
      <c r="C164" s="399" t="s">
        <v>2337</v>
      </c>
      <c r="D164" s="399" t="s">
        <v>533</v>
      </c>
      <c r="E164" s="399" t="s">
        <v>2341</v>
      </c>
      <c r="F164" s="399" t="s">
        <v>1239</v>
      </c>
      <c r="G164" s="399" t="s">
        <v>1239</v>
      </c>
      <c r="H164" s="399" t="s">
        <v>1239</v>
      </c>
      <c r="I164" s="399" t="s">
        <v>893</v>
      </c>
      <c r="J164" s="399" t="s">
        <v>2329</v>
      </c>
      <c r="K164" s="789">
        <v>44531</v>
      </c>
      <c r="L164" s="399">
        <v>0</v>
      </c>
      <c r="M164" s="399">
        <v>0</v>
      </c>
      <c r="N164" s="399">
        <v>2.165</v>
      </c>
      <c r="O164" s="399">
        <v>2.165</v>
      </c>
      <c r="P164" s="399">
        <v>2.165</v>
      </c>
      <c r="Q164" s="399">
        <v>2.165</v>
      </c>
      <c r="R164" s="399"/>
      <c r="S164" s="399">
        <v>1351.49</v>
      </c>
      <c r="T164" s="399">
        <v>128.11000000000001</v>
      </c>
      <c r="U164" s="399"/>
      <c r="V164" s="399">
        <v>3203.3340000000003</v>
      </c>
      <c r="W164" s="399">
        <v>3203.3340000000003</v>
      </c>
      <c r="X164" s="399">
        <v>2472.2351500000004</v>
      </c>
      <c r="Y164" s="399">
        <v>0</v>
      </c>
      <c r="Z164" s="399">
        <v>115.30349182204961</v>
      </c>
      <c r="AA164" s="399">
        <v>0</v>
      </c>
      <c r="AB164" s="399">
        <v>0</v>
      </c>
      <c r="AC164" s="399">
        <v>0</v>
      </c>
      <c r="AD164" s="399">
        <v>0</v>
      </c>
      <c r="AE164" s="399">
        <v>2433.3401259887805</v>
      </c>
      <c r="AF164" s="399">
        <v>277.36041551052119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20.467586144473152</v>
      </c>
      <c r="AM164" s="399"/>
      <c r="AN164" s="399">
        <v>1.06431541307847</v>
      </c>
      <c r="AO164" s="399">
        <v>44.972525528992037</v>
      </c>
      <c r="AP164" s="399">
        <v>239.21534779821027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11.34160215527829</v>
      </c>
      <c r="BH164" s="399">
        <v>0</v>
      </c>
      <c r="BI164" s="399">
        <v>0</v>
      </c>
      <c r="BJ164" s="399">
        <v>0</v>
      </c>
      <c r="BK164" s="399">
        <v>0</v>
      </c>
      <c r="BL164" s="399">
        <v>0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288.70201766579947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2477.9447</v>
      </c>
      <c r="CJ164" s="399">
        <v>-725.41930000000093</v>
      </c>
      <c r="CK164" s="399"/>
      <c r="CL164" s="399"/>
      <c r="CM164" s="399"/>
      <c r="CN164" s="399"/>
      <c r="CO164" s="399">
        <v>-743.78574999999989</v>
      </c>
      <c r="CP164" s="399">
        <v>12.686899999999968</v>
      </c>
      <c r="CQ164" s="399"/>
      <c r="CR164" s="399">
        <v>21.283268355174187</v>
      </c>
      <c r="CS164" s="399">
        <v>3.282805934998656</v>
      </c>
      <c r="CT164" s="399">
        <v>17.46171811028276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0</v>
      </c>
      <c r="DA164" s="399">
        <v>0</v>
      </c>
      <c r="DB164" s="399">
        <v>0</v>
      </c>
      <c r="DC164" s="399">
        <v>12.685675167584975</v>
      </c>
      <c r="DD164" s="399">
        <v>0</v>
      </c>
      <c r="DE164" s="399">
        <v>0</v>
      </c>
      <c r="DF164" s="399">
        <v>0</v>
      </c>
      <c r="DG164" s="399">
        <v>0.51873256880224261</v>
      </c>
      <c r="DH164" s="399">
        <v>0</v>
      </c>
      <c r="DI164" s="399">
        <v>-10.906693642494005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-1.634266772329287</v>
      </c>
      <c r="DP164" s="399">
        <v>-0.12470301167119546</v>
      </c>
      <c r="DQ164" s="399">
        <v>0</v>
      </c>
      <c r="DR164" s="399">
        <v>0</v>
      </c>
      <c r="DS164" s="399"/>
      <c r="DT164" s="399"/>
      <c r="DU164" s="399"/>
      <c r="DV164" s="399">
        <v>2433.3401259887805</v>
      </c>
      <c r="DW164" s="399">
        <v>0</v>
      </c>
      <c r="DX164" s="399">
        <v>0</v>
      </c>
      <c r="DY164" s="399">
        <v>-743.78575000000001</v>
      </c>
      <c r="DZ164" s="399">
        <v>12.68689999999998</v>
      </c>
      <c r="EA164" s="399">
        <v>0</v>
      </c>
      <c r="EB164" s="399">
        <v>0</v>
      </c>
      <c r="EC164" s="399">
        <v>-752.3910175838264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60.270802641455703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230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163</v>
      </c>
      <c r="B165" s="399" t="s">
        <v>956</v>
      </c>
      <c r="C165" s="399" t="s">
        <v>2337</v>
      </c>
      <c r="D165" s="399" t="s">
        <v>533</v>
      </c>
      <c r="E165" s="399" t="s">
        <v>2341</v>
      </c>
      <c r="F165" s="399" t="s">
        <v>1239</v>
      </c>
      <c r="G165" s="399" t="s">
        <v>1239</v>
      </c>
      <c r="H165" s="399" t="s">
        <v>1239</v>
      </c>
      <c r="I165" s="399" t="s">
        <v>2326</v>
      </c>
      <c r="J165" s="399" t="s">
        <v>2329</v>
      </c>
      <c r="K165" s="789">
        <v>44531</v>
      </c>
      <c r="L165" s="399">
        <v>0</v>
      </c>
      <c r="M165" s="399">
        <v>0</v>
      </c>
      <c r="N165" s="399">
        <v>20.936</v>
      </c>
      <c r="O165" s="399">
        <v>20.936</v>
      </c>
      <c r="P165" s="399">
        <v>20.936</v>
      </c>
      <c r="Q165" s="399">
        <v>20.936</v>
      </c>
      <c r="R165" s="399"/>
      <c r="S165" s="399">
        <v>96.28</v>
      </c>
      <c r="T165" s="399">
        <v>128.11000000000001</v>
      </c>
      <c r="U165" s="399"/>
      <c r="V165" s="399">
        <v>4697.8290400000005</v>
      </c>
      <c r="W165" s="399">
        <v>4697.8290400000005</v>
      </c>
      <c r="X165" s="399">
        <v>4703.06304</v>
      </c>
      <c r="Y165" s="399">
        <v>0</v>
      </c>
      <c r="Z165" s="399">
        <v>1115.0087320029702</v>
      </c>
      <c r="AA165" s="399">
        <v>0</v>
      </c>
      <c r="AB165" s="399">
        <v>0</v>
      </c>
      <c r="AC165" s="399">
        <v>0</v>
      </c>
      <c r="AD165" s="399">
        <v>0</v>
      </c>
      <c r="AE165" s="399">
        <v>0</v>
      </c>
      <c r="AF165" s="399">
        <v>2682.1328679576309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197.92581224974128</v>
      </c>
      <c r="AM165" s="399"/>
      <c r="AN165" s="399">
        <v>10.292151264762516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109.67565021843247</v>
      </c>
      <c r="BH165" s="399">
        <v>0</v>
      </c>
      <c r="BI165" s="399">
        <v>0</v>
      </c>
      <c r="BJ165" s="399">
        <v>0</v>
      </c>
      <c r="BK165" s="399">
        <v>0</v>
      </c>
      <c r="BL165" s="399">
        <v>0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2791.8085181760634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4703.9616000000005</v>
      </c>
      <c r="CJ165" s="399">
        <v>6.1025599999993574</v>
      </c>
      <c r="CK165" s="399"/>
      <c r="CL165" s="399"/>
      <c r="CM165" s="399"/>
      <c r="CN165" s="399"/>
      <c r="CO165" s="399">
        <v>-117.45095999999998</v>
      </c>
      <c r="CP165" s="399">
        <v>122.68495999999969</v>
      </c>
      <c r="CQ165" s="399"/>
      <c r="CR165" s="399">
        <v>5.2097694558497096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</v>
      </c>
      <c r="DA165" s="399">
        <v>0</v>
      </c>
      <c r="DB165" s="399">
        <v>0</v>
      </c>
      <c r="DC165" s="399">
        <v>122.67311561596262</v>
      </c>
      <c r="DD165" s="399">
        <v>0</v>
      </c>
      <c r="DE165" s="399">
        <v>0</v>
      </c>
      <c r="DF165" s="399">
        <v>0</v>
      </c>
      <c r="DG165" s="399">
        <v>5.0162517600201966</v>
      </c>
      <c r="DH165" s="399">
        <v>0</v>
      </c>
      <c r="DI165" s="399">
        <v>-105.46999450311978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-15.803699374358388</v>
      </c>
      <c r="DP165" s="399">
        <v>-1.2059040426550336</v>
      </c>
      <c r="DQ165" s="399">
        <v>0</v>
      </c>
      <c r="DR165" s="399">
        <v>0</v>
      </c>
      <c r="DS165" s="399"/>
      <c r="DT165" s="399"/>
      <c r="DU165" s="399"/>
      <c r="DV165" s="399">
        <v>0</v>
      </c>
      <c r="DW165" s="399">
        <v>0</v>
      </c>
      <c r="DX165" s="399">
        <v>0</v>
      </c>
      <c r="DY165" s="399">
        <v>-117.45096000000012</v>
      </c>
      <c r="DZ165" s="399">
        <v>122.68495999999959</v>
      </c>
      <c r="EA165" s="399">
        <v>0</v>
      </c>
      <c r="EB165" s="399">
        <v>0</v>
      </c>
      <c r="EC165" s="399">
        <v>0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582.83118896143947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230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164</v>
      </c>
      <c r="B166" s="399" t="s">
        <v>956</v>
      </c>
      <c r="C166" s="399" t="s">
        <v>2337</v>
      </c>
      <c r="D166" s="399" t="s">
        <v>533</v>
      </c>
      <c r="E166" s="399" t="s">
        <v>2341</v>
      </c>
      <c r="F166" s="399" t="s">
        <v>1239</v>
      </c>
      <c r="G166" s="399" t="s">
        <v>1239</v>
      </c>
      <c r="H166" s="399" t="s">
        <v>1239</v>
      </c>
      <c r="I166" s="399" t="s">
        <v>1239</v>
      </c>
      <c r="J166" s="399" t="s">
        <v>2329</v>
      </c>
      <c r="K166" s="789">
        <v>44531</v>
      </c>
      <c r="L166" s="399">
        <v>351</v>
      </c>
      <c r="M166" s="399">
        <v>351</v>
      </c>
      <c r="N166" s="399">
        <v>0</v>
      </c>
      <c r="O166" s="399">
        <v>0</v>
      </c>
      <c r="P166" s="399">
        <v>0</v>
      </c>
      <c r="Q166" s="399">
        <v>0</v>
      </c>
      <c r="R166" s="399">
        <v>18.12</v>
      </c>
      <c r="S166" s="399"/>
      <c r="T166" s="399"/>
      <c r="U166" s="399">
        <v>6360.1200000000008</v>
      </c>
      <c r="V166" s="399"/>
      <c r="W166" s="399">
        <v>6360.1200000000008</v>
      </c>
      <c r="X166" s="399">
        <v>5071.95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0</v>
      </c>
      <c r="AE166" s="399">
        <v>4583.6873496134021</v>
      </c>
      <c r="AF166" s="399"/>
      <c r="AG166" s="399"/>
      <c r="AH166" s="399"/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0</v>
      </c>
      <c r="AO166" s="399">
        <v>278.99951460146156</v>
      </c>
      <c r="AP166" s="399">
        <v>1495.7236849872902</v>
      </c>
      <c r="AQ166" s="399">
        <v>0</v>
      </c>
      <c r="AR166" s="399">
        <v>0</v>
      </c>
      <c r="AS166" s="399"/>
      <c r="AT166" s="399"/>
      <c r="AU166" s="399">
        <v>0</v>
      </c>
      <c r="AV166" s="399">
        <v>0</v>
      </c>
      <c r="AW166" s="399">
        <v>0</v>
      </c>
      <c r="AX166" s="399"/>
      <c r="AY166" s="399"/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/>
      <c r="BG166" s="399">
        <v>0</v>
      </c>
      <c r="BH166" s="399">
        <v>0</v>
      </c>
      <c r="BI166" s="399">
        <v>0</v>
      </c>
      <c r="BJ166" s="399">
        <v>0</v>
      </c>
      <c r="BK166" s="399">
        <v>5021.68</v>
      </c>
      <c r="BL166" s="399">
        <v>3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0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5071.95</v>
      </c>
      <c r="CJ166" s="399">
        <v>-1288.2000000000016</v>
      </c>
      <c r="CK166" s="399"/>
      <c r="CL166" s="399"/>
      <c r="CM166" s="399"/>
      <c r="CN166" s="399"/>
      <c r="CO166" s="399">
        <v>-1288.1700000000005</v>
      </c>
      <c r="CP166" s="399">
        <v>0</v>
      </c>
      <c r="CQ166" s="399"/>
      <c r="CR166" s="399">
        <v>129.54735772697359</v>
      </c>
      <c r="CS166" s="399">
        <v>20.365795596802172</v>
      </c>
      <c r="CT166" s="399">
        <v>109.18156213017164</v>
      </c>
      <c r="CU166" s="399">
        <v>0</v>
      </c>
      <c r="CV166" s="399">
        <v>0</v>
      </c>
      <c r="CW166" s="399"/>
      <c r="CX166" s="399"/>
      <c r="CY166" s="399"/>
      <c r="CZ166" s="399">
        <v>0</v>
      </c>
      <c r="DA166" s="399">
        <v>0</v>
      </c>
      <c r="DB166" s="399">
        <v>0</v>
      </c>
      <c r="DC166" s="399"/>
      <c r="DD166" s="399"/>
      <c r="DE166" s="399">
        <v>0</v>
      </c>
      <c r="DF166" s="399">
        <v>0</v>
      </c>
      <c r="DG166" s="399">
        <v>0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/>
      <c r="DN166" s="399">
        <v>0</v>
      </c>
      <c r="DO166" s="399">
        <v>0</v>
      </c>
      <c r="DP166" s="399">
        <v>0</v>
      </c>
      <c r="DQ166" s="399">
        <v>0</v>
      </c>
      <c r="DR166" s="399">
        <v>0</v>
      </c>
      <c r="DS166" s="399"/>
      <c r="DT166" s="399"/>
      <c r="DU166" s="399">
        <v>4583.6873496134021</v>
      </c>
      <c r="DV166" s="399"/>
      <c r="DW166" s="399">
        <v>0</v>
      </c>
      <c r="DX166" s="399">
        <v>0</v>
      </c>
      <c r="DY166" s="399">
        <v>-1288.170000000001</v>
      </c>
      <c r="DZ166" s="399"/>
      <c r="EA166" s="399">
        <v>0</v>
      </c>
      <c r="EB166" s="399"/>
      <c r="EC166" s="399">
        <v>-1417.2803680128304</v>
      </c>
      <c r="ED166" s="399"/>
      <c r="EE166" s="399">
        <v>0</v>
      </c>
      <c r="EF166" s="399">
        <v>0</v>
      </c>
      <c r="EG166" s="399"/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/>
      <c r="EN166" s="399"/>
      <c r="EO166" s="399">
        <v>0</v>
      </c>
      <c r="EP166" s="399">
        <v>0</v>
      </c>
      <c r="EQ166" s="399"/>
      <c r="ER166" s="399">
        <v>0</v>
      </c>
      <c r="ES166" s="399"/>
      <c r="ET166" s="399">
        <v>0</v>
      </c>
      <c r="EU166" s="399"/>
      <c r="EV166" s="399">
        <v>230</v>
      </c>
      <c r="EW166" s="399"/>
      <c r="EX166" s="399"/>
      <c r="EY166" s="399"/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165</v>
      </c>
      <c r="B167" s="399" t="s">
        <v>956</v>
      </c>
      <c r="C167" s="399" t="s">
        <v>2328</v>
      </c>
      <c r="D167" s="399" t="s">
        <v>2342</v>
      </c>
      <c r="E167" s="399" t="s">
        <v>2343</v>
      </c>
      <c r="F167" s="399" t="s">
        <v>2344</v>
      </c>
      <c r="G167" s="399" t="s">
        <v>1239</v>
      </c>
      <c r="H167" s="399" t="s">
        <v>1239</v>
      </c>
      <c r="I167" s="399" t="s">
        <v>1239</v>
      </c>
      <c r="J167" s="399" t="s">
        <v>2329</v>
      </c>
      <c r="K167" s="789">
        <v>44531</v>
      </c>
      <c r="L167" s="399">
        <v>0</v>
      </c>
      <c r="M167" s="399">
        <v>0</v>
      </c>
      <c r="N167" s="399">
        <v>747.09400000000005</v>
      </c>
      <c r="O167" s="399">
        <v>747.09400000000005</v>
      </c>
      <c r="P167" s="399">
        <v>747.09400000000005</v>
      </c>
      <c r="Q167" s="399">
        <v>747.09400000000005</v>
      </c>
      <c r="R167" s="399"/>
      <c r="S167" s="399">
        <v>183.49</v>
      </c>
      <c r="T167" s="399">
        <v>70.459999999999994</v>
      </c>
      <c r="U167" s="399"/>
      <c r="V167" s="399">
        <v>189724.52130000002</v>
      </c>
      <c r="W167" s="399">
        <v>189724.52130000002</v>
      </c>
      <c r="X167" s="399">
        <v>165600.85604000001</v>
      </c>
      <c r="Y167" s="399">
        <v>0</v>
      </c>
      <c r="Z167" s="399">
        <v>25153.779196525851</v>
      </c>
      <c r="AA167" s="399">
        <v>0</v>
      </c>
      <c r="AB167" s="399">
        <v>0</v>
      </c>
      <c r="AC167" s="399">
        <v>0</v>
      </c>
      <c r="AD167" s="399">
        <v>0</v>
      </c>
      <c r="AE167" s="399">
        <v>79918.818510346886</v>
      </c>
      <c r="AF167" s="399">
        <v>52641.046764886807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3884.60320630968</v>
      </c>
      <c r="AM167" s="399"/>
      <c r="AN167" s="399">
        <v>353.53485334346317</v>
      </c>
      <c r="AO167" s="399">
        <v>1428.3025964366898</v>
      </c>
      <c r="AP167" s="399">
        <v>7619.2004830307533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5575.2666431400212</v>
      </c>
      <c r="BH167" s="399">
        <v>0</v>
      </c>
      <c r="BI167" s="399">
        <v>0</v>
      </c>
      <c r="BJ167" s="399">
        <v>0</v>
      </c>
      <c r="BK167" s="399">
        <v>90562.62</v>
      </c>
      <c r="BL167" s="399">
        <v>13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58216.313408026828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165599.9694</v>
      </c>
      <c r="CJ167" s="399">
        <v>-24124.581900000048</v>
      </c>
      <c r="CK167" s="399"/>
      <c r="CL167" s="399"/>
      <c r="CM167" s="399"/>
      <c r="CN167" s="399"/>
      <c r="CO167" s="399">
        <v>-26529.307940000017</v>
      </c>
      <c r="CP167" s="399">
        <v>2405.6426800000099</v>
      </c>
      <c r="CQ167" s="399"/>
      <c r="CR167" s="399">
        <v>592.15738212688302</v>
      </c>
      <c r="CS167" s="399">
        <v>104.26010515095004</v>
      </c>
      <c r="CT167" s="399">
        <v>556.1697118725715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0</v>
      </c>
      <c r="DA167" s="399">
        <v>0</v>
      </c>
      <c r="DB167" s="399">
        <v>0</v>
      </c>
      <c r="DC167" s="399">
        <v>2407.6514974633683</v>
      </c>
      <c r="DD167" s="399">
        <v>0</v>
      </c>
      <c r="DE167" s="399">
        <v>0</v>
      </c>
      <c r="DF167" s="399">
        <v>0</v>
      </c>
      <c r="DG167" s="399">
        <v>254.99681155785038</v>
      </c>
      <c r="DH167" s="399">
        <v>0</v>
      </c>
      <c r="DI167" s="399">
        <v>-2379.3257195614569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-310.17228406632876</v>
      </c>
      <c r="DP167" s="399">
        <v>-41.42274029006677</v>
      </c>
      <c r="DQ167" s="399">
        <v>0</v>
      </c>
      <c r="DR167" s="399">
        <v>0</v>
      </c>
      <c r="DS167" s="399"/>
      <c r="DT167" s="399"/>
      <c r="DU167" s="399"/>
      <c r="DV167" s="399">
        <v>79918.818510346886</v>
      </c>
      <c r="DW167" s="399">
        <v>0</v>
      </c>
      <c r="DX167" s="399">
        <v>0</v>
      </c>
      <c r="DY167" s="399">
        <v>-26529.307940000013</v>
      </c>
      <c r="DZ167" s="399">
        <v>2405.6426800000118</v>
      </c>
      <c r="EA167" s="399">
        <v>0</v>
      </c>
      <c r="EB167" s="399">
        <v>0</v>
      </c>
      <c r="EC167" s="399">
        <v>-24710.972601359565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13148.244148410562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230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166</v>
      </c>
      <c r="B168" s="399" t="s">
        <v>956</v>
      </c>
      <c r="C168" s="399" t="s">
        <v>2328</v>
      </c>
      <c r="D168" s="399" t="s">
        <v>1826</v>
      </c>
      <c r="E168" s="399" t="s">
        <v>921</v>
      </c>
      <c r="F168" s="399" t="s">
        <v>2345</v>
      </c>
      <c r="G168" s="399" t="s">
        <v>1239</v>
      </c>
      <c r="H168" s="399" t="s">
        <v>1239</v>
      </c>
      <c r="I168" s="399" t="s">
        <v>1239</v>
      </c>
      <c r="J168" s="399" t="s">
        <v>2329</v>
      </c>
      <c r="K168" s="789">
        <v>44531</v>
      </c>
      <c r="L168" s="399">
        <v>0</v>
      </c>
      <c r="M168" s="399">
        <v>0</v>
      </c>
      <c r="N168" s="399">
        <v>73.266000000000005</v>
      </c>
      <c r="O168" s="399">
        <v>68.870040000000003</v>
      </c>
      <c r="P168" s="399">
        <v>73.266000000000005</v>
      </c>
      <c r="Q168" s="399">
        <v>68.870040000000003</v>
      </c>
      <c r="R168" s="399"/>
      <c r="S168" s="399">
        <v>333.61</v>
      </c>
      <c r="T168" s="399">
        <v>128.11000000000001</v>
      </c>
      <c r="U168" s="399"/>
      <c r="V168" s="399">
        <v>33828.377520000002</v>
      </c>
      <c r="W168" s="399">
        <v>33828.377520000002</v>
      </c>
      <c r="X168" s="399">
        <v>29528.395980000001</v>
      </c>
      <c r="Y168" s="399">
        <v>0</v>
      </c>
      <c r="Z168" s="399">
        <v>4485.0551521511416</v>
      </c>
      <c r="AA168" s="399">
        <v>0</v>
      </c>
      <c r="AB168" s="399">
        <v>0</v>
      </c>
      <c r="AC168" s="399">
        <v>0</v>
      </c>
      <c r="AD168" s="399">
        <v>0</v>
      </c>
      <c r="AE168" s="399">
        <v>14249.958462033745</v>
      </c>
      <c r="AF168" s="399">
        <v>9386.1839273874575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692.645804369963</v>
      </c>
      <c r="AM168" s="399"/>
      <c r="AN168" s="399">
        <v>63.037180340364095</v>
      </c>
      <c r="AO168" s="399">
        <v>254.67409365921429</v>
      </c>
      <c r="AP168" s="399">
        <v>1358.544738534137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994.10025774120231</v>
      </c>
      <c r="BH168" s="399">
        <v>0</v>
      </c>
      <c r="BI168" s="399">
        <v>0</v>
      </c>
      <c r="BJ168" s="399">
        <v>0</v>
      </c>
      <c r="BK168" s="399">
        <v>12719.93</v>
      </c>
      <c r="BL168" s="399">
        <v>28</v>
      </c>
      <c r="BM168" s="399"/>
      <c r="BN168" s="399"/>
      <c r="BO168" s="399"/>
      <c r="BP168" s="399"/>
      <c r="BQ168" s="399">
        <v>1771.703758800001</v>
      </c>
      <c r="BR168" s="399"/>
      <c r="BS168" s="399"/>
      <c r="BT168" s="399"/>
      <c r="BU168" s="399"/>
      <c r="BV168" s="399">
        <v>10380.284185128659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27756.676100000004</v>
      </c>
      <c r="CJ168" s="399">
        <v>-4042.0287687999953</v>
      </c>
      <c r="CK168" s="399"/>
      <c r="CL168" s="399"/>
      <c r="CM168" s="399"/>
      <c r="CN168" s="399"/>
      <c r="CO168" s="399">
        <v>-4729.3203000000012</v>
      </c>
      <c r="CP168" s="399">
        <v>429.33875999999896</v>
      </c>
      <c r="CQ168" s="399"/>
      <c r="CR168" s="399">
        <v>105.5848704420423</v>
      </c>
      <c r="CS168" s="399">
        <v>18.590141788144138</v>
      </c>
      <c r="CT168" s="399">
        <v>99.168073799776266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0</v>
      </c>
      <c r="DA168" s="399">
        <v>0</v>
      </c>
      <c r="DB168" s="399">
        <v>0</v>
      </c>
      <c r="DC168" s="399">
        <v>429.29731031329356</v>
      </c>
      <c r="DD168" s="399">
        <v>0</v>
      </c>
      <c r="DE168" s="399">
        <v>0</v>
      </c>
      <c r="DF168" s="399">
        <v>0</v>
      </c>
      <c r="DG168" s="399">
        <v>45.467313461089816</v>
      </c>
      <c r="DH168" s="399">
        <v>0</v>
      </c>
      <c r="DI168" s="399">
        <v>-424.24667060123329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-55.305399233938715</v>
      </c>
      <c r="DP168" s="399">
        <v>-7.3858990850902657</v>
      </c>
      <c r="DQ168" s="399">
        <v>0</v>
      </c>
      <c r="DR168" s="399">
        <v>0</v>
      </c>
      <c r="DS168" s="399"/>
      <c r="DT168" s="399"/>
      <c r="DU168" s="399"/>
      <c r="DV168" s="399">
        <v>14249.958462033745</v>
      </c>
      <c r="DW168" s="399">
        <v>0</v>
      </c>
      <c r="DX168" s="399">
        <v>0</v>
      </c>
      <c r="DY168" s="399">
        <v>-4729.3202999999994</v>
      </c>
      <c r="DZ168" s="399">
        <v>429.33875999999873</v>
      </c>
      <c r="EA168" s="399">
        <v>0</v>
      </c>
      <c r="EB168" s="399">
        <v>0</v>
      </c>
      <c r="EC168" s="399">
        <v>-4406.1003364337448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2344.4031888343284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230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167</v>
      </c>
      <c r="B169" s="399" t="s">
        <v>956</v>
      </c>
      <c r="C169" s="399" t="s">
        <v>2336</v>
      </c>
      <c r="D169" s="399" t="s">
        <v>533</v>
      </c>
      <c r="E169" s="399" t="s">
        <v>921</v>
      </c>
      <c r="F169" s="399" t="s">
        <v>2345</v>
      </c>
      <c r="G169" s="399" t="s">
        <v>1239</v>
      </c>
      <c r="H169" s="399" t="s">
        <v>1239</v>
      </c>
      <c r="I169" s="399" t="s">
        <v>893</v>
      </c>
      <c r="J169" s="399" t="s">
        <v>2329</v>
      </c>
      <c r="K169" s="789">
        <v>44531</v>
      </c>
      <c r="L169" s="399">
        <v>386</v>
      </c>
      <c r="M169" s="399">
        <v>362.84</v>
      </c>
      <c r="N169" s="399">
        <v>21.445</v>
      </c>
      <c r="O169" s="399">
        <v>20.158300000000001</v>
      </c>
      <c r="P169" s="399">
        <v>21.445</v>
      </c>
      <c r="Q169" s="399">
        <v>20.158300000000001</v>
      </c>
      <c r="R169" s="399">
        <v>52.19</v>
      </c>
      <c r="S169" s="399">
        <v>96.28</v>
      </c>
      <c r="T169" s="399">
        <v>128.11000000000001</v>
      </c>
      <c r="U169" s="399">
        <v>20145.34</v>
      </c>
      <c r="V169" s="399">
        <v>4812.0435500000003</v>
      </c>
      <c r="W169" s="399">
        <v>24957.383550000002</v>
      </c>
      <c r="X169" s="399">
        <v>19539.444800000001</v>
      </c>
      <c r="Y169" s="399">
        <v>0</v>
      </c>
      <c r="Z169" s="399">
        <v>1142.1170356230273</v>
      </c>
      <c r="AA169" s="399">
        <v>0</v>
      </c>
      <c r="AB169" s="399">
        <v>0</v>
      </c>
      <c r="AC169" s="399">
        <v>0</v>
      </c>
      <c r="AD169" s="399">
        <v>0</v>
      </c>
      <c r="AE169" s="399">
        <v>18039.187560034698</v>
      </c>
      <c r="AF169" s="399">
        <v>2747.3413905880493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202.73782211003544</v>
      </c>
      <c r="AM169" s="399"/>
      <c r="AN169" s="399">
        <v>10.542375996982814</v>
      </c>
      <c r="AO169" s="399">
        <v>333.36103897328263</v>
      </c>
      <c r="AP169" s="399">
        <v>1773.3936491768616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112.34210541336856</v>
      </c>
      <c r="BH169" s="399">
        <v>0</v>
      </c>
      <c r="BI169" s="399">
        <v>0</v>
      </c>
      <c r="BJ169" s="399">
        <v>0</v>
      </c>
      <c r="BK169" s="399">
        <v>0</v>
      </c>
      <c r="BL169" s="399">
        <v>0</v>
      </c>
      <c r="BM169" s="399"/>
      <c r="BN169" s="399"/>
      <c r="BO169" s="399"/>
      <c r="BP169" s="399"/>
      <c r="BQ169" s="399">
        <v>1172.366688000001</v>
      </c>
      <c r="BR169" s="399"/>
      <c r="BS169" s="399"/>
      <c r="BT169" s="399"/>
      <c r="BU169" s="399"/>
      <c r="BV169" s="399">
        <v>2859.683496001418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18367.46</v>
      </c>
      <c r="CJ169" s="399">
        <v>-5092.5105369999947</v>
      </c>
      <c r="CK169" s="399"/>
      <c r="CL169" s="399"/>
      <c r="CM169" s="399"/>
      <c r="CN169" s="399"/>
      <c r="CO169" s="399">
        <v>-5543.6064499999993</v>
      </c>
      <c r="CP169" s="399">
        <v>125.66769999999968</v>
      </c>
      <c r="CQ169" s="399"/>
      <c r="CR169" s="399">
        <v>159.12069558453368</v>
      </c>
      <c r="CS169" s="399">
        <v>24.333959108730255</v>
      </c>
      <c r="CT169" s="399">
        <v>129.45030611753623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0</v>
      </c>
      <c r="DA169" s="399">
        <v>0</v>
      </c>
      <c r="DB169" s="399">
        <v>0</v>
      </c>
      <c r="DC169" s="399">
        <v>125.65556765305291</v>
      </c>
      <c r="DD169" s="399">
        <v>0</v>
      </c>
      <c r="DE169" s="399">
        <v>0</v>
      </c>
      <c r="DF169" s="399">
        <v>0</v>
      </c>
      <c r="DG169" s="399">
        <v>5.1382078235400002</v>
      </c>
      <c r="DH169" s="399">
        <v>0</v>
      </c>
      <c r="DI169" s="399">
        <v>-108.03420099920754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-16.187921908822858</v>
      </c>
      <c r="DP169" s="399">
        <v>-1.2352222102950527</v>
      </c>
      <c r="DQ169" s="399">
        <v>0</v>
      </c>
      <c r="DR169" s="399">
        <v>0</v>
      </c>
      <c r="DS169" s="399"/>
      <c r="DT169" s="399"/>
      <c r="DU169" s="399">
        <v>18039.187560034698</v>
      </c>
      <c r="DV169" s="399">
        <v>0</v>
      </c>
      <c r="DW169" s="399">
        <v>0</v>
      </c>
      <c r="DX169" s="399">
        <v>0</v>
      </c>
      <c r="DY169" s="399">
        <v>-5543.6064499999993</v>
      </c>
      <c r="DZ169" s="399">
        <v>125.66769999999951</v>
      </c>
      <c r="EA169" s="399">
        <v>0</v>
      </c>
      <c r="EB169" s="399">
        <v>0</v>
      </c>
      <c r="EC169" s="399">
        <v>-5577.7334782431626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597.00109129146301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230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168</v>
      </c>
      <c r="B170" s="399" t="s">
        <v>956</v>
      </c>
      <c r="C170" s="399" t="s">
        <v>2336</v>
      </c>
      <c r="D170" s="399" t="s">
        <v>533</v>
      </c>
      <c r="E170" s="399" t="s">
        <v>921</v>
      </c>
      <c r="F170" s="399" t="s">
        <v>2345</v>
      </c>
      <c r="G170" s="399" t="s">
        <v>1239</v>
      </c>
      <c r="H170" s="399" t="s">
        <v>1239</v>
      </c>
      <c r="I170" s="399" t="s">
        <v>2326</v>
      </c>
      <c r="J170" s="399" t="s">
        <v>2329</v>
      </c>
      <c r="K170" s="789">
        <v>44531</v>
      </c>
      <c r="L170" s="399">
        <v>447</v>
      </c>
      <c r="M170" s="399">
        <v>420.18</v>
      </c>
      <c r="N170" s="399">
        <v>145.358</v>
      </c>
      <c r="O170" s="399">
        <v>136.63651999999999</v>
      </c>
      <c r="P170" s="399">
        <v>145.358</v>
      </c>
      <c r="Q170" s="399">
        <v>136.63651999999999</v>
      </c>
      <c r="R170" s="399">
        <v>18.12</v>
      </c>
      <c r="S170" s="399">
        <v>96.28</v>
      </c>
      <c r="T170" s="399">
        <v>128.11000000000001</v>
      </c>
      <c r="U170" s="399">
        <v>8099.64</v>
      </c>
      <c r="V170" s="399">
        <v>32616.881620000004</v>
      </c>
      <c r="W170" s="399">
        <v>40716.52162</v>
      </c>
      <c r="X170" s="399">
        <v>39112.371119999996</v>
      </c>
      <c r="Y170" s="399">
        <v>0</v>
      </c>
      <c r="Z170" s="399">
        <v>7741.4711151360225</v>
      </c>
      <c r="AA170" s="399">
        <v>0</v>
      </c>
      <c r="AB170" s="399">
        <v>0</v>
      </c>
      <c r="AC170" s="399">
        <v>0</v>
      </c>
      <c r="AD170" s="399">
        <v>0</v>
      </c>
      <c r="AE170" s="399">
        <v>5837.3454281401446</v>
      </c>
      <c r="AF170" s="399">
        <v>18621.965486271751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1374.192788354886</v>
      </c>
      <c r="AM170" s="399"/>
      <c r="AN170" s="399">
        <v>71.458087674023218</v>
      </c>
      <c r="AO170" s="399">
        <v>355.30707415057924</v>
      </c>
      <c r="AP170" s="399">
        <v>1904.8105048128739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761.47464484385296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>
        <v>2346.742267200003</v>
      </c>
      <c r="BR170" s="399"/>
      <c r="BS170" s="399"/>
      <c r="BT170" s="399"/>
      <c r="BU170" s="399"/>
      <c r="BV170" s="399">
        <v>19383.440131115603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36766.410599999996</v>
      </c>
      <c r="CJ170" s="399">
        <v>-1507.149722800008</v>
      </c>
      <c r="CK170" s="399"/>
      <c r="CL170" s="399"/>
      <c r="CM170" s="399"/>
      <c r="CN170" s="399"/>
      <c r="CO170" s="399">
        <v>-2455.9483800000007</v>
      </c>
      <c r="CP170" s="399">
        <v>851.79787999999792</v>
      </c>
      <c r="CQ170" s="399"/>
      <c r="CR170" s="399">
        <v>201.15038176841335</v>
      </c>
      <c r="CS170" s="399">
        <v>25.935927725842078</v>
      </c>
      <c r="CT170" s="399">
        <v>139.04318596064581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851.71564480822781</v>
      </c>
      <c r="DD170" s="399">
        <v>0</v>
      </c>
      <c r="DE170" s="399">
        <v>0</v>
      </c>
      <c r="DF170" s="399">
        <v>0</v>
      </c>
      <c r="DG170" s="399">
        <v>34.827680709448714</v>
      </c>
      <c r="DH170" s="399">
        <v>0</v>
      </c>
      <c r="DI170" s="399">
        <v>-732.27490738367032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-109.72459560842503</v>
      </c>
      <c r="DP170" s="399">
        <v>-8.3725544436497259</v>
      </c>
      <c r="DQ170" s="399">
        <v>0</v>
      </c>
      <c r="DR170" s="399">
        <v>0</v>
      </c>
      <c r="DS170" s="399"/>
      <c r="DT170" s="399"/>
      <c r="DU170" s="399">
        <v>5837.3454281401446</v>
      </c>
      <c r="DV170" s="399">
        <v>0</v>
      </c>
      <c r="DW170" s="399">
        <v>0</v>
      </c>
      <c r="DX170" s="399">
        <v>0</v>
      </c>
      <c r="DY170" s="399">
        <v>-2455.9483800000016</v>
      </c>
      <c r="DZ170" s="399">
        <v>851.79787999999826</v>
      </c>
      <c r="EA170" s="399">
        <v>0</v>
      </c>
      <c r="EB170" s="399">
        <v>0</v>
      </c>
      <c r="EC170" s="399">
        <v>-1804.9126054180488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4046.5789054765442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230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169</v>
      </c>
      <c r="B171" s="399" t="s">
        <v>956</v>
      </c>
      <c r="C171" s="399" t="s">
        <v>2336</v>
      </c>
      <c r="D171" s="399" t="s">
        <v>533</v>
      </c>
      <c r="E171" s="399" t="s">
        <v>921</v>
      </c>
      <c r="F171" s="399" t="s">
        <v>2345</v>
      </c>
      <c r="G171" s="399" t="s">
        <v>1239</v>
      </c>
      <c r="H171" s="399" t="s">
        <v>1239</v>
      </c>
      <c r="I171" s="399" t="s">
        <v>1239</v>
      </c>
      <c r="J171" s="399" t="s">
        <v>2329</v>
      </c>
      <c r="K171" s="789">
        <v>44531</v>
      </c>
      <c r="L171" s="399">
        <v>0</v>
      </c>
      <c r="M171" s="399">
        <v>0</v>
      </c>
      <c r="N171" s="399">
        <v>0</v>
      </c>
      <c r="O171" s="399">
        <v>0</v>
      </c>
      <c r="P171" s="399">
        <v>0</v>
      </c>
      <c r="Q171" s="399">
        <v>0</v>
      </c>
      <c r="R171" s="399"/>
      <c r="S171" s="399"/>
      <c r="T171" s="399"/>
      <c r="U171" s="399"/>
      <c r="V171" s="399"/>
      <c r="W171" s="399"/>
      <c r="X171" s="399"/>
      <c r="Y171" s="399"/>
      <c r="Z171" s="399"/>
      <c r="AA171" s="399">
        <v>0</v>
      </c>
      <c r="AB171" s="399"/>
      <c r="AC171" s="399"/>
      <c r="AD171" s="399"/>
      <c r="AE171" s="399"/>
      <c r="AF171" s="399"/>
      <c r="AG171" s="399"/>
      <c r="AH171" s="399"/>
      <c r="AI171" s="399"/>
      <c r="AJ171" s="399"/>
      <c r="AK171" s="399"/>
      <c r="AL171" s="399"/>
      <c r="AM171" s="399"/>
      <c r="AN171" s="399"/>
      <c r="AO171" s="399"/>
      <c r="AP171" s="399"/>
      <c r="AQ171" s="399"/>
      <c r="AR171" s="399"/>
      <c r="AS171" s="399"/>
      <c r="AT171" s="399"/>
      <c r="AU171" s="399"/>
      <c r="AV171" s="399"/>
      <c r="AW171" s="399"/>
      <c r="AX171" s="399"/>
      <c r="AY171" s="399"/>
      <c r="AZ171" s="399">
        <v>0</v>
      </c>
      <c r="BA171" s="399"/>
      <c r="BB171" s="399"/>
      <c r="BC171" s="399"/>
      <c r="BD171" s="399"/>
      <c r="BE171" s="399"/>
      <c r="BF171" s="399"/>
      <c r="BG171" s="399"/>
      <c r="BH171" s="399"/>
      <c r="BI171" s="399">
        <v>0</v>
      </c>
      <c r="BJ171" s="399">
        <v>0</v>
      </c>
      <c r="BK171" s="399">
        <v>25777.85</v>
      </c>
      <c r="BL171" s="399">
        <v>2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/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/>
      <c r="CJ171" s="399">
        <v>-0.03</v>
      </c>
      <c r="CK171" s="399"/>
      <c r="CL171" s="399"/>
      <c r="CM171" s="399"/>
      <c r="CN171" s="399"/>
      <c r="CO171" s="399">
        <v>0</v>
      </c>
      <c r="CP171" s="399">
        <v>0</v>
      </c>
      <c r="CQ171" s="399"/>
      <c r="CR171" s="399"/>
      <c r="CS171" s="399"/>
      <c r="CT171" s="399"/>
      <c r="CU171" s="399"/>
      <c r="CV171" s="399"/>
      <c r="CW171" s="399"/>
      <c r="CX171" s="399"/>
      <c r="CY171" s="399"/>
      <c r="CZ171" s="399"/>
      <c r="DA171" s="399"/>
      <c r="DB171" s="399"/>
      <c r="DC171" s="399"/>
      <c r="DD171" s="399"/>
      <c r="DE171" s="399"/>
      <c r="DF171" s="399"/>
      <c r="DG171" s="399"/>
      <c r="DH171" s="399"/>
      <c r="DI171" s="399"/>
      <c r="DJ171" s="399"/>
      <c r="DK171" s="399">
        <v>0</v>
      </c>
      <c r="DL171" s="399"/>
      <c r="DM171" s="399"/>
      <c r="DN171" s="399"/>
      <c r="DO171" s="399"/>
      <c r="DP171" s="399"/>
      <c r="DQ171" s="399"/>
      <c r="DR171" s="399"/>
      <c r="DS171" s="399"/>
      <c r="DT171" s="399"/>
      <c r="DU171" s="399"/>
      <c r="DV171" s="399"/>
      <c r="DW171" s="399"/>
      <c r="DX171" s="399"/>
      <c r="DY171" s="399"/>
      <c r="DZ171" s="399"/>
      <c r="EA171" s="399"/>
      <c r="EB171" s="399"/>
      <c r="EC171" s="399"/>
      <c r="ED171" s="399"/>
      <c r="EE171" s="399"/>
      <c r="EF171" s="399"/>
      <c r="EG171" s="399"/>
      <c r="EH171" s="399"/>
      <c r="EI171" s="399"/>
      <c r="EJ171" s="399"/>
      <c r="EK171" s="399"/>
      <c r="EL171" s="399"/>
      <c r="EM171" s="399"/>
      <c r="EN171" s="399"/>
      <c r="EO171" s="399"/>
      <c r="EP171" s="399"/>
      <c r="EQ171" s="399"/>
      <c r="ER171" s="399"/>
      <c r="ES171" s="399"/>
      <c r="ET171" s="399"/>
      <c r="EU171" s="399"/>
      <c r="EV171" s="399">
        <v>230</v>
      </c>
      <c r="EW171" s="399"/>
      <c r="EX171" s="399"/>
      <c r="EY171" s="399"/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170</v>
      </c>
      <c r="B172" s="399" t="s">
        <v>956</v>
      </c>
      <c r="C172" s="399" t="s">
        <v>2328</v>
      </c>
      <c r="D172" s="399" t="s">
        <v>1826</v>
      </c>
      <c r="E172" s="399" t="s">
        <v>2346</v>
      </c>
      <c r="F172" s="399" t="s">
        <v>1239</v>
      </c>
      <c r="G172" s="399" t="s">
        <v>1239</v>
      </c>
      <c r="H172" s="399" t="s">
        <v>1239</v>
      </c>
      <c r="I172" s="399" t="s">
        <v>1239</v>
      </c>
      <c r="J172" s="399" t="s">
        <v>2329</v>
      </c>
      <c r="K172" s="789">
        <v>44531</v>
      </c>
      <c r="L172" s="399">
        <v>0</v>
      </c>
      <c r="M172" s="399">
        <v>0</v>
      </c>
      <c r="N172" s="399">
        <v>0.76400000000000001</v>
      </c>
      <c r="O172" s="399">
        <v>0.76400000000000001</v>
      </c>
      <c r="P172" s="399">
        <v>0.76400000000000001</v>
      </c>
      <c r="Q172" s="399">
        <v>0.76400000000000001</v>
      </c>
      <c r="R172" s="399"/>
      <c r="S172" s="399">
        <v>333.61</v>
      </c>
      <c r="T172" s="399">
        <v>128.11000000000001</v>
      </c>
      <c r="U172" s="399"/>
      <c r="V172" s="399">
        <v>352.75408000000004</v>
      </c>
      <c r="W172" s="399">
        <v>352.75408000000004</v>
      </c>
      <c r="X172" s="399">
        <v>307.91492000000005</v>
      </c>
      <c r="Y172" s="399">
        <v>0</v>
      </c>
      <c r="Z172" s="399">
        <v>46.769062542563695</v>
      </c>
      <c r="AA172" s="399">
        <v>0</v>
      </c>
      <c r="AB172" s="399">
        <v>0</v>
      </c>
      <c r="AC172" s="399">
        <v>0</v>
      </c>
      <c r="AD172" s="399">
        <v>0</v>
      </c>
      <c r="AE172" s="399">
        <v>148.59509547394126</v>
      </c>
      <c r="AF172" s="399">
        <v>97.876839468839805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7.2227417156478007</v>
      </c>
      <c r="AM172" s="399"/>
      <c r="AN172" s="399">
        <v>0.65733636038596577</v>
      </c>
      <c r="AO172" s="399">
        <v>2.6556794086703208</v>
      </c>
      <c r="AP172" s="399">
        <v>14.166573584474115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10.366235319442559</v>
      </c>
      <c r="BH172" s="399">
        <v>0</v>
      </c>
      <c r="BI172" s="399">
        <v>0</v>
      </c>
      <c r="BJ172" s="399">
        <v>0</v>
      </c>
      <c r="BK172" s="399">
        <v>138.78</v>
      </c>
      <c r="BL172" s="399">
        <v>2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108.24307478828237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306.30279999999999</v>
      </c>
      <c r="CJ172" s="399">
        <v>-46.481280000000027</v>
      </c>
      <c r="CK172" s="399"/>
      <c r="CL172" s="399"/>
      <c r="CM172" s="399"/>
      <c r="CN172" s="399"/>
      <c r="CO172" s="399">
        <v>-49.316200000000009</v>
      </c>
      <c r="CP172" s="399">
        <v>4.477039999999989</v>
      </c>
      <c r="CQ172" s="399"/>
      <c r="CR172" s="399">
        <v>1.1010133079152808</v>
      </c>
      <c r="CS172" s="399">
        <v>0.19385346990612451</v>
      </c>
      <c r="CT172" s="399">
        <v>1.034100515696629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0</v>
      </c>
      <c r="DA172" s="399">
        <v>0</v>
      </c>
      <c r="DB172" s="399">
        <v>0</v>
      </c>
      <c r="DC172" s="399">
        <v>4.476607772764396</v>
      </c>
      <c r="DD172" s="399">
        <v>0</v>
      </c>
      <c r="DE172" s="399">
        <v>0</v>
      </c>
      <c r="DF172" s="399">
        <v>0</v>
      </c>
      <c r="DG172" s="399">
        <v>0.47412206868496476</v>
      </c>
      <c r="DH172" s="399">
        <v>0</v>
      </c>
      <c r="DI172" s="399">
        <v>-4.4239409322106056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-0.5767112305125055</v>
      </c>
      <c r="DP172" s="399">
        <v>-7.7018356413738442E-2</v>
      </c>
      <c r="DQ172" s="399">
        <v>0</v>
      </c>
      <c r="DR172" s="399">
        <v>0</v>
      </c>
      <c r="DS172" s="399"/>
      <c r="DT172" s="399"/>
      <c r="DU172" s="399"/>
      <c r="DV172" s="399">
        <v>148.59509547394126</v>
      </c>
      <c r="DW172" s="399">
        <v>0</v>
      </c>
      <c r="DX172" s="399">
        <v>0</v>
      </c>
      <c r="DY172" s="399">
        <v>-49.316200000000009</v>
      </c>
      <c r="DZ172" s="399">
        <v>4.4770399999999881</v>
      </c>
      <c r="EA172" s="399">
        <v>0</v>
      </c>
      <c r="EB172" s="399">
        <v>0</v>
      </c>
      <c r="EC172" s="399">
        <v>-45.945740958089445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24.446865343671373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230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171</v>
      </c>
      <c r="B173" s="399" t="s">
        <v>956</v>
      </c>
      <c r="C173" s="399" t="s">
        <v>2337</v>
      </c>
      <c r="D173" s="399" t="s">
        <v>533</v>
      </c>
      <c r="E173" s="399" t="s">
        <v>2346</v>
      </c>
      <c r="F173" s="399" t="s">
        <v>1239</v>
      </c>
      <c r="G173" s="399" t="s">
        <v>1239</v>
      </c>
      <c r="H173" s="399" t="s">
        <v>1239</v>
      </c>
      <c r="I173" s="399" t="s">
        <v>893</v>
      </c>
      <c r="J173" s="399" t="s">
        <v>2329</v>
      </c>
      <c r="K173" s="789">
        <v>44531</v>
      </c>
      <c r="L173" s="399">
        <v>0</v>
      </c>
      <c r="M173" s="399">
        <v>0</v>
      </c>
      <c r="N173" s="399">
        <v>1.1830000000000001</v>
      </c>
      <c r="O173" s="399">
        <v>1.1830000000000001</v>
      </c>
      <c r="P173" s="399">
        <v>1.1830000000000001</v>
      </c>
      <c r="Q173" s="399">
        <v>1.1830000000000001</v>
      </c>
      <c r="R173" s="399"/>
      <c r="S173" s="399">
        <v>1351.49</v>
      </c>
      <c r="T173" s="399">
        <v>128.11000000000001</v>
      </c>
      <c r="U173" s="399"/>
      <c r="V173" s="399">
        <v>1750.3668</v>
      </c>
      <c r="W173" s="399">
        <v>1750.3668</v>
      </c>
      <c r="X173" s="399">
        <v>1350.8795300000002</v>
      </c>
      <c r="Y173" s="399">
        <v>0</v>
      </c>
      <c r="Z173" s="399">
        <v>63.004171281979076</v>
      </c>
      <c r="AA173" s="399">
        <v>0</v>
      </c>
      <c r="AB173" s="399">
        <v>0</v>
      </c>
      <c r="AC173" s="399">
        <v>0</v>
      </c>
      <c r="AD173" s="399">
        <v>0</v>
      </c>
      <c r="AE173" s="399">
        <v>1329.6264984040313</v>
      </c>
      <c r="AF173" s="399">
        <v>151.55536792099147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11.183905038758308</v>
      </c>
      <c r="AM173" s="399"/>
      <c r="AN173" s="399">
        <v>0.58156357213479448</v>
      </c>
      <c r="AO173" s="399">
        <v>24.573901940322209</v>
      </c>
      <c r="AP173" s="399">
        <v>130.71212768835233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6.1972819167178832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157.75264983770936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1347.4538</v>
      </c>
      <c r="CJ173" s="399">
        <v>-402.94299999999998</v>
      </c>
      <c r="CK173" s="399"/>
      <c r="CL173" s="399"/>
      <c r="CM173" s="399"/>
      <c r="CN173" s="399"/>
      <c r="CO173" s="399">
        <v>-406.41964999999999</v>
      </c>
      <c r="CP173" s="399">
        <v>6.9323799999999824</v>
      </c>
      <c r="CQ173" s="399"/>
      <c r="CR173" s="399">
        <v>11.629610376060441</v>
      </c>
      <c r="CS173" s="399">
        <v>1.793791880417281</v>
      </c>
      <c r="CT173" s="399">
        <v>9.5414376556417722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0</v>
      </c>
      <c r="DA173" s="399">
        <v>0</v>
      </c>
      <c r="DB173" s="399">
        <v>0</v>
      </c>
      <c r="DC173" s="399">
        <v>6.9317107266757603</v>
      </c>
      <c r="DD173" s="399">
        <v>0</v>
      </c>
      <c r="DE173" s="399">
        <v>0</v>
      </c>
      <c r="DF173" s="399">
        <v>0</v>
      </c>
      <c r="DG173" s="399">
        <v>0.2834460179644589</v>
      </c>
      <c r="DH173" s="399">
        <v>0</v>
      </c>
      <c r="DI173" s="399">
        <v>-5.959639066545229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-0.89299657813650946</v>
      </c>
      <c r="DP173" s="399">
        <v>-6.8140259957055083E-2</v>
      </c>
      <c r="DQ173" s="399">
        <v>0</v>
      </c>
      <c r="DR173" s="399">
        <v>0</v>
      </c>
      <c r="DS173" s="399"/>
      <c r="DT173" s="399"/>
      <c r="DU173" s="399"/>
      <c r="DV173" s="399">
        <v>1329.6264984040313</v>
      </c>
      <c r="DW173" s="399">
        <v>0</v>
      </c>
      <c r="DX173" s="399">
        <v>0</v>
      </c>
      <c r="DY173" s="399">
        <v>-406.41964999999982</v>
      </c>
      <c r="DZ173" s="399">
        <v>6.9323799999999949</v>
      </c>
      <c r="EA173" s="399">
        <v>0</v>
      </c>
      <c r="EB173" s="399">
        <v>0</v>
      </c>
      <c r="EC173" s="399">
        <v>-411.1217430954581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32.933191466439766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230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172</v>
      </c>
      <c r="B174" s="399" t="s">
        <v>956</v>
      </c>
      <c r="C174" s="399" t="s">
        <v>2337</v>
      </c>
      <c r="D174" s="399" t="s">
        <v>533</v>
      </c>
      <c r="E174" s="399" t="s">
        <v>2346</v>
      </c>
      <c r="F174" s="399" t="s">
        <v>1239</v>
      </c>
      <c r="G174" s="399" t="s">
        <v>1239</v>
      </c>
      <c r="H174" s="399" t="s">
        <v>1239</v>
      </c>
      <c r="I174" s="399" t="s">
        <v>2326</v>
      </c>
      <c r="J174" s="399" t="s">
        <v>2329</v>
      </c>
      <c r="K174" s="789">
        <v>44531</v>
      </c>
      <c r="L174" s="399">
        <v>0</v>
      </c>
      <c r="M174" s="399">
        <v>0</v>
      </c>
      <c r="N174" s="399">
        <v>15.787000000000001</v>
      </c>
      <c r="O174" s="399">
        <v>15.787000000000001</v>
      </c>
      <c r="P174" s="399">
        <v>15.787000000000001</v>
      </c>
      <c r="Q174" s="399">
        <v>15.787000000000001</v>
      </c>
      <c r="R174" s="399"/>
      <c r="S174" s="399">
        <v>96.28</v>
      </c>
      <c r="T174" s="399">
        <v>128.11000000000001</v>
      </c>
      <c r="U174" s="399"/>
      <c r="V174" s="399">
        <v>3542.4449300000006</v>
      </c>
      <c r="W174" s="399">
        <v>3542.4449300000006</v>
      </c>
      <c r="X174" s="399">
        <v>3546.3916800000002</v>
      </c>
      <c r="Y174" s="399">
        <v>0</v>
      </c>
      <c r="Z174" s="399">
        <v>840.78347593288561</v>
      </c>
      <c r="AA174" s="399">
        <v>0</v>
      </c>
      <c r="AB174" s="399">
        <v>0</v>
      </c>
      <c r="AC174" s="399">
        <v>0</v>
      </c>
      <c r="AD174" s="399">
        <v>0</v>
      </c>
      <c r="AE174" s="399">
        <v>0</v>
      </c>
      <c r="AF174" s="399">
        <v>2022.4890899143641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149.24793647242385</v>
      </c>
      <c r="AM174" s="399"/>
      <c r="AN174" s="399">
        <v>7.7608995040507196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82.702019965532742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2105.1911098798969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3547.0655999999999</v>
      </c>
      <c r="CJ174" s="399">
        <v>4.5906699999991361</v>
      </c>
      <c r="CK174" s="399"/>
      <c r="CL174" s="399"/>
      <c r="CM174" s="399"/>
      <c r="CN174" s="399"/>
      <c r="CO174" s="399">
        <v>-88.565069999999992</v>
      </c>
      <c r="CP174" s="399">
        <v>92.511819999999773</v>
      </c>
      <c r="CQ174" s="399"/>
      <c r="CR174" s="399">
        <v>3.9284787160627275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0</v>
      </c>
      <c r="DA174" s="399">
        <v>0</v>
      </c>
      <c r="DB174" s="399">
        <v>0</v>
      </c>
      <c r="DC174" s="399">
        <v>92.5028886238631</v>
      </c>
      <c r="DD174" s="399">
        <v>0</v>
      </c>
      <c r="DE174" s="399">
        <v>0</v>
      </c>
      <c r="DF174" s="399">
        <v>0</v>
      </c>
      <c r="DG174" s="399">
        <v>3.7825547638249333</v>
      </c>
      <c r="DH174" s="399">
        <v>0</v>
      </c>
      <c r="DI174" s="399">
        <v>-79.530703248985219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-11.916937429451451</v>
      </c>
      <c r="DP174" s="399">
        <v>-0.90932399318852841</v>
      </c>
      <c r="DQ174" s="399">
        <v>0</v>
      </c>
      <c r="DR174" s="399">
        <v>0</v>
      </c>
      <c r="DS174" s="399"/>
      <c r="DT174" s="399"/>
      <c r="DU174" s="399"/>
      <c r="DV174" s="399">
        <v>0</v>
      </c>
      <c r="DW174" s="399">
        <v>0</v>
      </c>
      <c r="DX174" s="399">
        <v>0</v>
      </c>
      <c r="DY174" s="399">
        <v>-88.565070000000105</v>
      </c>
      <c r="DZ174" s="399">
        <v>92.511819999999716</v>
      </c>
      <c r="EA174" s="399">
        <v>0</v>
      </c>
      <c r="EB174" s="399">
        <v>0</v>
      </c>
      <c r="EC174" s="399">
        <v>0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439.4896818940698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230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173</v>
      </c>
      <c r="B175" s="399" t="s">
        <v>956</v>
      </c>
      <c r="C175" s="399" t="s">
        <v>2337</v>
      </c>
      <c r="D175" s="399" t="s">
        <v>533</v>
      </c>
      <c r="E175" s="399" t="s">
        <v>2346</v>
      </c>
      <c r="F175" s="399" t="s">
        <v>1239</v>
      </c>
      <c r="G175" s="399" t="s">
        <v>1239</v>
      </c>
      <c r="H175" s="399" t="s">
        <v>1239</v>
      </c>
      <c r="I175" s="399" t="s">
        <v>1239</v>
      </c>
      <c r="J175" s="399" t="s">
        <v>2329</v>
      </c>
      <c r="K175" s="789">
        <v>44531</v>
      </c>
      <c r="L175" s="399">
        <v>95</v>
      </c>
      <c r="M175" s="399">
        <v>95</v>
      </c>
      <c r="N175" s="399">
        <v>0</v>
      </c>
      <c r="O175" s="399">
        <v>0</v>
      </c>
      <c r="P175" s="399">
        <v>0</v>
      </c>
      <c r="Q175" s="399">
        <v>0</v>
      </c>
      <c r="R175" s="399">
        <v>18.12</v>
      </c>
      <c r="S175" s="399"/>
      <c r="T175" s="399"/>
      <c r="U175" s="399">
        <v>1721.4</v>
      </c>
      <c r="V175" s="399"/>
      <c r="W175" s="399">
        <v>1721.4</v>
      </c>
      <c r="X175" s="399">
        <v>1372.75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0</v>
      </c>
      <c r="AE175" s="399">
        <v>1240.5991402087554</v>
      </c>
      <c r="AF175" s="399"/>
      <c r="AG175" s="399"/>
      <c r="AH175" s="399"/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0</v>
      </c>
      <c r="AO175" s="399">
        <v>75.512689137147717</v>
      </c>
      <c r="AP175" s="399">
        <v>404.82549878573383</v>
      </c>
      <c r="AQ175" s="399">
        <v>0</v>
      </c>
      <c r="AR175" s="399">
        <v>0</v>
      </c>
      <c r="AS175" s="399"/>
      <c r="AT175" s="399"/>
      <c r="AU175" s="399">
        <v>0</v>
      </c>
      <c r="AV175" s="399">
        <v>0</v>
      </c>
      <c r="AW175" s="399">
        <v>0</v>
      </c>
      <c r="AX175" s="399"/>
      <c r="AY175" s="399"/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/>
      <c r="BG175" s="399">
        <v>0</v>
      </c>
      <c r="BH175" s="399">
        <v>0</v>
      </c>
      <c r="BI175" s="399">
        <v>0</v>
      </c>
      <c r="BJ175" s="399">
        <v>0</v>
      </c>
      <c r="BK175" s="399">
        <v>2830.62</v>
      </c>
      <c r="BL175" s="399">
        <v>1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0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1372.75</v>
      </c>
      <c r="CJ175" s="399">
        <v>-348.68000000000006</v>
      </c>
      <c r="CK175" s="399"/>
      <c r="CL175" s="399"/>
      <c r="CM175" s="399"/>
      <c r="CN175" s="399"/>
      <c r="CO175" s="399">
        <v>-348.65000000000015</v>
      </c>
      <c r="CP175" s="399">
        <v>0</v>
      </c>
      <c r="CQ175" s="399"/>
      <c r="CR175" s="399">
        <v>35.062675168269209</v>
      </c>
      <c r="CS175" s="399">
        <v>5.5121099193624161</v>
      </c>
      <c r="CT175" s="399">
        <v>29.550565248906821</v>
      </c>
      <c r="CU175" s="399">
        <v>0</v>
      </c>
      <c r="CV175" s="399">
        <v>0</v>
      </c>
      <c r="CW175" s="399"/>
      <c r="CX175" s="399"/>
      <c r="CY175" s="399"/>
      <c r="CZ175" s="399">
        <v>0</v>
      </c>
      <c r="DA175" s="399">
        <v>0</v>
      </c>
      <c r="DB175" s="399">
        <v>0</v>
      </c>
      <c r="DC175" s="399"/>
      <c r="DD175" s="399"/>
      <c r="DE175" s="399">
        <v>0</v>
      </c>
      <c r="DF175" s="399">
        <v>0</v>
      </c>
      <c r="DG175" s="399">
        <v>0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/>
      <c r="DN175" s="399">
        <v>0</v>
      </c>
      <c r="DO175" s="399">
        <v>0</v>
      </c>
      <c r="DP175" s="399">
        <v>0</v>
      </c>
      <c r="DQ175" s="399">
        <v>0</v>
      </c>
      <c r="DR175" s="399">
        <v>0</v>
      </c>
      <c r="DS175" s="399"/>
      <c r="DT175" s="399"/>
      <c r="DU175" s="399">
        <v>1240.5991402087554</v>
      </c>
      <c r="DV175" s="399"/>
      <c r="DW175" s="399">
        <v>0</v>
      </c>
      <c r="DX175" s="399">
        <v>0</v>
      </c>
      <c r="DY175" s="399">
        <v>-348.65000000000009</v>
      </c>
      <c r="DZ175" s="399"/>
      <c r="EA175" s="399">
        <v>0</v>
      </c>
      <c r="EB175" s="399"/>
      <c r="EC175" s="399">
        <v>-383.59440159891403</v>
      </c>
      <c r="ED175" s="399"/>
      <c r="EE175" s="399">
        <v>0</v>
      </c>
      <c r="EF175" s="399">
        <v>0</v>
      </c>
      <c r="EG175" s="399"/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/>
      <c r="EN175" s="399"/>
      <c r="EO175" s="399">
        <v>0</v>
      </c>
      <c r="EP175" s="399">
        <v>0</v>
      </c>
      <c r="EQ175" s="399"/>
      <c r="ER175" s="399">
        <v>0</v>
      </c>
      <c r="ES175" s="399"/>
      <c r="ET175" s="399">
        <v>0</v>
      </c>
      <c r="EU175" s="399"/>
      <c r="EV175" s="399">
        <v>230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174</v>
      </c>
      <c r="B176" s="399" t="s">
        <v>956</v>
      </c>
      <c r="C176" s="399" t="s">
        <v>2328</v>
      </c>
      <c r="D176" s="399" t="s">
        <v>2340</v>
      </c>
      <c r="E176" s="399" t="s">
        <v>894</v>
      </c>
      <c r="F176" s="399" t="s">
        <v>2347</v>
      </c>
      <c r="G176" s="399" t="s">
        <v>2348</v>
      </c>
      <c r="H176" s="399" t="s">
        <v>1239</v>
      </c>
      <c r="I176" s="399" t="s">
        <v>1239</v>
      </c>
      <c r="J176" s="399" t="s">
        <v>2329</v>
      </c>
      <c r="K176" s="789">
        <v>44531</v>
      </c>
      <c r="L176" s="399">
        <v>0</v>
      </c>
      <c r="M176" s="399">
        <v>0</v>
      </c>
      <c r="N176" s="399">
        <v>0</v>
      </c>
      <c r="O176" s="399">
        <v>0</v>
      </c>
      <c r="P176" s="399">
        <v>0</v>
      </c>
      <c r="Q176" s="399">
        <v>0</v>
      </c>
      <c r="R176" s="399"/>
      <c r="S176" s="399"/>
      <c r="T176" s="399"/>
      <c r="U176" s="399"/>
      <c r="V176" s="399"/>
      <c r="W176" s="399"/>
      <c r="X176" s="399"/>
      <c r="Y176" s="399"/>
      <c r="Z176" s="399"/>
      <c r="AA176" s="399">
        <v>0</v>
      </c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399"/>
      <c r="AL176" s="399"/>
      <c r="AM176" s="399"/>
      <c r="AN176" s="399"/>
      <c r="AO176" s="399"/>
      <c r="AP176" s="399"/>
      <c r="AQ176" s="399"/>
      <c r="AR176" s="399"/>
      <c r="AS176" s="399"/>
      <c r="AT176" s="399"/>
      <c r="AU176" s="399"/>
      <c r="AV176" s="399"/>
      <c r="AW176" s="399"/>
      <c r="AX176" s="399"/>
      <c r="AY176" s="399"/>
      <c r="AZ176" s="399">
        <v>0</v>
      </c>
      <c r="BA176" s="399"/>
      <c r="BB176" s="399"/>
      <c r="BC176" s="399"/>
      <c r="BD176" s="399"/>
      <c r="BE176" s="399"/>
      <c r="BF176" s="399"/>
      <c r="BG176" s="399"/>
      <c r="BH176" s="399"/>
      <c r="BI176" s="399">
        <v>0</v>
      </c>
      <c r="BJ176" s="399">
        <v>0</v>
      </c>
      <c r="BK176" s="399">
        <v>30761.59</v>
      </c>
      <c r="BL176" s="399">
        <v>159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/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/>
      <c r="CJ176" s="399">
        <v>-0.03</v>
      </c>
      <c r="CK176" s="399"/>
      <c r="CL176" s="399"/>
      <c r="CM176" s="399"/>
      <c r="CN176" s="399"/>
      <c r="CO176" s="399">
        <v>0</v>
      </c>
      <c r="CP176" s="399">
        <v>0</v>
      </c>
      <c r="CQ176" s="399"/>
      <c r="CR176" s="399"/>
      <c r="CS176" s="399"/>
      <c r="CT176" s="399"/>
      <c r="CU176" s="399"/>
      <c r="CV176" s="399"/>
      <c r="CW176" s="399"/>
      <c r="CX176" s="399"/>
      <c r="CY176" s="399"/>
      <c r="CZ176" s="399"/>
      <c r="DA176" s="399"/>
      <c r="DB176" s="399"/>
      <c r="DC176" s="399"/>
      <c r="DD176" s="399"/>
      <c r="DE176" s="399"/>
      <c r="DF176" s="399"/>
      <c r="DG176" s="399"/>
      <c r="DH176" s="399"/>
      <c r="DI176" s="399"/>
      <c r="DJ176" s="399"/>
      <c r="DK176" s="399">
        <v>0</v>
      </c>
      <c r="DL176" s="399"/>
      <c r="DM176" s="399"/>
      <c r="DN176" s="399"/>
      <c r="DO176" s="399"/>
      <c r="DP176" s="399"/>
      <c r="DQ176" s="399"/>
      <c r="DR176" s="399"/>
      <c r="DS176" s="399"/>
      <c r="DT176" s="399"/>
      <c r="DU176" s="399"/>
      <c r="DV176" s="399"/>
      <c r="DW176" s="399"/>
      <c r="DX176" s="399"/>
      <c r="DY176" s="399"/>
      <c r="DZ176" s="399"/>
      <c r="EA176" s="399"/>
      <c r="EB176" s="399"/>
      <c r="EC176" s="399"/>
      <c r="ED176" s="399"/>
      <c r="EE176" s="399"/>
      <c r="EF176" s="399"/>
      <c r="EG176" s="399"/>
      <c r="EH176" s="399"/>
      <c r="EI176" s="399"/>
      <c r="EJ176" s="399"/>
      <c r="EK176" s="399"/>
      <c r="EL176" s="399"/>
      <c r="EM176" s="399"/>
      <c r="EN176" s="399"/>
      <c r="EO176" s="399"/>
      <c r="EP176" s="399"/>
      <c r="EQ176" s="399"/>
      <c r="ER176" s="399"/>
      <c r="ES176" s="399"/>
      <c r="ET176" s="399"/>
      <c r="EU176" s="399"/>
      <c r="EV176" s="399">
        <v>230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175</v>
      </c>
      <c r="B177" s="399" t="s">
        <v>956</v>
      </c>
      <c r="C177" s="399" t="s">
        <v>2328</v>
      </c>
      <c r="D177" s="399" t="s">
        <v>2340</v>
      </c>
      <c r="E177" s="399" t="s">
        <v>894</v>
      </c>
      <c r="F177" s="399" t="s">
        <v>2347</v>
      </c>
      <c r="G177" s="399" t="s">
        <v>2348</v>
      </c>
      <c r="H177" s="399" t="s">
        <v>1239</v>
      </c>
      <c r="I177" s="399" t="s">
        <v>1239</v>
      </c>
      <c r="J177" s="399" t="s">
        <v>2329</v>
      </c>
      <c r="K177" s="789">
        <v>44531</v>
      </c>
      <c r="L177" s="399">
        <v>0</v>
      </c>
      <c r="M177" s="399">
        <v>0</v>
      </c>
      <c r="N177" s="399">
        <v>163.185</v>
      </c>
      <c r="O177" s="399">
        <v>163.185</v>
      </c>
      <c r="P177" s="399">
        <v>163.185</v>
      </c>
      <c r="Q177" s="399">
        <v>163.185</v>
      </c>
      <c r="R177" s="399"/>
      <c r="S177" s="399">
        <v>333.61</v>
      </c>
      <c r="T177" s="399">
        <v>128.11000000000001</v>
      </c>
      <c r="U177" s="399"/>
      <c r="V177" s="399">
        <v>75345.778200000001</v>
      </c>
      <c r="W177" s="399">
        <v>75345.778200000001</v>
      </c>
      <c r="X177" s="399">
        <v>65768.450550000009</v>
      </c>
      <c r="Y177" s="399">
        <v>0</v>
      </c>
      <c r="Z177" s="399">
        <v>9989.5411924191849</v>
      </c>
      <c r="AA177" s="399">
        <v>0</v>
      </c>
      <c r="AB177" s="399">
        <v>0</v>
      </c>
      <c r="AC177" s="399">
        <v>0</v>
      </c>
      <c r="AD177" s="399">
        <v>0</v>
      </c>
      <c r="AE177" s="399">
        <v>31738.862113763225</v>
      </c>
      <c r="AF177" s="399">
        <v>20905.801110893488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1542.726579670139</v>
      </c>
      <c r="AM177" s="399"/>
      <c r="AN177" s="399">
        <v>140.40240048374844</v>
      </c>
      <c r="AO177" s="399">
        <v>567.234351183071</v>
      </c>
      <c r="AP177" s="399">
        <v>3025.8799874115293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2214.1545950304112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>
        <v>7893.2584499999984</v>
      </c>
      <c r="BS177" s="399"/>
      <c r="BT177" s="399"/>
      <c r="BU177" s="399"/>
      <c r="BV177" s="399">
        <v>23119.955705923898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57876.965400000001</v>
      </c>
      <c r="CJ177" s="399">
        <v>-8428.3937999999907</v>
      </c>
      <c r="CK177" s="399"/>
      <c r="CL177" s="399"/>
      <c r="CM177" s="399"/>
      <c r="CN177" s="399"/>
      <c r="CO177" s="399">
        <v>-10533.591750000001</v>
      </c>
      <c r="CP177" s="399">
        <v>956.2640999999976</v>
      </c>
      <c r="CQ177" s="399"/>
      <c r="CR177" s="399">
        <v>235.16866053946433</v>
      </c>
      <c r="CS177" s="399">
        <v>41.405731003443748</v>
      </c>
      <c r="CT177" s="399">
        <v>220.87656106538543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0</v>
      </c>
      <c r="DA177" s="399">
        <v>0</v>
      </c>
      <c r="DB177" s="399">
        <v>0</v>
      </c>
      <c r="DC177" s="399">
        <v>956.17177931748301</v>
      </c>
      <c r="DD177" s="399">
        <v>0</v>
      </c>
      <c r="DE177" s="399">
        <v>0</v>
      </c>
      <c r="DF177" s="399">
        <v>0</v>
      </c>
      <c r="DG177" s="399">
        <v>101.26912274653887</v>
      </c>
      <c r="DH177" s="399">
        <v>0</v>
      </c>
      <c r="DI177" s="399">
        <v>-944.9225144277334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-123.18144260626059</v>
      </c>
      <c r="DP177" s="399">
        <v>-16.45057655939253</v>
      </c>
      <c r="DQ177" s="399">
        <v>0</v>
      </c>
      <c r="DR177" s="399">
        <v>0</v>
      </c>
      <c r="DS177" s="399"/>
      <c r="DT177" s="399"/>
      <c r="DU177" s="399"/>
      <c r="DV177" s="399">
        <v>31738.862113763225</v>
      </c>
      <c r="DW177" s="399">
        <v>0</v>
      </c>
      <c r="DX177" s="399">
        <v>0</v>
      </c>
      <c r="DY177" s="399">
        <v>-10533.59175</v>
      </c>
      <c r="DZ177" s="399">
        <v>956.26409999999669</v>
      </c>
      <c r="EA177" s="399">
        <v>0</v>
      </c>
      <c r="EB177" s="399">
        <v>0</v>
      </c>
      <c r="EC177" s="399">
        <v>-9813.6855212641676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5221.677645428028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230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176</v>
      </c>
      <c r="B178" s="399" t="s">
        <v>956</v>
      </c>
      <c r="C178" s="399" t="s">
        <v>2328</v>
      </c>
      <c r="D178" s="399" t="s">
        <v>2340</v>
      </c>
      <c r="E178" s="399" t="s">
        <v>894</v>
      </c>
      <c r="F178" s="399" t="s">
        <v>2347</v>
      </c>
      <c r="G178" s="399" t="s">
        <v>2349</v>
      </c>
      <c r="H178" s="399" t="s">
        <v>1239</v>
      </c>
      <c r="I178" s="399" t="s">
        <v>1239</v>
      </c>
      <c r="J178" s="399" t="s">
        <v>2329</v>
      </c>
      <c r="K178" s="789">
        <v>44531</v>
      </c>
      <c r="L178" s="399">
        <v>0</v>
      </c>
      <c r="M178" s="399">
        <v>0</v>
      </c>
      <c r="N178" s="399">
        <v>128.13900000000001</v>
      </c>
      <c r="O178" s="399">
        <v>51.255600000000001</v>
      </c>
      <c r="P178" s="399">
        <v>128.13900000000001</v>
      </c>
      <c r="Q178" s="399">
        <v>51.255600000000001</v>
      </c>
      <c r="R178" s="399"/>
      <c r="S178" s="399">
        <v>333.61</v>
      </c>
      <c r="T178" s="399">
        <v>128.11000000000001</v>
      </c>
      <c r="U178" s="399"/>
      <c r="V178" s="399">
        <v>59164.339080000005</v>
      </c>
      <c r="W178" s="399">
        <v>59164.339080000005</v>
      </c>
      <c r="X178" s="399">
        <v>51643.861170000004</v>
      </c>
      <c r="Y178" s="399">
        <v>0</v>
      </c>
      <c r="Z178" s="399">
        <v>7844.1634884051964</v>
      </c>
      <c r="AA178" s="399">
        <v>0</v>
      </c>
      <c r="AB178" s="399">
        <v>0</v>
      </c>
      <c r="AC178" s="399">
        <v>0</v>
      </c>
      <c r="AD178" s="399">
        <v>0</v>
      </c>
      <c r="AE178" s="399">
        <v>24922.548349391833</v>
      </c>
      <c r="AF178" s="399">
        <v>16416.021377876525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1211.4069380908293</v>
      </c>
      <c r="AM178" s="399"/>
      <c r="AN178" s="399">
        <v>110.24924592080794</v>
      </c>
      <c r="AO178" s="399">
        <v>445.41374836074118</v>
      </c>
      <c r="AP178" s="399">
        <v>2376.034780812734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1738.6374706780762</v>
      </c>
      <c r="BH178" s="399">
        <v>0</v>
      </c>
      <c r="BI178" s="399">
        <v>0</v>
      </c>
      <c r="BJ178" s="399">
        <v>0</v>
      </c>
      <c r="BK178" s="399">
        <v>0</v>
      </c>
      <c r="BL178" s="399">
        <v>0</v>
      </c>
      <c r="BM178" s="399"/>
      <c r="BN178" s="399"/>
      <c r="BO178" s="399"/>
      <c r="BP178" s="399"/>
      <c r="BQ178" s="399"/>
      <c r="BR178" s="399"/>
      <c r="BS178" s="399">
        <v>33465.550074000006</v>
      </c>
      <c r="BT178" s="399"/>
      <c r="BU178" s="399"/>
      <c r="BV178" s="399">
        <v>18154.658848554602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18179.871599999999</v>
      </c>
      <c r="CJ178" s="399">
        <v>-2646.3337919999976</v>
      </c>
      <c r="CK178" s="399"/>
      <c r="CL178" s="399"/>
      <c r="CM178" s="399"/>
      <c r="CN178" s="399"/>
      <c r="CO178" s="399">
        <v>-8271.3724500000026</v>
      </c>
      <c r="CP178" s="399">
        <v>750.89453999999819</v>
      </c>
      <c r="CQ178" s="399"/>
      <c r="CR178" s="399">
        <v>184.66327783108864</v>
      </c>
      <c r="CS178" s="399">
        <v>32.513337408770781</v>
      </c>
      <c r="CT178" s="399">
        <v>173.44058374456836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0</v>
      </c>
      <c r="DA178" s="399">
        <v>0</v>
      </c>
      <c r="DB178" s="399">
        <v>0</v>
      </c>
      <c r="DC178" s="399">
        <v>750.82204632756111</v>
      </c>
      <c r="DD178" s="399">
        <v>0</v>
      </c>
      <c r="DE178" s="399">
        <v>0</v>
      </c>
      <c r="DF178" s="399">
        <v>0</v>
      </c>
      <c r="DG178" s="399">
        <v>79.520324292176383</v>
      </c>
      <c r="DH178" s="399">
        <v>0</v>
      </c>
      <c r="DI178" s="399">
        <v>-741.98870040907696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-96.726702050578524</v>
      </c>
      <c r="DP178" s="399">
        <v>-12.917611482329875</v>
      </c>
      <c r="DQ178" s="399">
        <v>0</v>
      </c>
      <c r="DR178" s="399">
        <v>0</v>
      </c>
      <c r="DS178" s="399"/>
      <c r="DT178" s="399"/>
      <c r="DU178" s="399"/>
      <c r="DV178" s="399">
        <v>24922.548349391833</v>
      </c>
      <c r="DW178" s="399">
        <v>0</v>
      </c>
      <c r="DX178" s="399">
        <v>0</v>
      </c>
      <c r="DY178" s="399">
        <v>-8271.3724500000026</v>
      </c>
      <c r="DZ178" s="399">
        <v>750.89453999999751</v>
      </c>
      <c r="EA178" s="399">
        <v>0</v>
      </c>
      <c r="EB178" s="399">
        <v>0</v>
      </c>
      <c r="EC178" s="399">
        <v>-7706.075000822806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4100.2576940742229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230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177</v>
      </c>
      <c r="B179" s="399" t="s">
        <v>956</v>
      </c>
      <c r="C179" s="399" t="s">
        <v>2328</v>
      </c>
      <c r="D179" s="399" t="s">
        <v>2340</v>
      </c>
      <c r="E179" s="399" t="s">
        <v>894</v>
      </c>
      <c r="F179" s="399" t="s">
        <v>2350</v>
      </c>
      <c r="G179" s="399" t="s">
        <v>2348</v>
      </c>
      <c r="H179" s="399" t="s">
        <v>1239</v>
      </c>
      <c r="I179" s="399" t="s">
        <v>1239</v>
      </c>
      <c r="J179" s="399" t="s">
        <v>2329</v>
      </c>
      <c r="K179" s="789">
        <v>44531</v>
      </c>
      <c r="L179" s="399">
        <v>0</v>
      </c>
      <c r="M179" s="399">
        <v>0</v>
      </c>
      <c r="N179" s="399">
        <v>0</v>
      </c>
      <c r="O179" s="399">
        <v>0</v>
      </c>
      <c r="P179" s="399">
        <v>0</v>
      </c>
      <c r="Q179" s="399">
        <v>0</v>
      </c>
      <c r="R179" s="399"/>
      <c r="S179" s="399"/>
      <c r="T179" s="399"/>
      <c r="U179" s="399"/>
      <c r="V179" s="399"/>
      <c r="W179" s="399"/>
      <c r="X179" s="399"/>
      <c r="Y179" s="399"/>
      <c r="Z179" s="399"/>
      <c r="AA179" s="399">
        <v>0</v>
      </c>
      <c r="AB179" s="399"/>
      <c r="AC179" s="399"/>
      <c r="AD179" s="399"/>
      <c r="AE179" s="399"/>
      <c r="AF179" s="399"/>
      <c r="AG179" s="399"/>
      <c r="AH179" s="399"/>
      <c r="AI179" s="399"/>
      <c r="AJ179" s="399"/>
      <c r="AK179" s="399"/>
      <c r="AL179" s="399"/>
      <c r="AM179" s="399"/>
      <c r="AN179" s="399"/>
      <c r="AO179" s="399"/>
      <c r="AP179" s="399"/>
      <c r="AQ179" s="399"/>
      <c r="AR179" s="399"/>
      <c r="AS179" s="399"/>
      <c r="AT179" s="399"/>
      <c r="AU179" s="399"/>
      <c r="AV179" s="399"/>
      <c r="AW179" s="399"/>
      <c r="AX179" s="399"/>
      <c r="AY179" s="399"/>
      <c r="AZ179" s="399">
        <v>0</v>
      </c>
      <c r="BA179" s="399"/>
      <c r="BB179" s="399"/>
      <c r="BC179" s="399"/>
      <c r="BD179" s="399"/>
      <c r="BE179" s="399"/>
      <c r="BF179" s="399"/>
      <c r="BG179" s="399"/>
      <c r="BH179" s="399"/>
      <c r="BI179" s="399">
        <v>0</v>
      </c>
      <c r="BJ179" s="399">
        <v>0</v>
      </c>
      <c r="BK179" s="399">
        <v>59.69</v>
      </c>
      <c r="BL179" s="399">
        <v>1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/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/>
      <c r="CJ179" s="399">
        <v>-0.03</v>
      </c>
      <c r="CK179" s="399"/>
      <c r="CL179" s="399"/>
      <c r="CM179" s="399"/>
      <c r="CN179" s="399"/>
      <c r="CO179" s="399">
        <v>0</v>
      </c>
      <c r="CP179" s="399">
        <v>0</v>
      </c>
      <c r="CQ179" s="399"/>
      <c r="CR179" s="399"/>
      <c r="CS179" s="399"/>
      <c r="CT179" s="399"/>
      <c r="CU179" s="399"/>
      <c r="CV179" s="399"/>
      <c r="CW179" s="399"/>
      <c r="CX179" s="399"/>
      <c r="CY179" s="399"/>
      <c r="CZ179" s="399"/>
      <c r="DA179" s="399"/>
      <c r="DB179" s="399"/>
      <c r="DC179" s="399"/>
      <c r="DD179" s="399"/>
      <c r="DE179" s="399"/>
      <c r="DF179" s="399"/>
      <c r="DG179" s="399"/>
      <c r="DH179" s="399"/>
      <c r="DI179" s="399"/>
      <c r="DJ179" s="399"/>
      <c r="DK179" s="399">
        <v>0</v>
      </c>
      <c r="DL179" s="399"/>
      <c r="DM179" s="399"/>
      <c r="DN179" s="399"/>
      <c r="DO179" s="399"/>
      <c r="DP179" s="399"/>
      <c r="DQ179" s="399"/>
      <c r="DR179" s="399"/>
      <c r="DS179" s="399"/>
      <c r="DT179" s="399"/>
      <c r="DU179" s="399"/>
      <c r="DV179" s="399"/>
      <c r="DW179" s="399"/>
      <c r="DX179" s="399"/>
      <c r="DY179" s="399"/>
      <c r="DZ179" s="399"/>
      <c r="EA179" s="399"/>
      <c r="EB179" s="399"/>
      <c r="EC179" s="399"/>
      <c r="ED179" s="399"/>
      <c r="EE179" s="399"/>
      <c r="EF179" s="399"/>
      <c r="EG179" s="399"/>
      <c r="EH179" s="399"/>
      <c r="EI179" s="399"/>
      <c r="EJ179" s="399"/>
      <c r="EK179" s="399"/>
      <c r="EL179" s="399"/>
      <c r="EM179" s="399"/>
      <c r="EN179" s="399"/>
      <c r="EO179" s="399"/>
      <c r="EP179" s="399"/>
      <c r="EQ179" s="399"/>
      <c r="ER179" s="399"/>
      <c r="ES179" s="399"/>
      <c r="ET179" s="399"/>
      <c r="EU179" s="399"/>
      <c r="EV179" s="399">
        <v>230</v>
      </c>
      <c r="EW179" s="399"/>
      <c r="EX179" s="399"/>
      <c r="EY179" s="399"/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178</v>
      </c>
      <c r="B180" s="399" t="s">
        <v>956</v>
      </c>
      <c r="C180" s="399" t="s">
        <v>2328</v>
      </c>
      <c r="D180" s="399" t="s">
        <v>2340</v>
      </c>
      <c r="E180" s="399" t="s">
        <v>894</v>
      </c>
      <c r="F180" s="399" t="s">
        <v>2350</v>
      </c>
      <c r="G180" s="399" t="s">
        <v>2348</v>
      </c>
      <c r="H180" s="399" t="s">
        <v>1239</v>
      </c>
      <c r="I180" s="399" t="s">
        <v>1239</v>
      </c>
      <c r="J180" s="399" t="s">
        <v>2329</v>
      </c>
      <c r="K180" s="789">
        <v>44531</v>
      </c>
      <c r="L180" s="399">
        <v>0</v>
      </c>
      <c r="M180" s="399">
        <v>0</v>
      </c>
      <c r="N180" s="399">
        <v>0.27600000000000002</v>
      </c>
      <c r="O180" s="399">
        <v>0.27600000000000002</v>
      </c>
      <c r="P180" s="399">
        <v>0.27600000000000002</v>
      </c>
      <c r="Q180" s="399">
        <v>0.27600000000000002</v>
      </c>
      <c r="R180" s="399"/>
      <c r="S180" s="399">
        <v>333.61</v>
      </c>
      <c r="T180" s="399">
        <v>128.11000000000001</v>
      </c>
      <c r="U180" s="399"/>
      <c r="V180" s="399">
        <v>127.43472000000001</v>
      </c>
      <c r="W180" s="399">
        <v>127.43472000000001</v>
      </c>
      <c r="X180" s="399">
        <v>111.23628000000002</v>
      </c>
      <c r="Y180" s="399">
        <v>0</v>
      </c>
      <c r="Z180" s="399">
        <v>16.895629923753379</v>
      </c>
      <c r="AA180" s="399">
        <v>0</v>
      </c>
      <c r="AB180" s="399">
        <v>0</v>
      </c>
      <c r="AC180" s="399">
        <v>0</v>
      </c>
      <c r="AD180" s="399">
        <v>0</v>
      </c>
      <c r="AE180" s="399">
        <v>53.680950720952602</v>
      </c>
      <c r="AF180" s="399">
        <v>35.358648813350506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2.6092627140298337</v>
      </c>
      <c r="AM180" s="399"/>
      <c r="AN180" s="399">
        <v>0.23746706212896146</v>
      </c>
      <c r="AO180" s="399">
        <v>0.95938156648299555</v>
      </c>
      <c r="AP180" s="399">
        <v>5.1177674205691837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3.7448703510028096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>
        <v>13.35012</v>
      </c>
      <c r="BS180" s="399"/>
      <c r="BT180" s="399"/>
      <c r="BU180" s="399"/>
      <c r="BV180" s="399">
        <v>39.103519164353315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99.3048</v>
      </c>
      <c r="CJ180" s="399">
        <v>-12.869520000000023</v>
      </c>
      <c r="CK180" s="399"/>
      <c r="CL180" s="399"/>
      <c r="CM180" s="399"/>
      <c r="CN180" s="399"/>
      <c r="CO180" s="399">
        <v>-17.815800000000003</v>
      </c>
      <c r="CP180" s="399">
        <v>1.6173599999999961</v>
      </c>
      <c r="CQ180" s="399"/>
      <c r="CR180" s="399">
        <v>0.39774826306886268</v>
      </c>
      <c r="CS180" s="399">
        <v>7.0030834678128762E-2</v>
      </c>
      <c r="CT180" s="399">
        <v>0.37357557896893834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0</v>
      </c>
      <c r="DA180" s="399">
        <v>0</v>
      </c>
      <c r="DB180" s="399">
        <v>0</v>
      </c>
      <c r="DC180" s="399">
        <v>1.6172038550824297</v>
      </c>
      <c r="DD180" s="399">
        <v>0</v>
      </c>
      <c r="DE180" s="399">
        <v>0</v>
      </c>
      <c r="DF180" s="399">
        <v>0</v>
      </c>
      <c r="DG180" s="399">
        <v>0.17127970020556305</v>
      </c>
      <c r="DH180" s="399">
        <v>0</v>
      </c>
      <c r="DI180" s="399">
        <v>-1.5981776142540944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-0.20834070631080026</v>
      </c>
      <c r="DP180" s="399">
        <v>-2.7823385301298187E-2</v>
      </c>
      <c r="DQ180" s="399">
        <v>0</v>
      </c>
      <c r="DR180" s="399">
        <v>0</v>
      </c>
      <c r="DS180" s="399"/>
      <c r="DT180" s="399"/>
      <c r="DU180" s="399"/>
      <c r="DV180" s="399">
        <v>53.680950720952602</v>
      </c>
      <c r="DW180" s="399">
        <v>0</v>
      </c>
      <c r="DX180" s="399">
        <v>0</v>
      </c>
      <c r="DY180" s="399">
        <v>-17.815799999999996</v>
      </c>
      <c r="DZ180" s="399">
        <v>1.6173599999999979</v>
      </c>
      <c r="EA180" s="399">
        <v>0</v>
      </c>
      <c r="EB180" s="399">
        <v>0</v>
      </c>
      <c r="EC180" s="399">
        <v>-16.598199613131783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8.8315900979755231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230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179</v>
      </c>
      <c r="B181" s="399" t="s">
        <v>956</v>
      </c>
      <c r="C181" s="399" t="s">
        <v>2328</v>
      </c>
      <c r="D181" s="399" t="s">
        <v>2340</v>
      </c>
      <c r="E181" s="399" t="s">
        <v>894</v>
      </c>
      <c r="F181" s="399" t="s">
        <v>2350</v>
      </c>
      <c r="G181" s="399" t="s">
        <v>2349</v>
      </c>
      <c r="H181" s="399" t="s">
        <v>1239</v>
      </c>
      <c r="I181" s="399" t="s">
        <v>1239</v>
      </c>
      <c r="J181" s="399" t="s">
        <v>2329</v>
      </c>
      <c r="K181" s="789">
        <v>44531</v>
      </c>
      <c r="L181" s="399">
        <v>0</v>
      </c>
      <c r="M181" s="399">
        <v>0</v>
      </c>
      <c r="N181" s="399">
        <v>0.71699999999999997</v>
      </c>
      <c r="O181" s="399">
        <v>0.2868</v>
      </c>
      <c r="P181" s="399">
        <v>0.71699999999999997</v>
      </c>
      <c r="Q181" s="399">
        <v>0.2868</v>
      </c>
      <c r="R181" s="399"/>
      <c r="S181" s="399">
        <v>333.61</v>
      </c>
      <c r="T181" s="399">
        <v>128.11000000000001</v>
      </c>
      <c r="U181" s="399"/>
      <c r="V181" s="399">
        <v>331.05324000000002</v>
      </c>
      <c r="W181" s="399">
        <v>331.05324000000002</v>
      </c>
      <c r="X181" s="399">
        <v>288.97251</v>
      </c>
      <c r="Y181" s="399">
        <v>0</v>
      </c>
      <c r="Z181" s="399">
        <v>43.891908171489746</v>
      </c>
      <c r="AA181" s="399">
        <v>0</v>
      </c>
      <c r="AB181" s="399">
        <v>0</v>
      </c>
      <c r="AC181" s="399">
        <v>0</v>
      </c>
      <c r="AD181" s="399">
        <v>0</v>
      </c>
      <c r="AE181" s="399">
        <v>139.45377415551815</v>
      </c>
      <c r="AF181" s="399">
        <v>91.855620286856194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6.7784107462296763</v>
      </c>
      <c r="AM181" s="399"/>
      <c r="AN181" s="399">
        <v>0.61689812879154104</v>
      </c>
      <c r="AO181" s="399">
        <v>2.4923064607547381</v>
      </c>
      <c r="AP181" s="399">
        <v>13.295069712130811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9.7285218901051245</v>
      </c>
      <c r="BH181" s="399">
        <v>0</v>
      </c>
      <c r="BI181" s="399">
        <v>0</v>
      </c>
      <c r="BJ181" s="399">
        <v>0</v>
      </c>
      <c r="BK181" s="399">
        <v>0</v>
      </c>
      <c r="BL181" s="399">
        <v>0</v>
      </c>
      <c r="BM181" s="399"/>
      <c r="BN181" s="399"/>
      <c r="BO181" s="399"/>
      <c r="BP181" s="399"/>
      <c r="BQ181" s="399"/>
      <c r="BR181" s="399"/>
      <c r="BS181" s="399">
        <v>187.25602199999997</v>
      </c>
      <c r="BT181" s="399"/>
      <c r="BU181" s="399"/>
      <c r="BV181" s="399">
        <v>101.58414217696132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102.85139999999998</v>
      </c>
      <c r="CJ181" s="399">
        <v>-13.711176000000023</v>
      </c>
      <c r="CK181" s="399"/>
      <c r="CL181" s="399"/>
      <c r="CM181" s="399"/>
      <c r="CN181" s="399"/>
      <c r="CO181" s="399">
        <v>-46.282350000000008</v>
      </c>
      <c r="CP181" s="399">
        <v>4.2016199999999895</v>
      </c>
      <c r="CQ181" s="399"/>
      <c r="CR181" s="399">
        <v>1.0332808138419693</v>
      </c>
      <c r="CS181" s="399">
        <v>0.18192792921818235</v>
      </c>
      <c r="CT181" s="399">
        <v>0.97048438449539631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0</v>
      </c>
      <c r="DA181" s="399">
        <v>0</v>
      </c>
      <c r="DB181" s="399">
        <v>0</v>
      </c>
      <c r="DC181" s="399">
        <v>4.2012143626597833</v>
      </c>
      <c r="DD181" s="399">
        <v>0</v>
      </c>
      <c r="DE181" s="399">
        <v>0</v>
      </c>
      <c r="DF181" s="399">
        <v>0</v>
      </c>
      <c r="DG181" s="399">
        <v>0.44495487336010342</v>
      </c>
      <c r="DH181" s="399">
        <v>0</v>
      </c>
      <c r="DI181" s="399">
        <v>-4.151787497899214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-0.54123292182914451</v>
      </c>
      <c r="DP181" s="399">
        <v>-7.2280316163155001E-2</v>
      </c>
      <c r="DQ181" s="399">
        <v>0</v>
      </c>
      <c r="DR181" s="399">
        <v>0</v>
      </c>
      <c r="DS181" s="399"/>
      <c r="DT181" s="399"/>
      <c r="DU181" s="399"/>
      <c r="DV181" s="399">
        <v>139.45377415551815</v>
      </c>
      <c r="DW181" s="399">
        <v>0</v>
      </c>
      <c r="DX181" s="399">
        <v>0</v>
      </c>
      <c r="DY181" s="399">
        <v>-46.282350000000008</v>
      </c>
      <c r="DZ181" s="399">
        <v>4.2016199999999913</v>
      </c>
      <c r="EA181" s="399">
        <v>0</v>
      </c>
      <c r="EB181" s="399">
        <v>0</v>
      </c>
      <c r="EC181" s="399">
        <v>-43.119235951505388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22.942935145827715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230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180</v>
      </c>
      <c r="B182" s="399" t="s">
        <v>956</v>
      </c>
      <c r="C182" s="399" t="s">
        <v>2328</v>
      </c>
      <c r="D182" s="399" t="s">
        <v>1823</v>
      </c>
      <c r="E182" s="399" t="s">
        <v>889</v>
      </c>
      <c r="F182" s="399" t="s">
        <v>889</v>
      </c>
      <c r="G182" s="399" t="s">
        <v>1239</v>
      </c>
      <c r="H182" s="399" t="s">
        <v>1239</v>
      </c>
      <c r="I182" s="399" t="s">
        <v>1239</v>
      </c>
      <c r="J182" s="399" t="s">
        <v>2329</v>
      </c>
      <c r="K182" s="789">
        <v>44562</v>
      </c>
      <c r="L182" s="399">
        <v>0</v>
      </c>
      <c r="M182" s="399">
        <v>0</v>
      </c>
      <c r="N182" s="399">
        <v>5813.1220000000003</v>
      </c>
      <c r="O182" s="399">
        <v>5813.1220000000003</v>
      </c>
      <c r="P182" s="399">
        <v>5813.1220000000003</v>
      </c>
      <c r="Q182" s="399">
        <v>5813.1220000000003</v>
      </c>
      <c r="R182" s="399"/>
      <c r="S182" s="399">
        <v>333.61</v>
      </c>
      <c r="T182" s="399">
        <v>128.11000000000001</v>
      </c>
      <c r="U182" s="399"/>
      <c r="V182" s="399">
        <v>2684034.6898400001</v>
      </c>
      <c r="W182" s="399">
        <v>2684034.6898400001</v>
      </c>
      <c r="X182" s="399">
        <v>2342862.5596600003</v>
      </c>
      <c r="Y182" s="399">
        <v>0</v>
      </c>
      <c r="Z182" s="399">
        <v>355856.36961459811</v>
      </c>
      <c r="AA182" s="399">
        <v>0</v>
      </c>
      <c r="AB182" s="399">
        <v>0</v>
      </c>
      <c r="AC182" s="399">
        <v>0</v>
      </c>
      <c r="AD182" s="399">
        <v>0</v>
      </c>
      <c r="AE182" s="399">
        <v>1130630.1290466862</v>
      </c>
      <c r="AF182" s="399">
        <v>744725.14241725265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54956.385821400487</v>
      </c>
      <c r="AM182" s="399"/>
      <c r="AN182" s="399">
        <v>5001.5398664392487</v>
      </c>
      <c r="AO182" s="399">
        <v>20206.529313466533</v>
      </c>
      <c r="AP182" s="399">
        <v>107790.60283838396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78874.595016529536</v>
      </c>
      <c r="BH182" s="399">
        <v>0</v>
      </c>
      <c r="BI182" s="399">
        <v>0</v>
      </c>
      <c r="BJ182" s="399">
        <v>0</v>
      </c>
      <c r="BK182" s="399">
        <v>754566.64</v>
      </c>
      <c r="BL182" s="399">
        <v>20729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823599.7374337822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2342861.7535999999</v>
      </c>
      <c r="CJ182" s="399">
        <v>-341172.96624000045</v>
      </c>
      <c r="CK182" s="399"/>
      <c r="CL182" s="399"/>
      <c r="CM182" s="399"/>
      <c r="CN182" s="399"/>
      <c r="CO182" s="399">
        <v>-375237.02510000009</v>
      </c>
      <c r="CP182" s="399">
        <v>34064.894919999919</v>
      </c>
      <c r="CQ182" s="399">
        <v>31</v>
      </c>
      <c r="CR182" s="399">
        <v>8377.3883279252332</v>
      </c>
      <c r="CS182" s="399">
        <v>1474.9919773398324</v>
      </c>
      <c r="CT182" s="399">
        <v>7868.2623795908585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0</v>
      </c>
      <c r="DA182" s="399">
        <v>0</v>
      </c>
      <c r="DB182" s="399">
        <v>0</v>
      </c>
      <c r="DC182" s="399">
        <v>34061.606190088554</v>
      </c>
      <c r="DD182" s="399">
        <v>0</v>
      </c>
      <c r="DE182" s="399">
        <v>0</v>
      </c>
      <c r="DF182" s="399">
        <v>0</v>
      </c>
      <c r="DG182" s="399">
        <v>3607.4992515158228</v>
      </c>
      <c r="DH182" s="399">
        <v>0</v>
      </c>
      <c r="DI182" s="399">
        <v>-33660.874816405703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-4388.079504894391</v>
      </c>
      <c r="DP182" s="399">
        <v>-586.01714930961225</v>
      </c>
      <c r="DQ182" s="399">
        <v>0</v>
      </c>
      <c r="DR182" s="399">
        <v>0</v>
      </c>
      <c r="DS182" s="399"/>
      <c r="DT182" s="399"/>
      <c r="DU182" s="399"/>
      <c r="DV182" s="399">
        <v>1130630.1290466862</v>
      </c>
      <c r="DW182" s="399">
        <v>0</v>
      </c>
      <c r="DX182" s="399">
        <v>0</v>
      </c>
      <c r="DY182" s="399">
        <v>-375237.0251000002</v>
      </c>
      <c r="DZ182" s="399">
        <v>34064.894919999992</v>
      </c>
      <c r="EA182" s="399">
        <v>0</v>
      </c>
      <c r="EB182" s="399">
        <v>0</v>
      </c>
      <c r="EC182" s="399">
        <v>-349591.8816358255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186011.27062870894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230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181</v>
      </c>
      <c r="B183" s="399" t="s">
        <v>2330</v>
      </c>
      <c r="C183" s="399" t="s">
        <v>2328</v>
      </c>
      <c r="D183" s="399" t="s">
        <v>1823</v>
      </c>
      <c r="E183" s="399" t="s">
        <v>889</v>
      </c>
      <c r="F183" s="399" t="s">
        <v>889</v>
      </c>
      <c r="G183" s="399" t="s">
        <v>1239</v>
      </c>
      <c r="H183" s="399" t="s">
        <v>1239</v>
      </c>
      <c r="I183" s="399" t="s">
        <v>1239</v>
      </c>
      <c r="J183" s="399" t="s">
        <v>2329</v>
      </c>
      <c r="K183" s="789">
        <v>44562</v>
      </c>
      <c r="L183" s="399">
        <v>0</v>
      </c>
      <c r="M183" s="399">
        <v>0</v>
      </c>
      <c r="N183" s="399">
        <v>-20.109000000000002</v>
      </c>
      <c r="O183" s="399">
        <v>-20.109000000000002</v>
      </c>
      <c r="P183" s="399">
        <v>-20.109000000000002</v>
      </c>
      <c r="Q183" s="399">
        <v>-20.109000000000002</v>
      </c>
      <c r="R183" s="399"/>
      <c r="S183" s="399">
        <v>333.61</v>
      </c>
      <c r="T183" s="399">
        <v>128.11000000000001</v>
      </c>
      <c r="U183" s="399"/>
      <c r="V183" s="399">
        <v>-9284.7274800000014</v>
      </c>
      <c r="W183" s="399">
        <v>-9284.7274800000014</v>
      </c>
      <c r="X183" s="399">
        <v>-8104.5302700000011</v>
      </c>
      <c r="Y183" s="399">
        <v>0</v>
      </c>
      <c r="Z183" s="399">
        <v>-1230.9935584665097</v>
      </c>
      <c r="AA183" s="399">
        <v>0</v>
      </c>
      <c r="AB183" s="399">
        <v>0</v>
      </c>
      <c r="AC183" s="399">
        <v>0</v>
      </c>
      <c r="AD183" s="399">
        <v>0</v>
      </c>
      <c r="AE183" s="399">
        <v>-3911.1240508972314</v>
      </c>
      <c r="AF183" s="399">
        <v>-2576.1850325640048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-190.10747795806495</v>
      </c>
      <c r="AM183" s="399"/>
      <c r="AN183" s="399">
        <v>-17.301540407069876</v>
      </c>
      <c r="AO183" s="399">
        <v>-69.899289566690427</v>
      </c>
      <c r="AP183" s="399">
        <v>-372.87385891386128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-272.84636916056343</v>
      </c>
      <c r="BH183" s="399">
        <v>0</v>
      </c>
      <c r="BI183" s="399">
        <v>0</v>
      </c>
      <c r="BJ183" s="399">
        <v>0</v>
      </c>
      <c r="BK183" s="399">
        <v>-3616.61</v>
      </c>
      <c r="BL183" s="399">
        <v>0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-2849.0314017245682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-8104.9332999999997</v>
      </c>
      <c r="CJ183" s="399">
        <v>1179.764180000001</v>
      </c>
      <c r="CK183" s="399"/>
      <c r="CL183" s="399"/>
      <c r="CM183" s="399"/>
      <c r="CN183" s="399"/>
      <c r="CO183" s="399">
        <v>1298.0359500000004</v>
      </c>
      <c r="CP183" s="399">
        <v>-117.83873999999972</v>
      </c>
      <c r="CQ183" s="399">
        <v>31</v>
      </c>
      <c r="CR183" s="399">
        <v>-28.979419645114831</v>
      </c>
      <c r="CS183" s="399">
        <v>-5.1023552700814889</v>
      </c>
      <c r="CT183" s="399">
        <v>-27.218229411182563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0</v>
      </c>
      <c r="DA183" s="399">
        <v>0</v>
      </c>
      <c r="DB183" s="399">
        <v>0</v>
      </c>
      <c r="DC183" s="399">
        <v>-117.82736348497292</v>
      </c>
      <c r="DD183" s="399">
        <v>0</v>
      </c>
      <c r="DE183" s="399">
        <v>0</v>
      </c>
      <c r="DF183" s="399">
        <v>0</v>
      </c>
      <c r="DG183" s="399">
        <v>-12.479215548672698</v>
      </c>
      <c r="DH183" s="399">
        <v>0</v>
      </c>
      <c r="DI183" s="399">
        <v>116.44113639505645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15.179432113057544</v>
      </c>
      <c r="DP183" s="399">
        <v>2.027175561680453</v>
      </c>
      <c r="DQ183" s="399">
        <v>0</v>
      </c>
      <c r="DR183" s="399">
        <v>0</v>
      </c>
      <c r="DS183" s="399"/>
      <c r="DT183" s="399"/>
      <c r="DU183" s="399"/>
      <c r="DV183" s="399">
        <v>-3911.1240508972314</v>
      </c>
      <c r="DW183" s="399">
        <v>0</v>
      </c>
      <c r="DX183" s="399">
        <v>0</v>
      </c>
      <c r="DY183" s="399">
        <v>1298.0359499999995</v>
      </c>
      <c r="DZ183" s="399">
        <v>-117.83873999999969</v>
      </c>
      <c r="EA183" s="399">
        <v>0</v>
      </c>
      <c r="EB183" s="399">
        <v>0</v>
      </c>
      <c r="EC183" s="399">
        <v>1209.3231739871994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-643.45813507315142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230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182</v>
      </c>
      <c r="B184" s="399" t="s">
        <v>2331</v>
      </c>
      <c r="C184" s="399" t="s">
        <v>2328</v>
      </c>
      <c r="D184" s="399" t="s">
        <v>1823</v>
      </c>
      <c r="E184" s="399" t="s">
        <v>889</v>
      </c>
      <c r="F184" s="399" t="s">
        <v>889</v>
      </c>
      <c r="G184" s="399" t="s">
        <v>1239</v>
      </c>
      <c r="H184" s="399" t="s">
        <v>1239</v>
      </c>
      <c r="I184" s="399" t="s">
        <v>1239</v>
      </c>
      <c r="J184" s="399" t="s">
        <v>2329</v>
      </c>
      <c r="K184" s="789">
        <v>44562</v>
      </c>
      <c r="L184" s="399">
        <v>0</v>
      </c>
      <c r="M184" s="399">
        <v>0</v>
      </c>
      <c r="N184" s="399">
        <v>12.129</v>
      </c>
      <c r="O184" s="399">
        <v>12.129</v>
      </c>
      <c r="P184" s="399">
        <v>12.129</v>
      </c>
      <c r="Q184" s="399">
        <v>12.129</v>
      </c>
      <c r="R184" s="399"/>
      <c r="S184" s="399">
        <v>333.61</v>
      </c>
      <c r="T184" s="399">
        <v>128.11000000000001</v>
      </c>
      <c r="U184" s="399"/>
      <c r="V184" s="399">
        <v>5600.2018800000005</v>
      </c>
      <c r="W184" s="399">
        <v>5600.2018800000005</v>
      </c>
      <c r="X184" s="399">
        <v>4888.3508700000002</v>
      </c>
      <c r="Y184" s="399">
        <v>0</v>
      </c>
      <c r="Z184" s="399">
        <v>742.48947588842282</v>
      </c>
      <c r="AA184" s="399">
        <v>0</v>
      </c>
      <c r="AB184" s="399">
        <v>0</v>
      </c>
      <c r="AC184" s="399">
        <v>0</v>
      </c>
      <c r="AD184" s="399">
        <v>0</v>
      </c>
      <c r="AE184" s="399">
        <v>2359.0443887479496</v>
      </c>
      <c r="AF184" s="399">
        <v>1553.8588820910445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114.66575166111539</v>
      </c>
      <c r="AM184" s="399"/>
      <c r="AN184" s="399">
        <v>10.435644915080337</v>
      </c>
      <c r="AO184" s="399">
        <v>42.160648622725546</v>
      </c>
      <c r="AP184" s="399">
        <v>224.90362697131744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164.57076988156911</v>
      </c>
      <c r="BH184" s="399">
        <v>0</v>
      </c>
      <c r="BI184" s="399">
        <v>0</v>
      </c>
      <c r="BJ184" s="399">
        <v>0</v>
      </c>
      <c r="BK184" s="399">
        <v>3922.03</v>
      </c>
      <c r="BL184" s="399">
        <v>51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1718.4296519726136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4888.7539000000006</v>
      </c>
      <c r="CJ184" s="399">
        <v>-711.47798000000057</v>
      </c>
      <c r="CK184" s="399"/>
      <c r="CL184" s="399"/>
      <c r="CM184" s="399"/>
      <c r="CN184" s="399"/>
      <c r="CO184" s="399">
        <v>-782.92695000000015</v>
      </c>
      <c r="CP184" s="399">
        <v>71.075939999999818</v>
      </c>
      <c r="CQ184" s="399">
        <v>31</v>
      </c>
      <c r="CR184" s="399">
        <v>17.479306821602222</v>
      </c>
      <c r="CS184" s="399">
        <v>3.0775507022138555</v>
      </c>
      <c r="CT184" s="399">
        <v>16.417022454037181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0</v>
      </c>
      <c r="DA184" s="399">
        <v>0</v>
      </c>
      <c r="DB184" s="399">
        <v>0</v>
      </c>
      <c r="DC184" s="399">
        <v>71.069078109763495</v>
      </c>
      <c r="DD184" s="399">
        <v>0</v>
      </c>
      <c r="DE184" s="399">
        <v>0</v>
      </c>
      <c r="DF184" s="399">
        <v>0</v>
      </c>
      <c r="DG184" s="399">
        <v>7.5269981296857793</v>
      </c>
      <c r="DH184" s="399">
        <v>0</v>
      </c>
      <c r="DI184" s="399">
        <v>-70.232957548144554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-9.1556682132017926</v>
      </c>
      <c r="DP184" s="399">
        <v>-1.2227168127516137</v>
      </c>
      <c r="DQ184" s="399">
        <v>0</v>
      </c>
      <c r="DR184" s="399">
        <v>0</v>
      </c>
      <c r="DS184" s="399"/>
      <c r="DT184" s="399"/>
      <c r="DU184" s="399"/>
      <c r="DV184" s="399">
        <v>2359.0443887479496</v>
      </c>
      <c r="DW184" s="399">
        <v>0</v>
      </c>
      <c r="DX184" s="399">
        <v>0</v>
      </c>
      <c r="DY184" s="399">
        <v>-782.92695000000003</v>
      </c>
      <c r="DZ184" s="399">
        <v>71.075939999999719</v>
      </c>
      <c r="EA184" s="399">
        <v>0</v>
      </c>
      <c r="EB184" s="399">
        <v>0</v>
      </c>
      <c r="EC184" s="399">
        <v>-729.4187069118675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388.10998658820694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230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183</v>
      </c>
      <c r="B185" s="399" t="s">
        <v>956</v>
      </c>
      <c r="C185" s="399" t="s">
        <v>2328</v>
      </c>
      <c r="D185" s="399" t="s">
        <v>1823</v>
      </c>
      <c r="E185" s="399" t="s">
        <v>889</v>
      </c>
      <c r="F185" s="399" t="s">
        <v>2332</v>
      </c>
      <c r="G185" s="399" t="s">
        <v>1239</v>
      </c>
      <c r="H185" s="399" t="s">
        <v>1239</v>
      </c>
      <c r="I185" s="399" t="s">
        <v>1239</v>
      </c>
      <c r="J185" s="399" t="s">
        <v>2329</v>
      </c>
      <c r="K185" s="789">
        <v>44562</v>
      </c>
      <c r="L185" s="399">
        <v>0</v>
      </c>
      <c r="M185" s="399">
        <v>0</v>
      </c>
      <c r="N185" s="399">
        <v>13.53</v>
      </c>
      <c r="O185" s="399">
        <v>13.53</v>
      </c>
      <c r="P185" s="399">
        <v>13.53</v>
      </c>
      <c r="Q185" s="399">
        <v>13.53</v>
      </c>
      <c r="R185" s="399"/>
      <c r="S185" s="399">
        <v>230.94</v>
      </c>
      <c r="T185" s="399">
        <v>128.11000000000001</v>
      </c>
      <c r="U185" s="399"/>
      <c r="V185" s="399">
        <v>4857.9465</v>
      </c>
      <c r="W185" s="399">
        <v>4857.9465</v>
      </c>
      <c r="X185" s="399">
        <v>4152.357</v>
      </c>
      <c r="Y185" s="399">
        <v>0</v>
      </c>
      <c r="Z185" s="399">
        <v>0</v>
      </c>
      <c r="AA185" s="399">
        <v>0</v>
      </c>
      <c r="AB185" s="399">
        <v>0</v>
      </c>
      <c r="AC185" s="399">
        <v>0</v>
      </c>
      <c r="AD185" s="399">
        <v>0</v>
      </c>
      <c r="AE185" s="399">
        <v>2631.5335625162629</v>
      </c>
      <c r="AF185" s="399">
        <v>1733.3424581327258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0</v>
      </c>
      <c r="AM185" s="399"/>
      <c r="AN185" s="399">
        <v>11.641048371756696</v>
      </c>
      <c r="AO185" s="399">
        <v>47.03055287867727</v>
      </c>
      <c r="AP185" s="399">
        <v>250.88185942138057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183.58005742415943</v>
      </c>
      <c r="BH185" s="399">
        <v>0</v>
      </c>
      <c r="BI185" s="399">
        <v>0</v>
      </c>
      <c r="BJ185" s="399">
        <v>0</v>
      </c>
      <c r="BK185" s="399">
        <v>193.93</v>
      </c>
      <c r="BL185" s="399">
        <v>7</v>
      </c>
      <c r="BM185" s="399"/>
      <c r="BN185" s="399"/>
      <c r="BO185" s="399"/>
      <c r="BP185" s="399"/>
      <c r="BQ185" s="399"/>
      <c r="BR185" s="399"/>
      <c r="BS185" s="399"/>
      <c r="BT185" s="399">
        <v>2698.9643999999998</v>
      </c>
      <c r="BU185" s="399"/>
      <c r="BV185" s="399">
        <v>1916.9225155568852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1453.3926000000001</v>
      </c>
      <c r="CJ185" s="399">
        <v>-246.95249999999965</v>
      </c>
      <c r="CK185" s="399"/>
      <c r="CL185" s="399"/>
      <c r="CM185" s="399"/>
      <c r="CN185" s="399"/>
      <c r="CO185" s="399">
        <v>-784.87529999999981</v>
      </c>
      <c r="CP185" s="399">
        <v>79.285799999999796</v>
      </c>
      <c r="CQ185" s="399">
        <v>31</v>
      </c>
      <c r="CR185" s="399">
        <v>108.05698143682912</v>
      </c>
      <c r="CS185" s="399">
        <v>3.4330333086778424</v>
      </c>
      <c r="CT185" s="399">
        <v>18.313324577716457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0</v>
      </c>
      <c r="DA185" s="399">
        <v>0</v>
      </c>
      <c r="DB185" s="399">
        <v>0</v>
      </c>
      <c r="DC185" s="399">
        <v>79.278145504584018</v>
      </c>
      <c r="DD185" s="399">
        <v>0</v>
      </c>
      <c r="DE185" s="399">
        <v>0</v>
      </c>
      <c r="DF185" s="399">
        <v>0</v>
      </c>
      <c r="DG185" s="399">
        <v>8.396428781816212</v>
      </c>
      <c r="DH185" s="399">
        <v>0</v>
      </c>
      <c r="DI185" s="399">
        <v>0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0</v>
      </c>
      <c r="DP185" s="399">
        <v>-1.3639507359658136</v>
      </c>
      <c r="DQ185" s="399">
        <v>0</v>
      </c>
      <c r="DR185" s="399">
        <v>0</v>
      </c>
      <c r="DS185" s="399"/>
      <c r="DT185" s="399"/>
      <c r="DU185" s="399"/>
      <c r="DV185" s="399">
        <v>2631.5335625162629</v>
      </c>
      <c r="DW185" s="399">
        <v>0</v>
      </c>
      <c r="DX185" s="399">
        <v>0</v>
      </c>
      <c r="DY185" s="399">
        <v>-784.8752999999997</v>
      </c>
      <c r="DZ185" s="399">
        <v>79.285799999999881</v>
      </c>
      <c r="EA185" s="399">
        <v>0</v>
      </c>
      <c r="EB185" s="399">
        <v>0</v>
      </c>
      <c r="EC185" s="399">
        <v>-813.67261146982969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230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184</v>
      </c>
      <c r="B186" s="399" t="s">
        <v>956</v>
      </c>
      <c r="C186" s="399" t="s">
        <v>2328</v>
      </c>
      <c r="D186" s="399" t="s">
        <v>1823</v>
      </c>
      <c r="E186" s="399" t="s">
        <v>889</v>
      </c>
      <c r="F186" s="399" t="s">
        <v>2333</v>
      </c>
      <c r="G186" s="399" t="s">
        <v>1239</v>
      </c>
      <c r="H186" s="399" t="s">
        <v>1239</v>
      </c>
      <c r="I186" s="399" t="s">
        <v>1239</v>
      </c>
      <c r="J186" s="399" t="s">
        <v>2329</v>
      </c>
      <c r="K186" s="789">
        <v>44562</v>
      </c>
      <c r="L186" s="399">
        <v>0</v>
      </c>
      <c r="M186" s="399">
        <v>0</v>
      </c>
      <c r="N186" s="399">
        <v>29.748000000000001</v>
      </c>
      <c r="O186" s="399">
        <v>29.748000000000001</v>
      </c>
      <c r="P186" s="399">
        <v>29.748000000000001</v>
      </c>
      <c r="Q186" s="399">
        <v>29.748000000000001</v>
      </c>
      <c r="R186" s="399"/>
      <c r="S186" s="399">
        <v>230.94</v>
      </c>
      <c r="T186" s="399">
        <v>128.11000000000001</v>
      </c>
      <c r="U186" s="399"/>
      <c r="V186" s="399">
        <v>10681.019400000001</v>
      </c>
      <c r="W186" s="399">
        <v>10681.019400000001</v>
      </c>
      <c r="X186" s="399">
        <v>9129.6612000000005</v>
      </c>
      <c r="Y186" s="399">
        <v>0</v>
      </c>
      <c r="Z186" s="399">
        <v>0</v>
      </c>
      <c r="AA186" s="399">
        <v>0</v>
      </c>
      <c r="AB186" s="399">
        <v>0</v>
      </c>
      <c r="AC186" s="399">
        <v>0</v>
      </c>
      <c r="AD186" s="399">
        <v>0</v>
      </c>
      <c r="AE186" s="399">
        <v>5785.8729059670213</v>
      </c>
      <c r="AF186" s="399">
        <v>3811.0474090563439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0</v>
      </c>
      <c r="AM186" s="399"/>
      <c r="AN186" s="399">
        <v>25.594819435551976</v>
      </c>
      <c r="AO186" s="399">
        <v>103.40464797005851</v>
      </c>
      <c r="AP186" s="399">
        <v>551.60632328656538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403.6318956580854</v>
      </c>
      <c r="BH186" s="399">
        <v>0</v>
      </c>
      <c r="BI186" s="399">
        <v>0</v>
      </c>
      <c r="BJ186" s="399">
        <v>0</v>
      </c>
      <c r="BK186" s="399">
        <v>747.98</v>
      </c>
      <c r="BL186" s="399">
        <v>45</v>
      </c>
      <c r="BM186" s="399"/>
      <c r="BN186" s="399"/>
      <c r="BO186" s="399"/>
      <c r="BP186" s="399"/>
      <c r="BQ186" s="399"/>
      <c r="BR186" s="399"/>
      <c r="BS186" s="399"/>
      <c r="BT186" s="399">
        <v>3651.8644800000002</v>
      </c>
      <c r="BU186" s="399"/>
      <c r="BV186" s="399">
        <v>4214.6793047144292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5478.165</v>
      </c>
      <c r="CJ186" s="399">
        <v>-930.77412000000095</v>
      </c>
      <c r="CK186" s="399"/>
      <c r="CL186" s="399"/>
      <c r="CM186" s="399"/>
      <c r="CN186" s="399"/>
      <c r="CO186" s="399">
        <v>-1725.6814799999997</v>
      </c>
      <c r="CP186" s="399">
        <v>174.32327999999956</v>
      </c>
      <c r="CQ186" s="399">
        <v>31</v>
      </c>
      <c r="CR186" s="399">
        <v>237.58160264469825</v>
      </c>
      <c r="CS186" s="399">
        <v>7.5481060507426747</v>
      </c>
      <c r="CT186" s="399">
        <v>40.264950446260855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0</v>
      </c>
      <c r="DA186" s="399">
        <v>0</v>
      </c>
      <c r="DB186" s="399">
        <v>0</v>
      </c>
      <c r="DC186" s="399">
        <v>174.30645029344896</v>
      </c>
      <c r="DD186" s="399">
        <v>0</v>
      </c>
      <c r="DE186" s="399">
        <v>0</v>
      </c>
      <c r="DF186" s="399">
        <v>0</v>
      </c>
      <c r="DG186" s="399">
        <v>18.460972904764844</v>
      </c>
      <c r="DH186" s="399">
        <v>0</v>
      </c>
      <c r="DI186" s="399">
        <v>0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0</v>
      </c>
      <c r="DP186" s="399">
        <v>-2.9988770505181819</v>
      </c>
      <c r="DQ186" s="399">
        <v>0</v>
      </c>
      <c r="DR186" s="399">
        <v>0</v>
      </c>
      <c r="DS186" s="399"/>
      <c r="DT186" s="399"/>
      <c r="DU186" s="399"/>
      <c r="DV186" s="399">
        <v>5785.8729059670213</v>
      </c>
      <c r="DW186" s="399">
        <v>0</v>
      </c>
      <c r="DX186" s="399">
        <v>0</v>
      </c>
      <c r="DY186" s="399">
        <v>-1725.6814800000002</v>
      </c>
      <c r="DZ186" s="399">
        <v>174.32327999999916</v>
      </c>
      <c r="EA186" s="399">
        <v>0</v>
      </c>
      <c r="EB186" s="399">
        <v>0</v>
      </c>
      <c r="EC186" s="399">
        <v>-1788.9972539545083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230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185</v>
      </c>
      <c r="B187" s="399" t="s">
        <v>956</v>
      </c>
      <c r="C187" s="399" t="s">
        <v>2328</v>
      </c>
      <c r="D187" s="399" t="s">
        <v>1823</v>
      </c>
      <c r="E187" s="399" t="s">
        <v>889</v>
      </c>
      <c r="F187" s="399" t="s">
        <v>2334</v>
      </c>
      <c r="G187" s="399" t="s">
        <v>1239</v>
      </c>
      <c r="H187" s="399" t="s">
        <v>1239</v>
      </c>
      <c r="I187" s="399" t="s">
        <v>1239</v>
      </c>
      <c r="J187" s="399" t="s">
        <v>2329</v>
      </c>
      <c r="K187" s="789">
        <v>44562</v>
      </c>
      <c r="L187" s="399">
        <v>0</v>
      </c>
      <c r="M187" s="399">
        <v>0</v>
      </c>
      <c r="N187" s="399">
        <v>39.515000000000001</v>
      </c>
      <c r="O187" s="399">
        <v>39.515000000000001</v>
      </c>
      <c r="P187" s="399">
        <v>39.515000000000001</v>
      </c>
      <c r="Q187" s="399">
        <v>39.515000000000001</v>
      </c>
      <c r="R187" s="399"/>
      <c r="S187" s="399">
        <v>230.94</v>
      </c>
      <c r="T187" s="399">
        <v>128.11000000000001</v>
      </c>
      <c r="U187" s="399"/>
      <c r="V187" s="399">
        <v>14187.86075</v>
      </c>
      <c r="W187" s="399">
        <v>14187.86075</v>
      </c>
      <c r="X187" s="399">
        <v>12127.1535</v>
      </c>
      <c r="Y187" s="399">
        <v>0</v>
      </c>
      <c r="Z187" s="399">
        <v>0</v>
      </c>
      <c r="AA187" s="399">
        <v>0</v>
      </c>
      <c r="AB187" s="399">
        <v>0</v>
      </c>
      <c r="AC187" s="399">
        <v>0</v>
      </c>
      <c r="AD187" s="399">
        <v>0</v>
      </c>
      <c r="AE187" s="399">
        <v>7685.5172744146448</v>
      </c>
      <c r="AF187" s="399">
        <v>5062.3079994911059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0</v>
      </c>
      <c r="AM187" s="399"/>
      <c r="AN187" s="399">
        <v>33.998228116035911</v>
      </c>
      <c r="AO187" s="399">
        <v>137.35493695498394</v>
      </c>
      <c r="AP187" s="399">
        <v>732.71224501373649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536.15417362273922</v>
      </c>
      <c r="BH187" s="399">
        <v>0</v>
      </c>
      <c r="BI187" s="399">
        <v>0</v>
      </c>
      <c r="BJ187" s="399">
        <v>0</v>
      </c>
      <c r="BK187" s="399">
        <v>2615.8200000000002</v>
      </c>
      <c r="BL187" s="399">
        <v>156</v>
      </c>
      <c r="BM187" s="399"/>
      <c r="BN187" s="399"/>
      <c r="BO187" s="399"/>
      <c r="BP187" s="399"/>
      <c r="BQ187" s="399"/>
      <c r="BR187" s="399"/>
      <c r="BS187" s="399"/>
      <c r="BT187" s="399">
        <v>1212.7153500000009</v>
      </c>
      <c r="BU187" s="399"/>
      <c r="BV187" s="399">
        <v>5598.462173113845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10915.8192</v>
      </c>
      <c r="CJ187" s="399">
        <v>-1853.4830500000007</v>
      </c>
      <c r="CK187" s="399"/>
      <c r="CL187" s="399"/>
      <c r="CM187" s="399"/>
      <c r="CN187" s="399"/>
      <c r="CO187" s="399">
        <v>-2292.2651499999997</v>
      </c>
      <c r="CP187" s="399">
        <v>231.55789999999942</v>
      </c>
      <c r="CQ187" s="399">
        <v>31</v>
      </c>
      <c r="CR187" s="399">
        <v>315.5854856966962</v>
      </c>
      <c r="CS187" s="399">
        <v>10.026334899660355</v>
      </c>
      <c r="CT187" s="399">
        <v>53.484923923759425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0</v>
      </c>
      <c r="DA187" s="399">
        <v>0</v>
      </c>
      <c r="DB187" s="399">
        <v>0</v>
      </c>
      <c r="DC187" s="399">
        <v>231.53554468689163</v>
      </c>
      <c r="DD187" s="399">
        <v>0</v>
      </c>
      <c r="DE187" s="399">
        <v>0</v>
      </c>
      <c r="DF187" s="399">
        <v>0</v>
      </c>
      <c r="DG187" s="399">
        <v>24.522164324720393</v>
      </c>
      <c r="DH187" s="399">
        <v>0</v>
      </c>
      <c r="DI187" s="399">
        <v>0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0</v>
      </c>
      <c r="DP187" s="399">
        <v>-3.9834821383362247</v>
      </c>
      <c r="DQ187" s="399">
        <v>0</v>
      </c>
      <c r="DR187" s="399">
        <v>0</v>
      </c>
      <c r="DS187" s="399"/>
      <c r="DT187" s="399"/>
      <c r="DU187" s="399"/>
      <c r="DV187" s="399">
        <v>7685.5172744146448</v>
      </c>
      <c r="DW187" s="399">
        <v>0</v>
      </c>
      <c r="DX187" s="399">
        <v>0</v>
      </c>
      <c r="DY187" s="399">
        <v>-2292.2651500000002</v>
      </c>
      <c r="DZ187" s="399">
        <v>231.55789999999979</v>
      </c>
      <c r="EA187" s="399">
        <v>0</v>
      </c>
      <c r="EB187" s="399">
        <v>0</v>
      </c>
      <c r="EC187" s="399">
        <v>-2376.3690496844292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230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186</v>
      </c>
      <c r="B188" s="399" t="s">
        <v>956</v>
      </c>
      <c r="C188" s="399" t="s">
        <v>2328</v>
      </c>
      <c r="D188" s="399" t="s">
        <v>1823</v>
      </c>
      <c r="E188" s="399" t="s">
        <v>889</v>
      </c>
      <c r="F188" s="399" t="s">
        <v>2335</v>
      </c>
      <c r="G188" s="399" t="s">
        <v>1239</v>
      </c>
      <c r="H188" s="399" t="s">
        <v>1239</v>
      </c>
      <c r="I188" s="399" t="s">
        <v>1239</v>
      </c>
      <c r="J188" s="399" t="s">
        <v>2329</v>
      </c>
      <c r="K188" s="789">
        <v>44562</v>
      </c>
      <c r="L188" s="399">
        <v>0</v>
      </c>
      <c r="M188" s="399">
        <v>0</v>
      </c>
      <c r="N188" s="399">
        <v>31.126999999999999</v>
      </c>
      <c r="O188" s="399">
        <v>31.126999999999999</v>
      </c>
      <c r="P188" s="399">
        <v>31.126999999999999</v>
      </c>
      <c r="Q188" s="399">
        <v>31.126999999999999</v>
      </c>
      <c r="R188" s="399"/>
      <c r="S188" s="399">
        <v>230.94</v>
      </c>
      <c r="T188" s="399">
        <v>128.11000000000001</v>
      </c>
      <c r="U188" s="399"/>
      <c r="V188" s="399">
        <v>11176.14935</v>
      </c>
      <c r="W188" s="399">
        <v>11176.14935</v>
      </c>
      <c r="X188" s="399">
        <v>9552.8762999999999</v>
      </c>
      <c r="Y188" s="399">
        <v>0</v>
      </c>
      <c r="Z188" s="399">
        <v>0</v>
      </c>
      <c r="AA188" s="399">
        <v>0</v>
      </c>
      <c r="AB188" s="399">
        <v>0</v>
      </c>
      <c r="AC188" s="399">
        <v>0</v>
      </c>
      <c r="AD188" s="399">
        <v>0</v>
      </c>
      <c r="AE188" s="399">
        <v>6054.0831633735197</v>
      </c>
      <c r="AF188" s="399">
        <v>3987.7125420766706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0</v>
      </c>
      <c r="AM188" s="399"/>
      <c r="AN188" s="399">
        <v>26.781294358290516</v>
      </c>
      <c r="AO188" s="399">
        <v>108.19807978230506</v>
      </c>
      <c r="AP188" s="399">
        <v>577.17661775382953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422.34267904226249</v>
      </c>
      <c r="BH188" s="399">
        <v>0</v>
      </c>
      <c r="BI188" s="399">
        <v>0</v>
      </c>
      <c r="BJ188" s="399">
        <v>0</v>
      </c>
      <c r="BK188" s="399">
        <v>3183.03</v>
      </c>
      <c r="BL188" s="399">
        <v>243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4410.0552211189333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9553.7970000000005</v>
      </c>
      <c r="CJ188" s="399">
        <v>-1622.3823499999999</v>
      </c>
      <c r="CK188" s="399"/>
      <c r="CL188" s="399"/>
      <c r="CM188" s="399"/>
      <c r="CN188" s="399"/>
      <c r="CO188" s="399">
        <v>-1805.6772699999997</v>
      </c>
      <c r="CP188" s="399">
        <v>182.40421999999953</v>
      </c>
      <c r="CQ188" s="399">
        <v>31</v>
      </c>
      <c r="CR188" s="399">
        <v>248.5949490897392</v>
      </c>
      <c r="CS188" s="399">
        <v>7.8980064892250539</v>
      </c>
      <c r="CT188" s="399">
        <v>42.131474806399183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0</v>
      </c>
      <c r="DA188" s="399">
        <v>0</v>
      </c>
      <c r="DB188" s="399">
        <v>0</v>
      </c>
      <c r="DC188" s="399">
        <v>182.38661013460387</v>
      </c>
      <c r="DD188" s="399">
        <v>0</v>
      </c>
      <c r="DE188" s="399">
        <v>0</v>
      </c>
      <c r="DF188" s="399">
        <v>0</v>
      </c>
      <c r="DG188" s="399">
        <v>19.316750827168676</v>
      </c>
      <c r="DH188" s="399">
        <v>0</v>
      </c>
      <c r="DI188" s="399">
        <v>0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0</v>
      </c>
      <c r="DP188" s="399">
        <v>-3.1378931676576407</v>
      </c>
      <c r="DQ188" s="399">
        <v>0</v>
      </c>
      <c r="DR188" s="399">
        <v>0</v>
      </c>
      <c r="DS188" s="399"/>
      <c r="DT188" s="399"/>
      <c r="DU188" s="399"/>
      <c r="DV188" s="399">
        <v>6054.0831633735197</v>
      </c>
      <c r="DW188" s="399">
        <v>0</v>
      </c>
      <c r="DX188" s="399">
        <v>0</v>
      </c>
      <c r="DY188" s="399">
        <v>-1805.6772699999992</v>
      </c>
      <c r="DZ188" s="399">
        <v>182.40421999999944</v>
      </c>
      <c r="EA188" s="399">
        <v>0</v>
      </c>
      <c r="EB188" s="399">
        <v>0</v>
      </c>
      <c r="EC188" s="399">
        <v>-1871.9281136157715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230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187</v>
      </c>
      <c r="B189" s="399" t="s">
        <v>956</v>
      </c>
      <c r="C189" s="399" t="s">
        <v>2328</v>
      </c>
      <c r="D189" s="399" t="s">
        <v>1826</v>
      </c>
      <c r="E189" s="399" t="s">
        <v>890</v>
      </c>
      <c r="F189" s="399" t="s">
        <v>1239</v>
      </c>
      <c r="G189" s="399" t="s">
        <v>1239</v>
      </c>
      <c r="H189" s="399" t="s">
        <v>1239</v>
      </c>
      <c r="I189" s="399" t="s">
        <v>1239</v>
      </c>
      <c r="J189" s="399" t="s">
        <v>2329</v>
      </c>
      <c r="K189" s="789">
        <v>44562</v>
      </c>
      <c r="L189" s="399">
        <v>0</v>
      </c>
      <c r="M189" s="399">
        <v>0</v>
      </c>
      <c r="N189" s="399">
        <v>360.74799999999999</v>
      </c>
      <c r="O189" s="399">
        <v>360.74799999999999</v>
      </c>
      <c r="P189" s="399">
        <v>360.74799999999999</v>
      </c>
      <c r="Q189" s="399">
        <v>360.74799999999999</v>
      </c>
      <c r="R189" s="399"/>
      <c r="S189" s="399">
        <v>333.61</v>
      </c>
      <c r="T189" s="399">
        <v>128.11000000000001</v>
      </c>
      <c r="U189" s="399"/>
      <c r="V189" s="399">
        <v>166564.56656000001</v>
      </c>
      <c r="W189" s="399">
        <v>166564.56656000001</v>
      </c>
      <c r="X189" s="399">
        <v>145392.26643999998</v>
      </c>
      <c r="Y189" s="399">
        <v>0</v>
      </c>
      <c r="Z189" s="399">
        <v>22083.567767152836</v>
      </c>
      <c r="AA189" s="399">
        <v>0</v>
      </c>
      <c r="AB189" s="399">
        <v>0</v>
      </c>
      <c r="AC189" s="399">
        <v>0</v>
      </c>
      <c r="AD189" s="399">
        <v>0</v>
      </c>
      <c r="AE189" s="399">
        <v>70164.114531457279</v>
      </c>
      <c r="AF189" s="399">
        <v>46215.803775791916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3410.4576288436028</v>
      </c>
      <c r="AM189" s="399"/>
      <c r="AN189" s="399">
        <v>310.38321640905281</v>
      </c>
      <c r="AO189" s="399">
        <v>1253.9673237159695</v>
      </c>
      <c r="AP189" s="399">
        <v>6689.2187008532301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4894.7626426940633</v>
      </c>
      <c r="BH189" s="399">
        <v>0</v>
      </c>
      <c r="BI189" s="399">
        <v>0</v>
      </c>
      <c r="BJ189" s="399">
        <v>0</v>
      </c>
      <c r="BK189" s="399">
        <v>65544.52</v>
      </c>
      <c r="BL189" s="399">
        <v>218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51110.566418485978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145393.07250000001</v>
      </c>
      <c r="CJ189" s="399">
        <v>-21171.524059999996</v>
      </c>
      <c r="CK189" s="399"/>
      <c r="CL189" s="399"/>
      <c r="CM189" s="399"/>
      <c r="CN189" s="399"/>
      <c r="CO189" s="399">
        <v>-23286.283400000004</v>
      </c>
      <c r="CP189" s="399">
        <v>2113.9832799999945</v>
      </c>
      <c r="CQ189" s="399">
        <v>31</v>
      </c>
      <c r="CR189" s="399">
        <v>519.88003770131036</v>
      </c>
      <c r="CS189" s="399">
        <v>91.534360682846454</v>
      </c>
      <c r="CT189" s="399">
        <v>488.28493826770591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0</v>
      </c>
      <c r="DA189" s="399">
        <v>0</v>
      </c>
      <c r="DB189" s="399">
        <v>0</v>
      </c>
      <c r="DC189" s="399">
        <v>2113.7791895408445</v>
      </c>
      <c r="DD189" s="399">
        <v>0</v>
      </c>
      <c r="DE189" s="399">
        <v>0</v>
      </c>
      <c r="DF189" s="399">
        <v>0</v>
      </c>
      <c r="DG189" s="399">
        <v>223.87249742665426</v>
      </c>
      <c r="DH189" s="399">
        <v>0</v>
      </c>
      <c r="DI189" s="399">
        <v>-2088.9107898077345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-272.313380870321</v>
      </c>
      <c r="DP189" s="399">
        <v>-36.366777538669226</v>
      </c>
      <c r="DQ189" s="399">
        <v>0</v>
      </c>
      <c r="DR189" s="399">
        <v>0</v>
      </c>
      <c r="DS189" s="399"/>
      <c r="DT189" s="399"/>
      <c r="DU189" s="399"/>
      <c r="DV189" s="399">
        <v>70164.114531457279</v>
      </c>
      <c r="DW189" s="399">
        <v>0</v>
      </c>
      <c r="DX189" s="399">
        <v>0</v>
      </c>
      <c r="DY189" s="399">
        <v>-23286.283400000015</v>
      </c>
      <c r="DZ189" s="399">
        <v>2113.9832799999931</v>
      </c>
      <c r="EA189" s="399">
        <v>0</v>
      </c>
      <c r="EB189" s="399">
        <v>0</v>
      </c>
      <c r="EC189" s="399">
        <v>-21694.809108833571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11543.400234291572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230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188</v>
      </c>
      <c r="B190" s="399" t="s">
        <v>2331</v>
      </c>
      <c r="C190" s="399" t="s">
        <v>2328</v>
      </c>
      <c r="D190" s="399" t="s">
        <v>1826</v>
      </c>
      <c r="E190" s="399" t="s">
        <v>890</v>
      </c>
      <c r="F190" s="399" t="s">
        <v>1239</v>
      </c>
      <c r="G190" s="399" t="s">
        <v>1239</v>
      </c>
      <c r="H190" s="399" t="s">
        <v>1239</v>
      </c>
      <c r="I190" s="399" t="s">
        <v>1239</v>
      </c>
      <c r="J190" s="399" t="s">
        <v>2329</v>
      </c>
      <c r="K190" s="789">
        <v>44562</v>
      </c>
      <c r="L190" s="399">
        <v>0</v>
      </c>
      <c r="M190" s="399">
        <v>0</v>
      </c>
      <c r="N190" s="399">
        <v>0.2</v>
      </c>
      <c r="O190" s="399">
        <v>0.2</v>
      </c>
      <c r="P190" s="399">
        <v>0.2</v>
      </c>
      <c r="Q190" s="399">
        <v>0.2</v>
      </c>
      <c r="R190" s="399"/>
      <c r="S190" s="399">
        <v>333.61</v>
      </c>
      <c r="T190" s="399">
        <v>128.11000000000001</v>
      </c>
      <c r="U190" s="399"/>
      <c r="V190" s="399">
        <v>92.344000000000008</v>
      </c>
      <c r="W190" s="399">
        <v>92.344000000000008</v>
      </c>
      <c r="X190" s="399">
        <v>80.606000000000009</v>
      </c>
      <c r="Y190" s="399">
        <v>0</v>
      </c>
      <c r="Z190" s="399">
        <v>12.24321008967636</v>
      </c>
      <c r="AA190" s="399">
        <v>0</v>
      </c>
      <c r="AB190" s="399">
        <v>0</v>
      </c>
      <c r="AC190" s="399">
        <v>0</v>
      </c>
      <c r="AD190" s="399">
        <v>0</v>
      </c>
      <c r="AE190" s="399">
        <v>38.899239652864203</v>
      </c>
      <c r="AF190" s="399">
        <v>25.6222092850366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1.8907700826303142</v>
      </c>
      <c r="AM190" s="399"/>
      <c r="AN190" s="399">
        <v>0.17207758125287062</v>
      </c>
      <c r="AO190" s="399">
        <v>0.69520403368333006</v>
      </c>
      <c r="AP190" s="399">
        <v>3.7085271163544804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2.7136741673933402</v>
      </c>
      <c r="BH190" s="399">
        <v>0</v>
      </c>
      <c r="BI190" s="399">
        <v>0</v>
      </c>
      <c r="BJ190" s="399">
        <v>0</v>
      </c>
      <c r="BK190" s="399">
        <v>792.75</v>
      </c>
      <c r="BL190" s="399">
        <v>2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28.33588345242994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80.606000000000009</v>
      </c>
      <c r="CJ190" s="399">
        <v>-11.768000000000015</v>
      </c>
      <c r="CK190" s="399"/>
      <c r="CL190" s="399"/>
      <c r="CM190" s="399"/>
      <c r="CN190" s="399"/>
      <c r="CO190" s="399">
        <v>-12.910000000000004</v>
      </c>
      <c r="CP190" s="399">
        <v>1.171999999999997</v>
      </c>
      <c r="CQ190" s="399">
        <v>31</v>
      </c>
      <c r="CR190" s="399">
        <v>0.28822337903542916</v>
      </c>
      <c r="CS190" s="399">
        <v>5.0746981650817924E-2</v>
      </c>
      <c r="CT190" s="399">
        <v>0.27070694128184014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0</v>
      </c>
      <c r="DA190" s="399">
        <v>0</v>
      </c>
      <c r="DB190" s="399">
        <v>0</v>
      </c>
      <c r="DC190" s="399">
        <v>1.1718868515090044</v>
      </c>
      <c r="DD190" s="399">
        <v>0</v>
      </c>
      <c r="DE190" s="399">
        <v>0</v>
      </c>
      <c r="DF190" s="399">
        <v>0</v>
      </c>
      <c r="DG190" s="399">
        <v>0.12411572478664024</v>
      </c>
      <c r="DH190" s="399">
        <v>0</v>
      </c>
      <c r="DI190" s="399">
        <v>-1.1580997204739791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-0.15097152631217403</v>
      </c>
      <c r="DP190" s="399">
        <v>-2.0161873406737807E-2</v>
      </c>
      <c r="DQ190" s="399">
        <v>0</v>
      </c>
      <c r="DR190" s="399">
        <v>0</v>
      </c>
      <c r="DS190" s="399"/>
      <c r="DT190" s="399"/>
      <c r="DU190" s="399"/>
      <c r="DV190" s="399">
        <v>38.899239652864203</v>
      </c>
      <c r="DW190" s="399">
        <v>0</v>
      </c>
      <c r="DX190" s="399">
        <v>0</v>
      </c>
      <c r="DY190" s="399">
        <v>-12.910000000000004</v>
      </c>
      <c r="DZ190" s="399">
        <v>1.171999999999997</v>
      </c>
      <c r="EA190" s="399">
        <v>0</v>
      </c>
      <c r="EB190" s="399">
        <v>0</v>
      </c>
      <c r="EC190" s="399">
        <v>-12.027680879081004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6.3997029695474801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230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189</v>
      </c>
      <c r="B191" s="399" t="s">
        <v>956</v>
      </c>
      <c r="C191" s="399" t="s">
        <v>2336</v>
      </c>
      <c r="D191" s="399" t="s">
        <v>535</v>
      </c>
      <c r="E191" s="399" t="s">
        <v>890</v>
      </c>
      <c r="F191" s="399" t="s">
        <v>1239</v>
      </c>
      <c r="G191" s="399" t="s">
        <v>1239</v>
      </c>
      <c r="H191" s="399" t="s">
        <v>1239</v>
      </c>
      <c r="I191" s="399" t="s">
        <v>893</v>
      </c>
      <c r="J191" s="399" t="s">
        <v>2329</v>
      </c>
      <c r="K191" s="789">
        <v>44562</v>
      </c>
      <c r="L191" s="399">
        <v>2441</v>
      </c>
      <c r="M191" s="399">
        <v>2441</v>
      </c>
      <c r="N191" s="399">
        <v>123.512</v>
      </c>
      <c r="O191" s="399">
        <v>123.512</v>
      </c>
      <c r="P191" s="399">
        <v>123.512</v>
      </c>
      <c r="Q191" s="399">
        <v>123.512</v>
      </c>
      <c r="R191" s="399">
        <v>28.46</v>
      </c>
      <c r="S191" s="399">
        <v>75.12</v>
      </c>
      <c r="T191" s="399">
        <v>128.11000000000001</v>
      </c>
      <c r="U191" s="399">
        <v>69470.86</v>
      </c>
      <c r="V191" s="399">
        <v>25101.343760000003</v>
      </c>
      <c r="W191" s="399">
        <v>94572.203760000004</v>
      </c>
      <c r="X191" s="399">
        <v>78357.364719999998</v>
      </c>
      <c r="Y191" s="399">
        <v>0</v>
      </c>
      <c r="Z191" s="399">
        <v>5065.8142713969555</v>
      </c>
      <c r="AA191" s="399">
        <v>0</v>
      </c>
      <c r="AB191" s="399">
        <v>0</v>
      </c>
      <c r="AC191" s="399">
        <v>0</v>
      </c>
      <c r="AD191" s="399">
        <v>0</v>
      </c>
      <c r="AE191" s="399">
        <v>56123.392541567591</v>
      </c>
      <c r="AF191" s="399">
        <v>15823.251566067202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1167.6639722291768</v>
      </c>
      <c r="AM191" s="399"/>
      <c r="AN191" s="399">
        <v>30.230303054647059</v>
      </c>
      <c r="AO191" s="399">
        <v>2009.6044144987657</v>
      </c>
      <c r="AP191" s="399">
        <v>11328.530088714866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366.50714364190992</v>
      </c>
      <c r="BH191" s="399">
        <v>0</v>
      </c>
      <c r="BI191" s="399">
        <v>0</v>
      </c>
      <c r="BJ191" s="399">
        <v>0</v>
      </c>
      <c r="BK191" s="399">
        <v>0</v>
      </c>
      <c r="BL191" s="399">
        <v>0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16189.758709709111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78356.955600000001</v>
      </c>
      <c r="CJ191" s="399">
        <v>-16215.278159999987</v>
      </c>
      <c r="CK191" s="399"/>
      <c r="CL191" s="399"/>
      <c r="CM191" s="399"/>
      <c r="CN191" s="399"/>
      <c r="CO191" s="399">
        <v>-16938.619360000004</v>
      </c>
      <c r="CP191" s="399">
        <v>723.78031999999814</v>
      </c>
      <c r="CQ191" s="399">
        <v>31</v>
      </c>
      <c r="CR191" s="399">
        <v>1138.1440277356014</v>
      </c>
      <c r="CS191" s="399">
        <v>146.6927022958314</v>
      </c>
      <c r="CT191" s="399">
        <v>826.93523151306545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</v>
      </c>
      <c r="DA191" s="399">
        <v>0</v>
      </c>
      <c r="DB191" s="399">
        <v>0</v>
      </c>
      <c r="DC191" s="399">
        <v>723.71044401790095</v>
      </c>
      <c r="DD191" s="399">
        <v>0</v>
      </c>
      <c r="DE191" s="399">
        <v>0</v>
      </c>
      <c r="DF191" s="399">
        <v>0</v>
      </c>
      <c r="DG191" s="399">
        <v>16.762992521059289</v>
      </c>
      <c r="DH191" s="399">
        <v>0</v>
      </c>
      <c r="DI191" s="399">
        <v>-479.18136246186714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-93.233975789346232</v>
      </c>
      <c r="DP191" s="399">
        <v>-3.5420043610413146</v>
      </c>
      <c r="DQ191" s="399">
        <v>0</v>
      </c>
      <c r="DR191" s="399">
        <v>0</v>
      </c>
      <c r="DS191" s="399"/>
      <c r="DT191" s="399"/>
      <c r="DU191" s="399">
        <v>56123.392541567591</v>
      </c>
      <c r="DV191" s="399">
        <v>0</v>
      </c>
      <c r="DW191" s="399">
        <v>0</v>
      </c>
      <c r="DX191" s="399">
        <v>0</v>
      </c>
      <c r="DY191" s="399">
        <v>-16938.619360000012</v>
      </c>
      <c r="DZ191" s="399">
        <v>723.78031999999803</v>
      </c>
      <c r="EA191" s="399">
        <v>0</v>
      </c>
      <c r="EB191" s="399">
        <v>0</v>
      </c>
      <c r="EC191" s="399">
        <v>-17353.404883112205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2647.9743791354122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230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190</v>
      </c>
      <c r="B192" s="399" t="s">
        <v>956</v>
      </c>
      <c r="C192" s="399" t="s">
        <v>2336</v>
      </c>
      <c r="D192" s="399" t="s">
        <v>535</v>
      </c>
      <c r="E192" s="399" t="s">
        <v>890</v>
      </c>
      <c r="F192" s="399" t="s">
        <v>1239</v>
      </c>
      <c r="G192" s="399" t="s">
        <v>1239</v>
      </c>
      <c r="H192" s="399" t="s">
        <v>1239</v>
      </c>
      <c r="I192" s="399" t="s">
        <v>2326</v>
      </c>
      <c r="J192" s="399" t="s">
        <v>2329</v>
      </c>
      <c r="K192" s="789">
        <v>44562</v>
      </c>
      <c r="L192" s="399">
        <v>2459</v>
      </c>
      <c r="M192" s="399">
        <v>2459</v>
      </c>
      <c r="N192" s="399">
        <v>1381.9390000000001</v>
      </c>
      <c r="O192" s="399">
        <v>1381.9390000000001</v>
      </c>
      <c r="P192" s="399">
        <v>1381.9390000000001</v>
      </c>
      <c r="Q192" s="399">
        <v>1381.9390000000001</v>
      </c>
      <c r="R192" s="399">
        <v>9.92</v>
      </c>
      <c r="S192" s="399">
        <v>75.12</v>
      </c>
      <c r="T192" s="399">
        <v>128.11000000000001</v>
      </c>
      <c r="U192" s="399">
        <v>24393.279999999999</v>
      </c>
      <c r="V192" s="399">
        <v>280851.46297000005</v>
      </c>
      <c r="W192" s="399">
        <v>305244.74297000002</v>
      </c>
      <c r="X192" s="399">
        <v>304230.28184000001</v>
      </c>
      <c r="Y192" s="399">
        <v>0</v>
      </c>
      <c r="Z192" s="399">
        <v>56679.887852192805</v>
      </c>
      <c r="AA192" s="399">
        <v>0</v>
      </c>
      <c r="AB192" s="399">
        <v>0</v>
      </c>
      <c r="AC192" s="399">
        <v>0</v>
      </c>
      <c r="AD192" s="399">
        <v>0</v>
      </c>
      <c r="AE192" s="399">
        <v>12098.817210676185</v>
      </c>
      <c r="AF192" s="399">
        <v>177041.65138577097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13064.644586100268</v>
      </c>
      <c r="AM192" s="399"/>
      <c r="AN192" s="399">
        <v>338.2378616898431</v>
      </c>
      <c r="AO192" s="399">
        <v>1827.6357762726561</v>
      </c>
      <c r="AP192" s="399">
        <v>10459.468027073628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4100.7393255502084</v>
      </c>
      <c r="BH192" s="399">
        <v>0</v>
      </c>
      <c r="BI192" s="399">
        <v>0</v>
      </c>
      <c r="BJ192" s="399">
        <v>0</v>
      </c>
      <c r="BK192" s="399">
        <v>0</v>
      </c>
      <c r="BL192" s="399">
        <v>0</v>
      </c>
      <c r="BM192" s="399"/>
      <c r="BN192" s="399"/>
      <c r="BO192" s="399"/>
      <c r="BP192" s="399"/>
      <c r="BQ192" s="399"/>
      <c r="BR192" s="399"/>
      <c r="BS192" s="399"/>
      <c r="BT192" s="399"/>
      <c r="BU192" s="399"/>
      <c r="BV192" s="399">
        <v>181142.39071132118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304230.48639999999</v>
      </c>
      <c r="CJ192" s="399">
        <v>-1014.2865700000548</v>
      </c>
      <c r="CK192" s="399"/>
      <c r="CL192" s="399"/>
      <c r="CM192" s="399"/>
      <c r="CN192" s="399"/>
      <c r="CO192" s="399">
        <v>-9112.6236700000027</v>
      </c>
      <c r="CP192" s="399">
        <v>8098.1625399999803</v>
      </c>
      <c r="CQ192" s="399">
        <v>31</v>
      </c>
      <c r="CR192" s="399">
        <v>2737.6286969233188</v>
      </c>
      <c r="CS192" s="399">
        <v>133.4097541285721</v>
      </c>
      <c r="CT192" s="399">
        <v>763.49734226223518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0</v>
      </c>
      <c r="DA192" s="399">
        <v>0</v>
      </c>
      <c r="DB192" s="399">
        <v>0</v>
      </c>
      <c r="DC192" s="399">
        <v>8097.3807184375182</v>
      </c>
      <c r="DD192" s="399">
        <v>0</v>
      </c>
      <c r="DE192" s="399">
        <v>0</v>
      </c>
      <c r="DF192" s="399">
        <v>0</v>
      </c>
      <c r="DG192" s="399">
        <v>187.55613318187807</v>
      </c>
      <c r="DH192" s="399">
        <v>0</v>
      </c>
      <c r="DI192" s="399">
        <v>-5361.4176182005904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-1043.1672005015971</v>
      </c>
      <c r="DP192" s="399">
        <v>-39.630432384651442</v>
      </c>
      <c r="DQ192" s="399">
        <v>0</v>
      </c>
      <c r="DR192" s="399">
        <v>0</v>
      </c>
      <c r="DS192" s="399"/>
      <c r="DT192" s="399"/>
      <c r="DU192" s="399">
        <v>12098.817210676185</v>
      </c>
      <c r="DV192" s="399">
        <v>0</v>
      </c>
      <c r="DW192" s="399">
        <v>0</v>
      </c>
      <c r="DX192" s="399">
        <v>0</v>
      </c>
      <c r="DY192" s="399">
        <v>-9112.6236700000009</v>
      </c>
      <c r="DZ192" s="399">
        <v>8098.1625399999612</v>
      </c>
      <c r="EA192" s="399">
        <v>0</v>
      </c>
      <c r="EB192" s="399">
        <v>0</v>
      </c>
      <c r="EC192" s="399">
        <v>-3740.9654718953043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29627.397058812199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230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191</v>
      </c>
      <c r="B193" s="399" t="s">
        <v>956</v>
      </c>
      <c r="C193" s="399" t="s">
        <v>2336</v>
      </c>
      <c r="D193" s="399" t="s">
        <v>535</v>
      </c>
      <c r="E193" s="399" t="s">
        <v>890</v>
      </c>
      <c r="F193" s="399" t="s">
        <v>1239</v>
      </c>
      <c r="G193" s="399" t="s">
        <v>1239</v>
      </c>
      <c r="H193" s="399" t="s">
        <v>1239</v>
      </c>
      <c r="I193" s="399" t="s">
        <v>1239</v>
      </c>
      <c r="J193" s="399" t="s">
        <v>2329</v>
      </c>
      <c r="K193" s="789">
        <v>44562</v>
      </c>
      <c r="L193" s="399">
        <v>0</v>
      </c>
      <c r="M193" s="399">
        <v>0</v>
      </c>
      <c r="N193" s="399">
        <v>0</v>
      </c>
      <c r="O193" s="399">
        <v>0</v>
      </c>
      <c r="P193" s="399">
        <v>0</v>
      </c>
      <c r="Q193" s="399">
        <v>0</v>
      </c>
      <c r="R193" s="399"/>
      <c r="S193" s="399"/>
      <c r="T193" s="399"/>
      <c r="U193" s="399"/>
      <c r="V193" s="399"/>
      <c r="W193" s="399"/>
      <c r="X193" s="399"/>
      <c r="Y193" s="399"/>
      <c r="Z193" s="399"/>
      <c r="AA193" s="399">
        <v>0</v>
      </c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399"/>
      <c r="AL193" s="399"/>
      <c r="AM193" s="399"/>
      <c r="AN193" s="399"/>
      <c r="AO193" s="399"/>
      <c r="AP193" s="399"/>
      <c r="AQ193" s="399"/>
      <c r="AR193" s="399"/>
      <c r="AS193" s="399"/>
      <c r="AT193" s="399"/>
      <c r="AU193" s="399"/>
      <c r="AV193" s="399"/>
      <c r="AW193" s="399"/>
      <c r="AX193" s="399"/>
      <c r="AY193" s="399"/>
      <c r="AZ193" s="399">
        <v>0</v>
      </c>
      <c r="BA193" s="399"/>
      <c r="BB193" s="399"/>
      <c r="BC193" s="399"/>
      <c r="BD193" s="399"/>
      <c r="BE193" s="399"/>
      <c r="BF193" s="399"/>
      <c r="BG193" s="399"/>
      <c r="BH193" s="399"/>
      <c r="BI193" s="399">
        <v>0</v>
      </c>
      <c r="BJ193" s="399">
        <v>0</v>
      </c>
      <c r="BK193" s="399">
        <v>199540.58</v>
      </c>
      <c r="BL193" s="399">
        <v>1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/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/>
      <c r="CJ193" s="399">
        <v>-0.03</v>
      </c>
      <c r="CK193" s="399"/>
      <c r="CL193" s="399"/>
      <c r="CM193" s="399"/>
      <c r="CN193" s="399"/>
      <c r="CO193" s="399">
        <v>0</v>
      </c>
      <c r="CP193" s="399">
        <v>0</v>
      </c>
      <c r="CQ193" s="399">
        <v>31</v>
      </c>
      <c r="CR193" s="399"/>
      <c r="CS193" s="399"/>
      <c r="CT193" s="399"/>
      <c r="CU193" s="399"/>
      <c r="CV193" s="399"/>
      <c r="CW193" s="399"/>
      <c r="CX193" s="399"/>
      <c r="CY193" s="399"/>
      <c r="CZ193" s="399"/>
      <c r="DA193" s="399"/>
      <c r="DB193" s="399"/>
      <c r="DC193" s="399"/>
      <c r="DD193" s="399"/>
      <c r="DE193" s="399"/>
      <c r="DF193" s="399"/>
      <c r="DG193" s="399"/>
      <c r="DH193" s="399"/>
      <c r="DI193" s="399"/>
      <c r="DJ193" s="399"/>
      <c r="DK193" s="399">
        <v>0</v>
      </c>
      <c r="DL193" s="399"/>
      <c r="DM193" s="399"/>
      <c r="DN193" s="399"/>
      <c r="DO193" s="399"/>
      <c r="DP193" s="399"/>
      <c r="DQ193" s="399"/>
      <c r="DR193" s="399"/>
      <c r="DS193" s="399"/>
      <c r="DT193" s="399"/>
      <c r="DU193" s="399"/>
      <c r="DV193" s="399"/>
      <c r="DW193" s="399"/>
      <c r="DX193" s="399"/>
      <c r="DY193" s="399"/>
      <c r="DZ193" s="399"/>
      <c r="EA193" s="399"/>
      <c r="EB193" s="399"/>
      <c r="EC193" s="399"/>
      <c r="ED193" s="399"/>
      <c r="EE193" s="399"/>
      <c r="EF193" s="399"/>
      <c r="EG193" s="399"/>
      <c r="EH193" s="399"/>
      <c r="EI193" s="399"/>
      <c r="EJ193" s="399"/>
      <c r="EK193" s="399"/>
      <c r="EL193" s="399"/>
      <c r="EM193" s="399"/>
      <c r="EN193" s="399"/>
      <c r="EO193" s="399"/>
      <c r="EP193" s="399"/>
      <c r="EQ193" s="399"/>
      <c r="ER193" s="399"/>
      <c r="ES193" s="399"/>
      <c r="ET193" s="399"/>
      <c r="EU193" s="399"/>
      <c r="EV193" s="399">
        <v>230</v>
      </c>
      <c r="EW193" s="399"/>
      <c r="EX193" s="399"/>
      <c r="EY193" s="399"/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192</v>
      </c>
      <c r="B194" s="399" t="s">
        <v>956</v>
      </c>
      <c r="C194" s="399" t="s">
        <v>2336</v>
      </c>
      <c r="D194" s="399" t="s">
        <v>533</v>
      </c>
      <c r="E194" s="399" t="s">
        <v>890</v>
      </c>
      <c r="F194" s="399" t="s">
        <v>1239</v>
      </c>
      <c r="G194" s="399" t="s">
        <v>1239</v>
      </c>
      <c r="H194" s="399" t="s">
        <v>1239</v>
      </c>
      <c r="I194" s="399" t="s">
        <v>893</v>
      </c>
      <c r="J194" s="399" t="s">
        <v>2329</v>
      </c>
      <c r="K194" s="789">
        <v>44562</v>
      </c>
      <c r="L194" s="399">
        <v>6189</v>
      </c>
      <c r="M194" s="399">
        <v>6189</v>
      </c>
      <c r="N194" s="399">
        <v>360.85199999999998</v>
      </c>
      <c r="O194" s="399">
        <v>360.85199999999998</v>
      </c>
      <c r="P194" s="399">
        <v>360.85199999999998</v>
      </c>
      <c r="Q194" s="399">
        <v>360.85199999999998</v>
      </c>
      <c r="R194" s="399">
        <v>52.19</v>
      </c>
      <c r="S194" s="399">
        <v>96.28</v>
      </c>
      <c r="T194" s="399">
        <v>128.11000000000001</v>
      </c>
      <c r="U194" s="399">
        <v>323003.90999999997</v>
      </c>
      <c r="V194" s="399">
        <v>80971.580279999995</v>
      </c>
      <c r="W194" s="399">
        <v>403975.49027999997</v>
      </c>
      <c r="X194" s="399">
        <v>317110.25327999995</v>
      </c>
      <c r="Y194" s="399">
        <v>0</v>
      </c>
      <c r="Z194" s="399">
        <v>19218.242785667549</v>
      </c>
      <c r="AA194" s="399">
        <v>0</v>
      </c>
      <c r="AB194" s="399">
        <v>0</v>
      </c>
      <c r="AC194" s="399">
        <v>0</v>
      </c>
      <c r="AD194" s="399">
        <v>0</v>
      </c>
      <c r="AE194" s="399">
        <v>289234.53836542682</v>
      </c>
      <c r="AF194" s="399">
        <v>46229.127324620131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3411.4408292865705</v>
      </c>
      <c r="AM194" s="399"/>
      <c r="AN194" s="399">
        <v>177.39507872526193</v>
      </c>
      <c r="AO194" s="399">
        <v>5345.0038088229185</v>
      </c>
      <c r="AP194" s="399">
        <v>28434.024079677711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1890.3648133655802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48119.492137985711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317109.804</v>
      </c>
      <c r="CJ194" s="399">
        <v>-86865.716279999993</v>
      </c>
      <c r="CK194" s="399"/>
      <c r="CL194" s="399"/>
      <c r="CM194" s="399"/>
      <c r="CN194" s="399"/>
      <c r="CO194" s="399">
        <v>-88979.82971999998</v>
      </c>
      <c r="CP194" s="399">
        <v>2114.5927199999946</v>
      </c>
      <c r="CQ194" s="399">
        <v>31</v>
      </c>
      <c r="CR194" s="399">
        <v>2555.5228698167921</v>
      </c>
      <c r="CS194" s="399">
        <v>390.16288322261971</v>
      </c>
      <c r="CT194" s="399">
        <v>2075.5646232161453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0</v>
      </c>
      <c r="DA194" s="399">
        <v>0</v>
      </c>
      <c r="DB194" s="399">
        <v>0</v>
      </c>
      <c r="DC194" s="399">
        <v>2114.3885707036316</v>
      </c>
      <c r="DD194" s="399">
        <v>0</v>
      </c>
      <c r="DE194" s="399">
        <v>0</v>
      </c>
      <c r="DF194" s="399">
        <v>0</v>
      </c>
      <c r="DG194" s="399">
        <v>86.459900654700732</v>
      </c>
      <c r="DH194" s="399">
        <v>0</v>
      </c>
      <c r="DI194" s="399">
        <v>-1817.8763114463036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-272.3918860640033</v>
      </c>
      <c r="DP194" s="399">
        <v>-20.784910470011198</v>
      </c>
      <c r="DQ194" s="399">
        <v>0</v>
      </c>
      <c r="DR194" s="399">
        <v>0</v>
      </c>
      <c r="DS194" s="399"/>
      <c r="DT194" s="399"/>
      <c r="DU194" s="399">
        <v>289234.53836542682</v>
      </c>
      <c r="DV194" s="399">
        <v>0</v>
      </c>
      <c r="DW194" s="399">
        <v>0</v>
      </c>
      <c r="DX194" s="399">
        <v>0</v>
      </c>
      <c r="DY194" s="399">
        <v>-88979.82971999998</v>
      </c>
      <c r="DZ194" s="399">
        <v>2114.5927199999933</v>
      </c>
      <c r="EA194" s="399">
        <v>0</v>
      </c>
      <c r="EB194" s="399">
        <v>0</v>
      </c>
      <c r="EC194" s="399">
        <v>-89431.586779396224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10045.653429457076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230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193</v>
      </c>
      <c r="B195" s="399" t="s">
        <v>956</v>
      </c>
      <c r="C195" s="399" t="s">
        <v>2336</v>
      </c>
      <c r="D195" s="399" t="s">
        <v>533</v>
      </c>
      <c r="E195" s="399" t="s">
        <v>890</v>
      </c>
      <c r="F195" s="399" t="s">
        <v>1239</v>
      </c>
      <c r="G195" s="399" t="s">
        <v>1239</v>
      </c>
      <c r="H195" s="399" t="s">
        <v>1239</v>
      </c>
      <c r="I195" s="399" t="s">
        <v>2326</v>
      </c>
      <c r="J195" s="399" t="s">
        <v>2329</v>
      </c>
      <c r="K195" s="789">
        <v>44562</v>
      </c>
      <c r="L195" s="399">
        <v>6317</v>
      </c>
      <c r="M195" s="399">
        <v>6317</v>
      </c>
      <c r="N195" s="399">
        <v>3177.6329999999998</v>
      </c>
      <c r="O195" s="399">
        <v>3177.6329999999998</v>
      </c>
      <c r="P195" s="399">
        <v>3177.6329999999998</v>
      </c>
      <c r="Q195" s="399">
        <v>3177.6329999999998</v>
      </c>
      <c r="R195" s="399">
        <v>18.12</v>
      </c>
      <c r="S195" s="399">
        <v>96.28</v>
      </c>
      <c r="T195" s="399">
        <v>128.11000000000001</v>
      </c>
      <c r="U195" s="399">
        <v>114464.04000000001</v>
      </c>
      <c r="V195" s="399">
        <v>713029.06887000008</v>
      </c>
      <c r="W195" s="399">
        <v>827493.10887000011</v>
      </c>
      <c r="X195" s="399">
        <v>805104.12711999996</v>
      </c>
      <c r="Y195" s="399">
        <v>0</v>
      </c>
      <c r="Z195" s="399">
        <v>169234.26356996535</v>
      </c>
      <c r="AA195" s="399">
        <v>0</v>
      </c>
      <c r="AB195" s="399">
        <v>0</v>
      </c>
      <c r="AC195" s="399">
        <v>0</v>
      </c>
      <c r="AD195" s="399">
        <v>0</v>
      </c>
      <c r="AE195" s="399">
        <v>82493.313354723243</v>
      </c>
      <c r="AF195" s="399">
        <v>407089.8887851935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30040.867049894063</v>
      </c>
      <c r="AM195" s="399"/>
      <c r="AN195" s="399">
        <v>1562.1264568160636</v>
      </c>
      <c r="AO195" s="399">
        <v>5021.1963924143383</v>
      </c>
      <c r="AP195" s="399">
        <v>26918.765008731374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16646.396896759084</v>
      </c>
      <c r="BH195" s="399">
        <v>0</v>
      </c>
      <c r="BI195" s="399">
        <v>0</v>
      </c>
      <c r="BJ195" s="399">
        <v>0</v>
      </c>
      <c r="BK195" s="399">
        <v>0</v>
      </c>
      <c r="BL195" s="399">
        <v>0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423736.28568195261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805103.45320000011</v>
      </c>
      <c r="CJ195" s="399">
        <v>-22389.685669999919</v>
      </c>
      <c r="CK195" s="399"/>
      <c r="CL195" s="399"/>
      <c r="CM195" s="399"/>
      <c r="CN195" s="399"/>
      <c r="CO195" s="399">
        <v>-41009.911130000008</v>
      </c>
      <c r="CP195" s="399">
        <v>18620.92937999995</v>
      </c>
      <c r="CQ195" s="399">
        <v>31</v>
      </c>
      <c r="CR195" s="399">
        <v>3122.2139345887117</v>
      </c>
      <c r="CS195" s="399">
        <v>366.52629853276176</v>
      </c>
      <c r="CT195" s="399">
        <v>1964.9570597615239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0</v>
      </c>
      <c r="DA195" s="399">
        <v>0</v>
      </c>
      <c r="DB195" s="399">
        <v>0</v>
      </c>
      <c r="DC195" s="399">
        <v>18619.131658105529</v>
      </c>
      <c r="DD195" s="399">
        <v>0</v>
      </c>
      <c r="DE195" s="399">
        <v>0</v>
      </c>
      <c r="DF195" s="399">
        <v>0</v>
      </c>
      <c r="DG195" s="399">
        <v>761.35876618973271</v>
      </c>
      <c r="DH195" s="399">
        <v>0</v>
      </c>
      <c r="DI195" s="399">
        <v>-16008.069117449981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-2398.660520349662</v>
      </c>
      <c r="DP195" s="399">
        <v>-183.03021020128222</v>
      </c>
      <c r="DQ195" s="399">
        <v>0</v>
      </c>
      <c r="DR195" s="399">
        <v>0</v>
      </c>
      <c r="DS195" s="399"/>
      <c r="DT195" s="399"/>
      <c r="DU195" s="399">
        <v>82493.313354723243</v>
      </c>
      <c r="DV195" s="399">
        <v>0</v>
      </c>
      <c r="DW195" s="399">
        <v>0</v>
      </c>
      <c r="DX195" s="399">
        <v>0</v>
      </c>
      <c r="DY195" s="399">
        <v>-41009.911130000022</v>
      </c>
      <c r="DZ195" s="399">
        <v>18620.929379999929</v>
      </c>
      <c r="EA195" s="399">
        <v>0</v>
      </c>
      <c r="EB195" s="399">
        <v>0</v>
      </c>
      <c r="EC195" s="399">
        <v>-25507.008788424631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88461.196956109372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230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194</v>
      </c>
      <c r="B196" s="399" t="s">
        <v>956</v>
      </c>
      <c r="C196" s="399" t="s">
        <v>2336</v>
      </c>
      <c r="D196" s="399" t="s">
        <v>533</v>
      </c>
      <c r="E196" s="399" t="s">
        <v>890</v>
      </c>
      <c r="F196" s="399" t="s">
        <v>1239</v>
      </c>
      <c r="G196" s="399" t="s">
        <v>1239</v>
      </c>
      <c r="H196" s="399" t="s">
        <v>1239</v>
      </c>
      <c r="I196" s="399" t="s">
        <v>1239</v>
      </c>
      <c r="J196" s="399" t="s">
        <v>2329</v>
      </c>
      <c r="K196" s="789">
        <v>44562</v>
      </c>
      <c r="L196" s="399">
        <v>0</v>
      </c>
      <c r="M196" s="399">
        <v>0</v>
      </c>
      <c r="N196" s="399">
        <v>0</v>
      </c>
      <c r="O196" s="399">
        <v>0</v>
      </c>
      <c r="P196" s="399">
        <v>0</v>
      </c>
      <c r="Q196" s="399">
        <v>0</v>
      </c>
      <c r="R196" s="399"/>
      <c r="S196" s="399"/>
      <c r="T196" s="399"/>
      <c r="U196" s="399"/>
      <c r="V196" s="399"/>
      <c r="W196" s="399"/>
      <c r="X196" s="399"/>
      <c r="Y196" s="399"/>
      <c r="Z196" s="399"/>
      <c r="AA196" s="399">
        <v>0</v>
      </c>
      <c r="AB196" s="399"/>
      <c r="AC196" s="399"/>
      <c r="AD196" s="399"/>
      <c r="AE196" s="399"/>
      <c r="AF196" s="399"/>
      <c r="AG196" s="399"/>
      <c r="AH196" s="399"/>
      <c r="AI196" s="399"/>
      <c r="AJ196" s="399"/>
      <c r="AK196" s="399"/>
      <c r="AL196" s="399"/>
      <c r="AM196" s="399"/>
      <c r="AN196" s="399"/>
      <c r="AO196" s="399"/>
      <c r="AP196" s="399"/>
      <c r="AQ196" s="399"/>
      <c r="AR196" s="399"/>
      <c r="AS196" s="399"/>
      <c r="AT196" s="399"/>
      <c r="AU196" s="399"/>
      <c r="AV196" s="399"/>
      <c r="AW196" s="399"/>
      <c r="AX196" s="399"/>
      <c r="AY196" s="399"/>
      <c r="AZ196" s="399">
        <v>0</v>
      </c>
      <c r="BA196" s="399"/>
      <c r="BB196" s="399"/>
      <c r="BC196" s="399"/>
      <c r="BD196" s="399"/>
      <c r="BE196" s="399"/>
      <c r="BF196" s="399"/>
      <c r="BG196" s="399"/>
      <c r="BH196" s="399"/>
      <c r="BI196" s="399">
        <v>0</v>
      </c>
      <c r="BJ196" s="399">
        <v>0</v>
      </c>
      <c r="BK196" s="399">
        <v>0</v>
      </c>
      <c r="BL196" s="399">
        <v>1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/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/>
      <c r="CJ196" s="399">
        <v>-0.03</v>
      </c>
      <c r="CK196" s="399"/>
      <c r="CL196" s="399"/>
      <c r="CM196" s="399"/>
      <c r="CN196" s="399"/>
      <c r="CO196" s="399">
        <v>0</v>
      </c>
      <c r="CP196" s="399">
        <v>0</v>
      </c>
      <c r="CQ196" s="399">
        <v>31</v>
      </c>
      <c r="CR196" s="399"/>
      <c r="CS196" s="399"/>
      <c r="CT196" s="399"/>
      <c r="CU196" s="399"/>
      <c r="CV196" s="399"/>
      <c r="CW196" s="399"/>
      <c r="CX196" s="399"/>
      <c r="CY196" s="399"/>
      <c r="CZ196" s="399"/>
      <c r="DA196" s="399"/>
      <c r="DB196" s="399"/>
      <c r="DC196" s="399"/>
      <c r="DD196" s="399"/>
      <c r="DE196" s="399"/>
      <c r="DF196" s="399"/>
      <c r="DG196" s="399"/>
      <c r="DH196" s="399"/>
      <c r="DI196" s="399"/>
      <c r="DJ196" s="399"/>
      <c r="DK196" s="399">
        <v>0</v>
      </c>
      <c r="DL196" s="399"/>
      <c r="DM196" s="399"/>
      <c r="DN196" s="399"/>
      <c r="DO196" s="399"/>
      <c r="DP196" s="399"/>
      <c r="DQ196" s="399"/>
      <c r="DR196" s="399"/>
      <c r="DS196" s="399"/>
      <c r="DT196" s="399"/>
      <c r="DU196" s="399"/>
      <c r="DV196" s="399"/>
      <c r="DW196" s="399"/>
      <c r="DX196" s="399"/>
      <c r="DY196" s="399"/>
      <c r="DZ196" s="399"/>
      <c r="EA196" s="399"/>
      <c r="EB196" s="399"/>
      <c r="EC196" s="399"/>
      <c r="ED196" s="399"/>
      <c r="EE196" s="399"/>
      <c r="EF196" s="399"/>
      <c r="EG196" s="399"/>
      <c r="EH196" s="399"/>
      <c r="EI196" s="399"/>
      <c r="EJ196" s="399"/>
      <c r="EK196" s="399"/>
      <c r="EL196" s="399"/>
      <c r="EM196" s="399"/>
      <c r="EN196" s="399"/>
      <c r="EO196" s="399"/>
      <c r="EP196" s="399"/>
      <c r="EQ196" s="399"/>
      <c r="ER196" s="399"/>
      <c r="ES196" s="399"/>
      <c r="ET196" s="399"/>
      <c r="EU196" s="399"/>
      <c r="EV196" s="399">
        <v>230</v>
      </c>
      <c r="EW196" s="399"/>
      <c r="EX196" s="399"/>
      <c r="EY196" s="399"/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195</v>
      </c>
      <c r="B197" s="399" t="s">
        <v>956</v>
      </c>
      <c r="C197" s="399" t="s">
        <v>2337</v>
      </c>
      <c r="D197" s="399" t="s">
        <v>533</v>
      </c>
      <c r="E197" s="399" t="s">
        <v>890</v>
      </c>
      <c r="F197" s="399" t="s">
        <v>1239</v>
      </c>
      <c r="G197" s="399" t="s">
        <v>1239</v>
      </c>
      <c r="H197" s="399" t="s">
        <v>1239</v>
      </c>
      <c r="I197" s="399" t="s">
        <v>893</v>
      </c>
      <c r="J197" s="399" t="s">
        <v>2329</v>
      </c>
      <c r="K197" s="789">
        <v>44562</v>
      </c>
      <c r="L197" s="399">
        <v>0</v>
      </c>
      <c r="M197" s="399">
        <v>0</v>
      </c>
      <c r="N197" s="399">
        <v>778.56700000000001</v>
      </c>
      <c r="O197" s="399">
        <v>778.56700000000001</v>
      </c>
      <c r="P197" s="399">
        <v>778.56700000000001</v>
      </c>
      <c r="Q197" s="399">
        <v>778.56700000000001</v>
      </c>
      <c r="R197" s="399"/>
      <c r="S197" s="399">
        <v>1351.49</v>
      </c>
      <c r="T197" s="399">
        <v>128.11000000000001</v>
      </c>
      <c r="U197" s="399"/>
      <c r="V197" s="399">
        <v>1151967.7332000001</v>
      </c>
      <c r="W197" s="399">
        <v>1151967.7332000001</v>
      </c>
      <c r="X197" s="399">
        <v>889053.44296999997</v>
      </c>
      <c r="Y197" s="399">
        <v>0</v>
      </c>
      <c r="Z197" s="399">
        <v>41464.893172017415</v>
      </c>
      <c r="AA197" s="399">
        <v>0</v>
      </c>
      <c r="AB197" s="399">
        <v>0</v>
      </c>
      <c r="AC197" s="399">
        <v>0</v>
      </c>
      <c r="AD197" s="399">
        <v>0</v>
      </c>
      <c r="AE197" s="399">
        <v>875066.19947838667</v>
      </c>
      <c r="AF197" s="399">
        <v>99743.033082115449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7360.455954616179</v>
      </c>
      <c r="AM197" s="399"/>
      <c r="AN197" s="399">
        <v>382.74404536455671</v>
      </c>
      <c r="AO197" s="399">
        <v>16172.805673686256</v>
      </c>
      <c r="AP197" s="399">
        <v>86025.485306794071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4078.6130093434422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103821.6460914589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889056.86870000011</v>
      </c>
      <c r="CJ197" s="399">
        <v>-262910.89450000005</v>
      </c>
      <c r="CK197" s="399"/>
      <c r="CL197" s="399"/>
      <c r="CM197" s="399"/>
      <c r="CN197" s="399"/>
      <c r="CO197" s="399">
        <v>-267476.69284999999</v>
      </c>
      <c r="CP197" s="399">
        <v>4562.4026199999889</v>
      </c>
      <c r="CQ197" s="399">
        <v>31</v>
      </c>
      <c r="CR197" s="399">
        <v>7653.7877106156666</v>
      </c>
      <c r="CS197" s="399">
        <v>1180.5470523760268</v>
      </c>
      <c r="CT197" s="399">
        <v>6279.4999925951561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0</v>
      </c>
      <c r="DA197" s="399">
        <v>0</v>
      </c>
      <c r="DB197" s="399">
        <v>0</v>
      </c>
      <c r="DC197" s="399">
        <v>4561.9621515940526</v>
      </c>
      <c r="DD197" s="399">
        <v>0</v>
      </c>
      <c r="DE197" s="399">
        <v>0</v>
      </c>
      <c r="DF197" s="399">
        <v>0</v>
      </c>
      <c r="DG197" s="399">
        <v>186.54413851947174</v>
      </c>
      <c r="DH197" s="399">
        <v>0</v>
      </c>
      <c r="DI197" s="399">
        <v>-3922.2132790557225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-587.70724163145223</v>
      </c>
      <c r="DP197" s="399">
        <v>-44.845103781897365</v>
      </c>
      <c r="DQ197" s="399">
        <v>0</v>
      </c>
      <c r="DR197" s="399">
        <v>0</v>
      </c>
      <c r="DS197" s="399"/>
      <c r="DT197" s="399"/>
      <c r="DU197" s="399"/>
      <c r="DV197" s="399">
        <v>875066.19947838667</v>
      </c>
      <c r="DW197" s="399">
        <v>0</v>
      </c>
      <c r="DX197" s="399">
        <v>0</v>
      </c>
      <c r="DY197" s="399">
        <v>-267476.69284999999</v>
      </c>
      <c r="DZ197" s="399">
        <v>4562.4026199999789</v>
      </c>
      <c r="EA197" s="399">
        <v>0</v>
      </c>
      <c r="EB197" s="399">
        <v>0</v>
      </c>
      <c r="EC197" s="399">
        <v>-270571.27823888557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21674.29930722875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230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196</v>
      </c>
      <c r="B198" s="399" t="s">
        <v>956</v>
      </c>
      <c r="C198" s="399" t="s">
        <v>2337</v>
      </c>
      <c r="D198" s="399" t="s">
        <v>533</v>
      </c>
      <c r="E198" s="399" t="s">
        <v>890</v>
      </c>
      <c r="F198" s="399" t="s">
        <v>1239</v>
      </c>
      <c r="G198" s="399" t="s">
        <v>1239</v>
      </c>
      <c r="H198" s="399" t="s">
        <v>1239</v>
      </c>
      <c r="I198" s="399" t="s">
        <v>2326</v>
      </c>
      <c r="J198" s="399" t="s">
        <v>2329</v>
      </c>
      <c r="K198" s="789">
        <v>44562</v>
      </c>
      <c r="L198" s="399">
        <v>0</v>
      </c>
      <c r="M198" s="399">
        <v>0</v>
      </c>
      <c r="N198" s="399">
        <v>12307.626</v>
      </c>
      <c r="O198" s="399">
        <v>12307.626</v>
      </c>
      <c r="P198" s="399">
        <v>12307.626</v>
      </c>
      <c r="Q198" s="399">
        <v>12307.626</v>
      </c>
      <c r="R198" s="399"/>
      <c r="S198" s="399">
        <v>96.28</v>
      </c>
      <c r="T198" s="399">
        <v>128.11000000000001</v>
      </c>
      <c r="U198" s="399"/>
      <c r="V198" s="399">
        <v>2761708.19814</v>
      </c>
      <c r="W198" s="399">
        <v>2761708.19814</v>
      </c>
      <c r="X198" s="399">
        <v>2764785.10464</v>
      </c>
      <c r="Y198" s="399">
        <v>0</v>
      </c>
      <c r="Z198" s="399">
        <v>655479.10108075989</v>
      </c>
      <c r="AA198" s="399">
        <v>0</v>
      </c>
      <c r="AB198" s="399">
        <v>0</v>
      </c>
      <c r="AC198" s="399">
        <v>0</v>
      </c>
      <c r="AD198" s="399">
        <v>0</v>
      </c>
      <c r="AE198" s="399">
        <v>0</v>
      </c>
      <c r="AF198" s="399">
        <v>1576742.8458697894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116354.45514501502</v>
      </c>
      <c r="AM198" s="399"/>
      <c r="AN198" s="399">
        <v>6050.4369746906787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64474.918045246712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1641217.7639150361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2764786.0032000002</v>
      </c>
      <c r="CJ198" s="399">
        <v>3077.7750599998981</v>
      </c>
      <c r="CK198" s="399"/>
      <c r="CL198" s="399"/>
      <c r="CM198" s="399"/>
      <c r="CN198" s="399"/>
      <c r="CO198" s="399">
        <v>-69045.781859999988</v>
      </c>
      <c r="CP198" s="399">
        <v>72122.688359999825</v>
      </c>
      <c r="CQ198" s="399">
        <v>31</v>
      </c>
      <c r="CR198" s="399">
        <v>3062.6621135277674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0</v>
      </c>
      <c r="DA198" s="399">
        <v>0</v>
      </c>
      <c r="DB198" s="399">
        <v>0</v>
      </c>
      <c r="DC198" s="399">
        <v>72115.72541345167</v>
      </c>
      <c r="DD198" s="399">
        <v>0</v>
      </c>
      <c r="DE198" s="399">
        <v>0</v>
      </c>
      <c r="DF198" s="399">
        <v>0</v>
      </c>
      <c r="DG198" s="399">
        <v>2948.8990535045014</v>
      </c>
      <c r="DH198" s="399">
        <v>0</v>
      </c>
      <c r="DI198" s="399">
        <v>-62002.543301798636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-9290.5054124969902</v>
      </c>
      <c r="DP198" s="399">
        <v>-708.91363913289206</v>
      </c>
      <c r="DQ198" s="399">
        <v>0</v>
      </c>
      <c r="DR198" s="399">
        <v>0</v>
      </c>
      <c r="DS198" s="399"/>
      <c r="DT198" s="399"/>
      <c r="DU198" s="399"/>
      <c r="DV198" s="399">
        <v>0</v>
      </c>
      <c r="DW198" s="399">
        <v>0</v>
      </c>
      <c r="DX198" s="399">
        <v>0</v>
      </c>
      <c r="DY198" s="399">
        <v>-69045.781859999988</v>
      </c>
      <c r="DZ198" s="399">
        <v>72122.688359999796</v>
      </c>
      <c r="EA198" s="399">
        <v>0</v>
      </c>
      <c r="EB198" s="399">
        <v>0</v>
      </c>
      <c r="EC198" s="399">
        <v>0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342628.40537221654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230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197</v>
      </c>
      <c r="B199" s="399" t="s">
        <v>956</v>
      </c>
      <c r="C199" s="399" t="s">
        <v>2337</v>
      </c>
      <c r="D199" s="399" t="s">
        <v>533</v>
      </c>
      <c r="E199" s="399" t="s">
        <v>890</v>
      </c>
      <c r="F199" s="399" t="s">
        <v>1239</v>
      </c>
      <c r="G199" s="399" t="s">
        <v>1239</v>
      </c>
      <c r="H199" s="399" t="s">
        <v>1239</v>
      </c>
      <c r="I199" s="399" t="s">
        <v>1239</v>
      </c>
      <c r="J199" s="399" t="s">
        <v>2329</v>
      </c>
      <c r="K199" s="789">
        <v>44562</v>
      </c>
      <c r="L199" s="399">
        <v>49908</v>
      </c>
      <c r="M199" s="399">
        <v>49908</v>
      </c>
      <c r="N199" s="399">
        <v>0</v>
      </c>
      <c r="O199" s="399">
        <v>0</v>
      </c>
      <c r="P199" s="399">
        <v>0</v>
      </c>
      <c r="Q199" s="399">
        <v>0</v>
      </c>
      <c r="R199" s="399">
        <v>18.12</v>
      </c>
      <c r="S199" s="399"/>
      <c r="T199" s="399"/>
      <c r="U199" s="399">
        <v>904332.96000000008</v>
      </c>
      <c r="V199" s="399"/>
      <c r="W199" s="399">
        <v>904332.96000000008</v>
      </c>
      <c r="X199" s="399">
        <v>721170.6</v>
      </c>
      <c r="Y199" s="399">
        <v>0</v>
      </c>
      <c r="Z199" s="399">
        <v>0</v>
      </c>
      <c r="AA199" s="399">
        <v>0</v>
      </c>
      <c r="AB199" s="399">
        <v>0</v>
      </c>
      <c r="AC199" s="399">
        <v>0</v>
      </c>
      <c r="AD199" s="399">
        <v>0</v>
      </c>
      <c r="AE199" s="399">
        <v>651745.49357409019</v>
      </c>
      <c r="AF199" s="399"/>
      <c r="AG199" s="399"/>
      <c r="AH199" s="399"/>
      <c r="AI199" s="399">
        <v>0</v>
      </c>
      <c r="AJ199" s="399">
        <v>0</v>
      </c>
      <c r="AK199" s="399">
        <v>0</v>
      </c>
      <c r="AL199" s="399">
        <v>0</v>
      </c>
      <c r="AM199" s="399"/>
      <c r="AN199" s="399">
        <v>0</v>
      </c>
      <c r="AO199" s="399">
        <v>39670.392520597561</v>
      </c>
      <c r="AP199" s="399">
        <v>212674.01045682532</v>
      </c>
      <c r="AQ199" s="399">
        <v>0</v>
      </c>
      <c r="AR199" s="399">
        <v>0</v>
      </c>
      <c r="AS199" s="399"/>
      <c r="AT199" s="399"/>
      <c r="AU199" s="399">
        <v>0</v>
      </c>
      <c r="AV199" s="399">
        <v>0</v>
      </c>
      <c r="AW199" s="399">
        <v>0</v>
      </c>
      <c r="AX199" s="399"/>
      <c r="AY199" s="399"/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/>
      <c r="BG199" s="399">
        <v>0</v>
      </c>
      <c r="BH199" s="399">
        <v>0</v>
      </c>
      <c r="BI199" s="399">
        <v>0</v>
      </c>
      <c r="BJ199" s="399">
        <v>0</v>
      </c>
      <c r="BK199" s="399">
        <v>1884253.41</v>
      </c>
      <c r="BL199" s="399">
        <v>98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0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721170.6</v>
      </c>
      <c r="CJ199" s="399">
        <v>-183162.39000000013</v>
      </c>
      <c r="CK199" s="399"/>
      <c r="CL199" s="399"/>
      <c r="CM199" s="399"/>
      <c r="CN199" s="399"/>
      <c r="CO199" s="399">
        <v>-183162.36000000007</v>
      </c>
      <c r="CP199" s="399">
        <v>0</v>
      </c>
      <c r="CQ199" s="399">
        <v>31</v>
      </c>
      <c r="CR199" s="399">
        <v>18420.084129452414</v>
      </c>
      <c r="CS199" s="399">
        <v>2895.7724405846238</v>
      </c>
      <c r="CT199" s="399">
        <v>15524.311688867805</v>
      </c>
      <c r="CU199" s="399">
        <v>0</v>
      </c>
      <c r="CV199" s="399">
        <v>0</v>
      </c>
      <c r="CW199" s="399"/>
      <c r="CX199" s="399"/>
      <c r="CY199" s="399"/>
      <c r="CZ199" s="399">
        <v>0</v>
      </c>
      <c r="DA199" s="399">
        <v>0</v>
      </c>
      <c r="DB199" s="399">
        <v>0</v>
      </c>
      <c r="DC199" s="399"/>
      <c r="DD199" s="399"/>
      <c r="DE199" s="399">
        <v>0</v>
      </c>
      <c r="DF199" s="399">
        <v>0</v>
      </c>
      <c r="DG199" s="399">
        <v>0</v>
      </c>
      <c r="DH199" s="399">
        <v>0</v>
      </c>
      <c r="DI199" s="399">
        <v>0</v>
      </c>
      <c r="DJ199" s="399"/>
      <c r="DK199" s="399">
        <v>0</v>
      </c>
      <c r="DL199" s="399">
        <v>0</v>
      </c>
      <c r="DM199" s="399"/>
      <c r="DN199" s="399">
        <v>0</v>
      </c>
      <c r="DO199" s="399">
        <v>0</v>
      </c>
      <c r="DP199" s="399">
        <v>0</v>
      </c>
      <c r="DQ199" s="399">
        <v>0</v>
      </c>
      <c r="DR199" s="399">
        <v>0</v>
      </c>
      <c r="DS199" s="399"/>
      <c r="DT199" s="399"/>
      <c r="DU199" s="399">
        <v>651745.49357409019</v>
      </c>
      <c r="DV199" s="399"/>
      <c r="DW199" s="399">
        <v>0</v>
      </c>
      <c r="DX199" s="399">
        <v>0</v>
      </c>
      <c r="DY199" s="399">
        <v>-183162.3600000001</v>
      </c>
      <c r="DZ199" s="399"/>
      <c r="EA199" s="399">
        <v>0</v>
      </c>
      <c r="EB199" s="399"/>
      <c r="EC199" s="399">
        <v>-201520.30942103796</v>
      </c>
      <c r="ED199" s="399"/>
      <c r="EE199" s="399">
        <v>0</v>
      </c>
      <c r="EF199" s="399">
        <v>0</v>
      </c>
      <c r="EG199" s="399"/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/>
      <c r="EN199" s="399"/>
      <c r="EO199" s="399">
        <v>0</v>
      </c>
      <c r="EP199" s="399">
        <v>0</v>
      </c>
      <c r="EQ199" s="399"/>
      <c r="ER199" s="399">
        <v>0</v>
      </c>
      <c r="ES199" s="399"/>
      <c r="ET199" s="399">
        <v>0</v>
      </c>
      <c r="EU199" s="399"/>
      <c r="EV199" s="399">
        <v>230</v>
      </c>
      <c r="EW199" s="399"/>
      <c r="EX199" s="399"/>
      <c r="EY199" s="399"/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198</v>
      </c>
      <c r="B200" s="399" t="s">
        <v>956</v>
      </c>
      <c r="C200" s="399" t="s">
        <v>2328</v>
      </c>
      <c r="D200" s="399" t="s">
        <v>1826</v>
      </c>
      <c r="E200" s="399" t="s">
        <v>918</v>
      </c>
      <c r="F200" s="399" t="s">
        <v>1239</v>
      </c>
      <c r="G200" s="399" t="s">
        <v>1239</v>
      </c>
      <c r="H200" s="399" t="s">
        <v>1239</v>
      </c>
      <c r="I200" s="399" t="s">
        <v>1239</v>
      </c>
      <c r="J200" s="399" t="s">
        <v>2329</v>
      </c>
      <c r="K200" s="789">
        <v>44562</v>
      </c>
      <c r="L200" s="399">
        <v>0</v>
      </c>
      <c r="M200" s="399">
        <v>0</v>
      </c>
      <c r="N200" s="399">
        <v>1327.3530000000001</v>
      </c>
      <c r="O200" s="399">
        <v>1327.3530000000001</v>
      </c>
      <c r="P200" s="399">
        <v>1327.3530000000001</v>
      </c>
      <c r="Q200" s="399">
        <v>1327.3530000000001</v>
      </c>
      <c r="R200" s="399"/>
      <c r="S200" s="399">
        <v>333.61</v>
      </c>
      <c r="T200" s="399">
        <v>128.11000000000001</v>
      </c>
      <c r="U200" s="399"/>
      <c r="V200" s="399">
        <v>612865.42716000008</v>
      </c>
      <c r="W200" s="399">
        <v>612865.42716000008</v>
      </c>
      <c r="X200" s="399">
        <v>534963.07958999998</v>
      </c>
      <c r="Y200" s="399">
        <v>0</v>
      </c>
      <c r="Z200" s="399">
        <v>81255.308210810937</v>
      </c>
      <c r="AA200" s="399">
        <v>0</v>
      </c>
      <c r="AB200" s="399">
        <v>0</v>
      </c>
      <c r="AC200" s="399">
        <v>0</v>
      </c>
      <c r="AD200" s="399">
        <v>0</v>
      </c>
      <c r="AE200" s="399">
        <v>258165.11225474131</v>
      </c>
      <c r="AF200" s="399">
        <v>170048.58180560594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12548.596707447978</v>
      </c>
      <c r="AM200" s="399"/>
      <c r="AN200" s="399">
        <v>1142.0384685437077</v>
      </c>
      <c r="AO200" s="399">
        <v>4613.9057986083462</v>
      </c>
      <c r="AP200" s="399">
        <v>24612.622967372343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18010.017735560261</v>
      </c>
      <c r="BH200" s="399">
        <v>0</v>
      </c>
      <c r="BI200" s="399">
        <v>0</v>
      </c>
      <c r="BJ200" s="399">
        <v>0</v>
      </c>
      <c r="BK200" s="399">
        <v>239749.79</v>
      </c>
      <c r="BL200" s="399">
        <v>1661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188058.59954116619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534961.87049999996</v>
      </c>
      <c r="CJ200" s="399">
        <v>-77903.586660000146</v>
      </c>
      <c r="CK200" s="399"/>
      <c r="CL200" s="399"/>
      <c r="CM200" s="399"/>
      <c r="CN200" s="399"/>
      <c r="CO200" s="399">
        <v>-85680.63615000002</v>
      </c>
      <c r="CP200" s="399">
        <v>7778.2885799999804</v>
      </c>
      <c r="CQ200" s="399">
        <v>31</v>
      </c>
      <c r="CR200" s="399">
        <v>1912.870834163914</v>
      </c>
      <c r="CS200" s="399">
        <v>336.7957916757905</v>
      </c>
      <c r="CT200" s="399">
        <v>1796.6183531563693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0</v>
      </c>
      <c r="DA200" s="399">
        <v>0</v>
      </c>
      <c r="DB200" s="399">
        <v>0</v>
      </c>
      <c r="DC200" s="399">
        <v>7777.5376400551468</v>
      </c>
      <c r="DD200" s="399">
        <v>0</v>
      </c>
      <c r="DE200" s="399">
        <v>0</v>
      </c>
      <c r="DF200" s="399">
        <v>0</v>
      </c>
      <c r="DG200" s="399">
        <v>823.72689821360473</v>
      </c>
      <c r="DH200" s="399">
        <v>0</v>
      </c>
      <c r="DI200" s="399">
        <v>-7686.0356913514988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-1001.9625418252162</v>
      </c>
      <c r="DP200" s="399">
        <v>-133.80961576026812</v>
      </c>
      <c r="DQ200" s="399">
        <v>0</v>
      </c>
      <c r="DR200" s="399">
        <v>0</v>
      </c>
      <c r="DS200" s="399"/>
      <c r="DT200" s="399"/>
      <c r="DU200" s="399"/>
      <c r="DV200" s="399">
        <v>258165.11225474131</v>
      </c>
      <c r="DW200" s="399">
        <v>0</v>
      </c>
      <c r="DX200" s="399">
        <v>0</v>
      </c>
      <c r="DY200" s="399">
        <v>-85680.636150000035</v>
      </c>
      <c r="DZ200" s="399">
        <v>7778.2885799999931</v>
      </c>
      <c r="EA200" s="399">
        <v>0</v>
      </c>
      <c r="EB200" s="399">
        <v>0</v>
      </c>
      <c r="EC200" s="399">
        <v>-79824.89148945405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42473.324678688783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230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199</v>
      </c>
      <c r="B201" s="399" t="s">
        <v>2330</v>
      </c>
      <c r="C201" s="399" t="s">
        <v>2328</v>
      </c>
      <c r="D201" s="399" t="s">
        <v>1826</v>
      </c>
      <c r="E201" s="399" t="s">
        <v>918</v>
      </c>
      <c r="F201" s="399" t="s">
        <v>1239</v>
      </c>
      <c r="G201" s="399" t="s">
        <v>1239</v>
      </c>
      <c r="H201" s="399" t="s">
        <v>1239</v>
      </c>
      <c r="I201" s="399" t="s">
        <v>1239</v>
      </c>
      <c r="J201" s="399" t="s">
        <v>2329</v>
      </c>
      <c r="K201" s="789">
        <v>44562</v>
      </c>
      <c r="L201" s="399">
        <v>0</v>
      </c>
      <c r="M201" s="399">
        <v>0</v>
      </c>
      <c r="N201" s="399">
        <v>-9.4E-2</v>
      </c>
      <c r="O201" s="399">
        <v>-9.4E-2</v>
      </c>
      <c r="P201" s="399">
        <v>-9.4E-2</v>
      </c>
      <c r="Q201" s="399">
        <v>-9.4E-2</v>
      </c>
      <c r="R201" s="399"/>
      <c r="S201" s="399">
        <v>333.61</v>
      </c>
      <c r="T201" s="399">
        <v>128.11000000000001</v>
      </c>
      <c r="U201" s="399"/>
      <c r="V201" s="399">
        <v>-43.401680000000006</v>
      </c>
      <c r="W201" s="399">
        <v>-43.401680000000006</v>
      </c>
      <c r="X201" s="399">
        <v>-37.884820000000005</v>
      </c>
      <c r="Y201" s="399">
        <v>0</v>
      </c>
      <c r="Z201" s="399">
        <v>-5.7543087421478889</v>
      </c>
      <c r="AA201" s="399">
        <v>0</v>
      </c>
      <c r="AB201" s="399">
        <v>0</v>
      </c>
      <c r="AC201" s="399">
        <v>0</v>
      </c>
      <c r="AD201" s="399">
        <v>0</v>
      </c>
      <c r="AE201" s="399">
        <v>-18.282642636846173</v>
      </c>
      <c r="AF201" s="399">
        <v>-12.042438363967202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-0.88866193883624767</v>
      </c>
      <c r="AM201" s="399"/>
      <c r="AN201" s="399">
        <v>-8.0876463188849182E-2</v>
      </c>
      <c r="AO201" s="399">
        <v>-0.32674589583116509</v>
      </c>
      <c r="AP201" s="399">
        <v>-1.7430077446866057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-1.2754268586748698</v>
      </c>
      <c r="BH201" s="399">
        <v>0</v>
      </c>
      <c r="BI201" s="399">
        <v>0</v>
      </c>
      <c r="BJ201" s="399">
        <v>0</v>
      </c>
      <c r="BK201" s="399">
        <v>-17.079999999999998</v>
      </c>
      <c r="BL201" s="399">
        <v>0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-13.317865222642071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-36.2727</v>
      </c>
      <c r="CJ201" s="399">
        <v>7.0989800000000045</v>
      </c>
      <c r="CK201" s="399"/>
      <c r="CL201" s="399"/>
      <c r="CM201" s="399"/>
      <c r="CN201" s="399"/>
      <c r="CO201" s="399">
        <v>6.0677000000000012</v>
      </c>
      <c r="CP201" s="399">
        <v>-0.55083999999999866</v>
      </c>
      <c r="CQ201" s="399">
        <v>31</v>
      </c>
      <c r="CR201" s="399">
        <v>-0.13546498814664076</v>
      </c>
      <c r="CS201" s="399">
        <v>-2.3851081375884486E-2</v>
      </c>
      <c r="CT201" s="399">
        <v>-0.12723226240246488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0</v>
      </c>
      <c r="DA201" s="399">
        <v>0</v>
      </c>
      <c r="DB201" s="399">
        <v>0</v>
      </c>
      <c r="DC201" s="399">
        <v>-0.55078682020923075</v>
      </c>
      <c r="DD201" s="399">
        <v>0</v>
      </c>
      <c r="DE201" s="399">
        <v>0</v>
      </c>
      <c r="DF201" s="399">
        <v>0</v>
      </c>
      <c r="DG201" s="399">
        <v>-5.8334390649720902E-2</v>
      </c>
      <c r="DH201" s="399">
        <v>0</v>
      </c>
      <c r="DI201" s="399">
        <v>0.54430686862277078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7.0956617366721875E-2</v>
      </c>
      <c r="DP201" s="399">
        <v>9.4760805011667726E-3</v>
      </c>
      <c r="DQ201" s="399">
        <v>0</v>
      </c>
      <c r="DR201" s="399">
        <v>0</v>
      </c>
      <c r="DS201" s="399"/>
      <c r="DT201" s="399"/>
      <c r="DU201" s="399"/>
      <c r="DV201" s="399">
        <v>-18.282642636846173</v>
      </c>
      <c r="DW201" s="399">
        <v>0</v>
      </c>
      <c r="DX201" s="399">
        <v>0</v>
      </c>
      <c r="DY201" s="399">
        <v>6.0677000000000021</v>
      </c>
      <c r="DZ201" s="399">
        <v>-0.55083999999999911</v>
      </c>
      <c r="EA201" s="399">
        <v>0</v>
      </c>
      <c r="EB201" s="399">
        <v>0</v>
      </c>
      <c r="EC201" s="399">
        <v>5.6530100131680694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-3.0078603956873158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230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200</v>
      </c>
      <c r="B202" s="399" t="s">
        <v>2331</v>
      </c>
      <c r="C202" s="399" t="s">
        <v>2328</v>
      </c>
      <c r="D202" s="399" t="s">
        <v>1826</v>
      </c>
      <c r="E202" s="399" t="s">
        <v>918</v>
      </c>
      <c r="F202" s="399" t="s">
        <v>1239</v>
      </c>
      <c r="G202" s="399" t="s">
        <v>1239</v>
      </c>
      <c r="H202" s="399" t="s">
        <v>1239</v>
      </c>
      <c r="I202" s="399" t="s">
        <v>1239</v>
      </c>
      <c r="J202" s="399" t="s">
        <v>2329</v>
      </c>
      <c r="K202" s="789">
        <v>44562</v>
      </c>
      <c r="L202" s="399">
        <v>0</v>
      </c>
      <c r="M202" s="399">
        <v>0</v>
      </c>
      <c r="N202" s="399">
        <v>0.53</v>
      </c>
      <c r="O202" s="399">
        <v>0.53</v>
      </c>
      <c r="P202" s="399">
        <v>0.53</v>
      </c>
      <c r="Q202" s="399">
        <v>0.53</v>
      </c>
      <c r="R202" s="399"/>
      <c r="S202" s="399">
        <v>333.61</v>
      </c>
      <c r="T202" s="399">
        <v>128.11000000000001</v>
      </c>
      <c r="U202" s="399"/>
      <c r="V202" s="399">
        <v>244.71160000000003</v>
      </c>
      <c r="W202" s="399">
        <v>244.71160000000003</v>
      </c>
      <c r="X202" s="399">
        <v>213.60590000000002</v>
      </c>
      <c r="Y202" s="399">
        <v>0</v>
      </c>
      <c r="Z202" s="399">
        <v>32.444506737642357</v>
      </c>
      <c r="AA202" s="399">
        <v>0</v>
      </c>
      <c r="AB202" s="399">
        <v>0</v>
      </c>
      <c r="AC202" s="399">
        <v>0</v>
      </c>
      <c r="AD202" s="399">
        <v>0</v>
      </c>
      <c r="AE202" s="399">
        <v>103.08298508009014</v>
      </c>
      <c r="AF202" s="399">
        <v>67.898854605346983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5.0105407189703328</v>
      </c>
      <c r="AM202" s="399"/>
      <c r="AN202" s="399">
        <v>0.45600559032010712</v>
      </c>
      <c r="AO202" s="399">
        <v>1.8422906892608246</v>
      </c>
      <c r="AP202" s="399">
        <v>9.8275968583393727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7.1912365435923515</v>
      </c>
      <c r="BH202" s="399">
        <v>0</v>
      </c>
      <c r="BI202" s="399">
        <v>0</v>
      </c>
      <c r="BJ202" s="399">
        <v>0</v>
      </c>
      <c r="BK202" s="399">
        <v>1462.41</v>
      </c>
      <c r="BL202" s="399">
        <v>6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75.090091148939337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213.60590000000002</v>
      </c>
      <c r="CJ202" s="399">
        <v>-31.135699999999986</v>
      </c>
      <c r="CK202" s="399"/>
      <c r="CL202" s="399"/>
      <c r="CM202" s="399"/>
      <c r="CN202" s="399"/>
      <c r="CO202" s="399">
        <v>-34.211500000000008</v>
      </c>
      <c r="CP202" s="399">
        <v>3.1057999999999923</v>
      </c>
      <c r="CQ202" s="399">
        <v>31</v>
      </c>
      <c r="CR202" s="399">
        <v>0.76379195444383186</v>
      </c>
      <c r="CS202" s="399">
        <v>0.13447950137466758</v>
      </c>
      <c r="CT202" s="399">
        <v>0.71737339439687631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0</v>
      </c>
      <c r="DA202" s="399">
        <v>0</v>
      </c>
      <c r="DB202" s="399">
        <v>0</v>
      </c>
      <c r="DC202" s="399">
        <v>3.1055001564988629</v>
      </c>
      <c r="DD202" s="399">
        <v>0</v>
      </c>
      <c r="DE202" s="399">
        <v>0</v>
      </c>
      <c r="DF202" s="399">
        <v>0</v>
      </c>
      <c r="DG202" s="399">
        <v>0.32890667068459578</v>
      </c>
      <c r="DH202" s="399">
        <v>0</v>
      </c>
      <c r="DI202" s="399">
        <v>-3.0689642592560489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-0.40007454472726156</v>
      </c>
      <c r="DP202" s="399">
        <v>-5.3428964527855172E-2</v>
      </c>
      <c r="DQ202" s="399">
        <v>0</v>
      </c>
      <c r="DR202" s="399">
        <v>0</v>
      </c>
      <c r="DS202" s="399"/>
      <c r="DT202" s="399"/>
      <c r="DU202" s="399"/>
      <c r="DV202" s="399">
        <v>103.08298508009014</v>
      </c>
      <c r="DW202" s="399">
        <v>0</v>
      </c>
      <c r="DX202" s="399">
        <v>0</v>
      </c>
      <c r="DY202" s="399">
        <v>-34.211500000000029</v>
      </c>
      <c r="DZ202" s="399">
        <v>3.1058000000000021</v>
      </c>
      <c r="EA202" s="399">
        <v>0</v>
      </c>
      <c r="EB202" s="399">
        <v>0</v>
      </c>
      <c r="EC202" s="399">
        <v>-31.873354329564663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16.959212869300824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230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201</v>
      </c>
      <c r="B203" s="399" t="s">
        <v>956</v>
      </c>
      <c r="C203" s="399" t="s">
        <v>2337</v>
      </c>
      <c r="D203" s="399" t="s">
        <v>533</v>
      </c>
      <c r="E203" s="399" t="s">
        <v>918</v>
      </c>
      <c r="F203" s="399" t="s">
        <v>1239</v>
      </c>
      <c r="G203" s="399" t="s">
        <v>1239</v>
      </c>
      <c r="H203" s="399" t="s">
        <v>1239</v>
      </c>
      <c r="I203" s="399" t="s">
        <v>893</v>
      </c>
      <c r="J203" s="399" t="s">
        <v>2329</v>
      </c>
      <c r="K203" s="789">
        <v>44562</v>
      </c>
      <c r="L203" s="399">
        <v>0</v>
      </c>
      <c r="M203" s="399">
        <v>0</v>
      </c>
      <c r="N203" s="399">
        <v>43.957999999999998</v>
      </c>
      <c r="O203" s="399">
        <v>43.957999999999998</v>
      </c>
      <c r="P203" s="399">
        <v>43.957999999999998</v>
      </c>
      <c r="Q203" s="399">
        <v>43.957999999999998</v>
      </c>
      <c r="R203" s="399"/>
      <c r="S203" s="399">
        <v>1351.49</v>
      </c>
      <c r="T203" s="399">
        <v>128.11000000000001</v>
      </c>
      <c r="U203" s="399"/>
      <c r="V203" s="399">
        <v>65040.256799999996</v>
      </c>
      <c r="W203" s="399">
        <v>65040.256799999996</v>
      </c>
      <c r="X203" s="399">
        <v>50196.07978</v>
      </c>
      <c r="Y203" s="399">
        <v>0</v>
      </c>
      <c r="Z203" s="399">
        <v>2341.1135766806728</v>
      </c>
      <c r="AA203" s="399">
        <v>0</v>
      </c>
      <c r="AB203" s="399">
        <v>0</v>
      </c>
      <c r="AC203" s="399">
        <v>0</v>
      </c>
      <c r="AD203" s="399">
        <v>0</v>
      </c>
      <c r="AE203" s="399">
        <v>49406.358086935252</v>
      </c>
      <c r="AF203" s="399">
        <v>5631.5053787581937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415.57235646131676</v>
      </c>
      <c r="AM203" s="399"/>
      <c r="AN203" s="399">
        <v>21.609781491040824</v>
      </c>
      <c r="AO203" s="399">
        <v>913.1188347359963</v>
      </c>
      <c r="AP203" s="399">
        <v>4857.0107429624604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230.27905198232011</v>
      </c>
      <c r="BH203" s="399">
        <v>0</v>
      </c>
      <c r="BI203" s="399">
        <v>0</v>
      </c>
      <c r="BJ203" s="399">
        <v>0</v>
      </c>
      <c r="BK203" s="399">
        <v>0</v>
      </c>
      <c r="BL203" s="399">
        <v>0</v>
      </c>
      <c r="BM203" s="399"/>
      <c r="BN203" s="399"/>
      <c r="BO203" s="399"/>
      <c r="BP203" s="399"/>
      <c r="BQ203" s="399"/>
      <c r="BR203" s="399"/>
      <c r="BS203" s="399"/>
      <c r="BT203" s="399"/>
      <c r="BU203" s="399"/>
      <c r="BV203" s="399">
        <v>5861.7844307405139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50198.363600000004</v>
      </c>
      <c r="CJ203" s="399">
        <v>-14841.923199999997</v>
      </c>
      <c r="CK203" s="399"/>
      <c r="CL203" s="399"/>
      <c r="CM203" s="399"/>
      <c r="CN203" s="399"/>
      <c r="CO203" s="399">
        <v>-15101.770899999998</v>
      </c>
      <c r="CP203" s="399">
        <v>257.59387999999933</v>
      </c>
      <c r="CQ203" s="399">
        <v>31</v>
      </c>
      <c r="CR203" s="399">
        <v>432.13390778602297</v>
      </c>
      <c r="CS203" s="399">
        <v>66.653849094998122</v>
      </c>
      <c r="CT203" s="399">
        <v>354.54143403778653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0</v>
      </c>
      <c r="DA203" s="399">
        <v>0</v>
      </c>
      <c r="DB203" s="399">
        <v>0</v>
      </c>
      <c r="DC203" s="399">
        <v>257.56901109316368</v>
      </c>
      <c r="DD203" s="399">
        <v>0</v>
      </c>
      <c r="DE203" s="399">
        <v>0</v>
      </c>
      <c r="DF203" s="399">
        <v>0</v>
      </c>
      <c r="DG203" s="399">
        <v>10.532307741066489</v>
      </c>
      <c r="DH203" s="399">
        <v>0</v>
      </c>
      <c r="DI203" s="399">
        <v>-221.44870167979298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-33.182031768152797</v>
      </c>
      <c r="DP203" s="399">
        <v>-2.5319607330449934</v>
      </c>
      <c r="DQ203" s="399">
        <v>0</v>
      </c>
      <c r="DR203" s="399">
        <v>0</v>
      </c>
      <c r="DS203" s="399"/>
      <c r="DT203" s="399"/>
      <c r="DU203" s="399"/>
      <c r="DV203" s="399">
        <v>49406.358086935252</v>
      </c>
      <c r="DW203" s="399">
        <v>0</v>
      </c>
      <c r="DX203" s="399">
        <v>0</v>
      </c>
      <c r="DY203" s="399">
        <v>-15101.770899999996</v>
      </c>
      <c r="DZ203" s="399">
        <v>257.59387999999944</v>
      </c>
      <c r="EA203" s="399">
        <v>0</v>
      </c>
      <c r="EB203" s="399">
        <v>0</v>
      </c>
      <c r="EC203" s="399">
        <v>-15276.491617066902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1223.7339226388497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230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202</v>
      </c>
      <c r="B204" s="399" t="s">
        <v>956</v>
      </c>
      <c r="C204" s="399" t="s">
        <v>2337</v>
      </c>
      <c r="D204" s="399" t="s">
        <v>533</v>
      </c>
      <c r="E204" s="399" t="s">
        <v>918</v>
      </c>
      <c r="F204" s="399" t="s">
        <v>1239</v>
      </c>
      <c r="G204" s="399" t="s">
        <v>1239</v>
      </c>
      <c r="H204" s="399" t="s">
        <v>1239</v>
      </c>
      <c r="I204" s="399" t="s">
        <v>2326</v>
      </c>
      <c r="J204" s="399" t="s">
        <v>2329</v>
      </c>
      <c r="K204" s="789">
        <v>44562</v>
      </c>
      <c r="L204" s="399">
        <v>0</v>
      </c>
      <c r="M204" s="399">
        <v>0</v>
      </c>
      <c r="N204" s="399">
        <v>495.185</v>
      </c>
      <c r="O204" s="399">
        <v>495.185</v>
      </c>
      <c r="P204" s="399">
        <v>495.185</v>
      </c>
      <c r="Q204" s="399">
        <v>495.185</v>
      </c>
      <c r="R204" s="399"/>
      <c r="S204" s="399">
        <v>96.28</v>
      </c>
      <c r="T204" s="399">
        <v>128.11000000000001</v>
      </c>
      <c r="U204" s="399"/>
      <c r="V204" s="399">
        <v>111114.56215000001</v>
      </c>
      <c r="W204" s="399">
        <v>111114.56215000001</v>
      </c>
      <c r="X204" s="399">
        <v>111238.3584</v>
      </c>
      <c r="Y204" s="399">
        <v>0</v>
      </c>
      <c r="Z204" s="399">
        <v>26372.544848915306</v>
      </c>
      <c r="AA204" s="399">
        <v>0</v>
      </c>
      <c r="AB204" s="399">
        <v>0</v>
      </c>
      <c r="AC204" s="399">
        <v>0</v>
      </c>
      <c r="AD204" s="399">
        <v>0</v>
      </c>
      <c r="AE204" s="399">
        <v>0</v>
      </c>
      <c r="AF204" s="399">
        <v>63438.668524054243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4681.4049168364609</v>
      </c>
      <c r="AM204" s="399"/>
      <c r="AN204" s="399">
        <v>243.43326920335437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2594.0837243701985</v>
      </c>
      <c r="BH204" s="399">
        <v>0</v>
      </c>
      <c r="BI204" s="399">
        <v>0</v>
      </c>
      <c r="BJ204" s="399">
        <v>0</v>
      </c>
      <c r="BK204" s="399">
        <v>0</v>
      </c>
      <c r="BL204" s="399">
        <v>0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66032.75224842444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111239.4816</v>
      </c>
      <c r="CJ204" s="399">
        <v>124.8894500000024</v>
      </c>
      <c r="CK204" s="399"/>
      <c r="CL204" s="399"/>
      <c r="CM204" s="399"/>
      <c r="CN204" s="399"/>
      <c r="CO204" s="399">
        <v>-2777.9878499999995</v>
      </c>
      <c r="CP204" s="399">
        <v>2901.7840999999926</v>
      </c>
      <c r="CQ204" s="399">
        <v>31</v>
      </c>
      <c r="CR204" s="399">
        <v>123.2231413830159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0</v>
      </c>
      <c r="DA204" s="399">
        <v>0</v>
      </c>
      <c r="DB204" s="399">
        <v>0</v>
      </c>
      <c r="DC204" s="399">
        <v>2901.5039528224297</v>
      </c>
      <c r="DD204" s="399">
        <v>0</v>
      </c>
      <c r="DE204" s="399">
        <v>0</v>
      </c>
      <c r="DF204" s="399">
        <v>0</v>
      </c>
      <c r="DG204" s="399">
        <v>118.6459986523505</v>
      </c>
      <c r="DH204" s="399">
        <v>0</v>
      </c>
      <c r="DI204" s="399">
        <v>-2494.6102038606914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-373.79417628447027</v>
      </c>
      <c r="DP204" s="399">
        <v>-28.522429946605541</v>
      </c>
      <c r="DQ204" s="399">
        <v>0</v>
      </c>
      <c r="DR204" s="399">
        <v>0</v>
      </c>
      <c r="DS204" s="399"/>
      <c r="DT204" s="399"/>
      <c r="DU204" s="399"/>
      <c r="DV204" s="399">
        <v>0</v>
      </c>
      <c r="DW204" s="399">
        <v>0</v>
      </c>
      <c r="DX204" s="399">
        <v>0</v>
      </c>
      <c r="DY204" s="399">
        <v>-2777.9878499999977</v>
      </c>
      <c r="DZ204" s="399">
        <v>2901.7840999999971</v>
      </c>
      <c r="EA204" s="399">
        <v>0</v>
      </c>
      <c r="EB204" s="399">
        <v>0</v>
      </c>
      <c r="EC204" s="399">
        <v>0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13785.310580142836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230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203</v>
      </c>
      <c r="B205" s="399" t="s">
        <v>956</v>
      </c>
      <c r="C205" s="399" t="s">
        <v>2337</v>
      </c>
      <c r="D205" s="399" t="s">
        <v>533</v>
      </c>
      <c r="E205" s="399" t="s">
        <v>918</v>
      </c>
      <c r="F205" s="399" t="s">
        <v>1239</v>
      </c>
      <c r="G205" s="399" t="s">
        <v>1239</v>
      </c>
      <c r="H205" s="399" t="s">
        <v>1239</v>
      </c>
      <c r="I205" s="399" t="s">
        <v>1239</v>
      </c>
      <c r="J205" s="399" t="s">
        <v>2329</v>
      </c>
      <c r="K205" s="789">
        <v>44562</v>
      </c>
      <c r="L205" s="399">
        <v>1778</v>
      </c>
      <c r="M205" s="399">
        <v>1778</v>
      </c>
      <c r="N205" s="399">
        <v>0</v>
      </c>
      <c r="O205" s="399">
        <v>0</v>
      </c>
      <c r="P205" s="399">
        <v>0</v>
      </c>
      <c r="Q205" s="399">
        <v>0</v>
      </c>
      <c r="R205" s="399">
        <v>18.12</v>
      </c>
      <c r="S205" s="399"/>
      <c r="T205" s="399"/>
      <c r="U205" s="399">
        <v>32217.360000000001</v>
      </c>
      <c r="V205" s="399"/>
      <c r="W205" s="399">
        <v>32217.360000000001</v>
      </c>
      <c r="X205" s="399">
        <v>25692.1</v>
      </c>
      <c r="Y205" s="399">
        <v>0</v>
      </c>
      <c r="Z205" s="399">
        <v>0</v>
      </c>
      <c r="AA205" s="399">
        <v>0</v>
      </c>
      <c r="AB205" s="399">
        <v>0</v>
      </c>
      <c r="AC205" s="399">
        <v>0</v>
      </c>
      <c r="AD205" s="399">
        <v>0</v>
      </c>
      <c r="AE205" s="399">
        <v>23218.792329380707</v>
      </c>
      <c r="AF205" s="399"/>
      <c r="AG205" s="399"/>
      <c r="AH205" s="399"/>
      <c r="AI205" s="399">
        <v>0</v>
      </c>
      <c r="AJ205" s="399">
        <v>0</v>
      </c>
      <c r="AK205" s="399">
        <v>0</v>
      </c>
      <c r="AL205" s="399">
        <v>0</v>
      </c>
      <c r="AM205" s="399"/>
      <c r="AN205" s="399">
        <v>0</v>
      </c>
      <c r="AO205" s="399">
        <v>1413.2795924826173</v>
      </c>
      <c r="AP205" s="399">
        <v>7576.6288088529973</v>
      </c>
      <c r="AQ205" s="399">
        <v>0</v>
      </c>
      <c r="AR205" s="399">
        <v>0</v>
      </c>
      <c r="AS205" s="399"/>
      <c r="AT205" s="399"/>
      <c r="AU205" s="399">
        <v>0</v>
      </c>
      <c r="AV205" s="399">
        <v>0</v>
      </c>
      <c r="AW205" s="399">
        <v>0</v>
      </c>
      <c r="AX205" s="399"/>
      <c r="AY205" s="399"/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/>
      <c r="BG205" s="399">
        <v>0</v>
      </c>
      <c r="BH205" s="399">
        <v>0</v>
      </c>
      <c r="BI205" s="399">
        <v>0</v>
      </c>
      <c r="BJ205" s="399">
        <v>0</v>
      </c>
      <c r="BK205" s="399">
        <v>80581.06</v>
      </c>
      <c r="BL205" s="399">
        <v>17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>
        <v>0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25692.1</v>
      </c>
      <c r="CJ205" s="399">
        <v>-6525.2899999999972</v>
      </c>
      <c r="CK205" s="399"/>
      <c r="CL205" s="399"/>
      <c r="CM205" s="399"/>
      <c r="CN205" s="399"/>
      <c r="CO205" s="399">
        <v>-6525.2600000000029</v>
      </c>
      <c r="CP205" s="399">
        <v>0</v>
      </c>
      <c r="CQ205" s="399">
        <v>31</v>
      </c>
      <c r="CR205" s="399">
        <v>656.22564683350174</v>
      </c>
      <c r="CS205" s="399">
        <v>103.16348880659325</v>
      </c>
      <c r="CT205" s="399">
        <v>553.06215802690895</v>
      </c>
      <c r="CU205" s="399">
        <v>0</v>
      </c>
      <c r="CV205" s="399">
        <v>0</v>
      </c>
      <c r="CW205" s="399"/>
      <c r="CX205" s="399"/>
      <c r="CY205" s="399"/>
      <c r="CZ205" s="399">
        <v>0</v>
      </c>
      <c r="DA205" s="399">
        <v>0</v>
      </c>
      <c r="DB205" s="399">
        <v>0</v>
      </c>
      <c r="DC205" s="399"/>
      <c r="DD205" s="399"/>
      <c r="DE205" s="399">
        <v>0</v>
      </c>
      <c r="DF205" s="399">
        <v>0</v>
      </c>
      <c r="DG205" s="399">
        <v>0</v>
      </c>
      <c r="DH205" s="399">
        <v>0</v>
      </c>
      <c r="DI205" s="399">
        <v>0</v>
      </c>
      <c r="DJ205" s="399"/>
      <c r="DK205" s="399">
        <v>0</v>
      </c>
      <c r="DL205" s="399">
        <v>0</v>
      </c>
      <c r="DM205" s="399"/>
      <c r="DN205" s="399">
        <v>0</v>
      </c>
      <c r="DO205" s="399">
        <v>0</v>
      </c>
      <c r="DP205" s="399">
        <v>0</v>
      </c>
      <c r="DQ205" s="399">
        <v>0</v>
      </c>
      <c r="DR205" s="399">
        <v>0</v>
      </c>
      <c r="DS205" s="399"/>
      <c r="DT205" s="399"/>
      <c r="DU205" s="399">
        <v>23218.792329380707</v>
      </c>
      <c r="DV205" s="399"/>
      <c r="DW205" s="399">
        <v>0</v>
      </c>
      <c r="DX205" s="399">
        <v>0</v>
      </c>
      <c r="DY205" s="399">
        <v>-6525.260000000002</v>
      </c>
      <c r="DZ205" s="399"/>
      <c r="EA205" s="399">
        <v>0</v>
      </c>
      <c r="EB205" s="399"/>
      <c r="EC205" s="399">
        <v>-7179.272063609149</v>
      </c>
      <c r="ED205" s="399"/>
      <c r="EE205" s="399">
        <v>0</v>
      </c>
      <c r="EF205" s="399">
        <v>0</v>
      </c>
      <c r="EG205" s="399"/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/>
      <c r="EN205" s="399"/>
      <c r="EO205" s="399">
        <v>0</v>
      </c>
      <c r="EP205" s="399">
        <v>0</v>
      </c>
      <c r="EQ205" s="399"/>
      <c r="ER205" s="399">
        <v>0</v>
      </c>
      <c r="ES205" s="399"/>
      <c r="ET205" s="399">
        <v>0</v>
      </c>
      <c r="EU205" s="399"/>
      <c r="EV205" s="399">
        <v>230</v>
      </c>
      <c r="EW205" s="399"/>
      <c r="EX205" s="399"/>
      <c r="EY205" s="399"/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204</v>
      </c>
      <c r="B206" s="399" t="s">
        <v>956</v>
      </c>
      <c r="C206" s="399" t="s">
        <v>2328</v>
      </c>
      <c r="D206" s="399" t="s">
        <v>2340</v>
      </c>
      <c r="E206" s="399" t="s">
        <v>894</v>
      </c>
      <c r="F206" s="399" t="s">
        <v>1239</v>
      </c>
      <c r="G206" s="399" t="s">
        <v>1239</v>
      </c>
      <c r="H206" s="399" t="s">
        <v>1239</v>
      </c>
      <c r="I206" s="399" t="s">
        <v>1239</v>
      </c>
      <c r="J206" s="399" t="s">
        <v>2329</v>
      </c>
      <c r="K206" s="789">
        <v>44562</v>
      </c>
      <c r="L206" s="399">
        <v>0</v>
      </c>
      <c r="M206" s="399">
        <v>0</v>
      </c>
      <c r="N206" s="399">
        <v>1551.222</v>
      </c>
      <c r="O206" s="399">
        <v>1551.222</v>
      </c>
      <c r="P206" s="399">
        <v>1551.222</v>
      </c>
      <c r="Q206" s="399">
        <v>1551.222</v>
      </c>
      <c r="R206" s="399"/>
      <c r="S206" s="399">
        <v>333.61</v>
      </c>
      <c r="T206" s="399">
        <v>128.11000000000001</v>
      </c>
      <c r="U206" s="399"/>
      <c r="V206" s="399">
        <v>716230.22184000001</v>
      </c>
      <c r="W206" s="399">
        <v>716230.22184000001</v>
      </c>
      <c r="X206" s="399">
        <v>625189.00266</v>
      </c>
      <c r="Y206" s="399">
        <v>0</v>
      </c>
      <c r="Z206" s="399">
        <v>94959.684208639708</v>
      </c>
      <c r="AA206" s="399">
        <v>0</v>
      </c>
      <c r="AB206" s="399">
        <v>0</v>
      </c>
      <c r="AC206" s="399">
        <v>0</v>
      </c>
      <c r="AD206" s="399">
        <v>0</v>
      </c>
      <c r="AE206" s="399">
        <v>301706.78166397655</v>
      </c>
      <c r="AF206" s="399">
        <v>198728.6736577652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14665.020745589805</v>
      </c>
      <c r="AM206" s="399"/>
      <c r="AN206" s="399">
        <v>1334.6526487312021</v>
      </c>
      <c r="AO206" s="399">
        <v>5392.0789576916122</v>
      </c>
      <c r="AP206" s="399">
        <v>28763.744252428147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21047.555346461158</v>
      </c>
      <c r="BH206" s="399">
        <v>0</v>
      </c>
      <c r="BI206" s="399">
        <v>0</v>
      </c>
      <c r="BJ206" s="399">
        <v>0</v>
      </c>
      <c r="BK206" s="399">
        <v>176827.92</v>
      </c>
      <c r="BL206" s="399">
        <v>2371</v>
      </c>
      <c r="BM206" s="399"/>
      <c r="BN206" s="399"/>
      <c r="BO206" s="399"/>
      <c r="BP206" s="399"/>
      <c r="BQ206" s="399"/>
      <c r="BR206" s="399">
        <v>75032.608139999982</v>
      </c>
      <c r="BS206" s="399"/>
      <c r="BT206" s="399"/>
      <c r="BU206" s="399"/>
      <c r="BV206" s="399">
        <v>219776.22900422636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550155.68519999995</v>
      </c>
      <c r="CJ206" s="399">
        <v>-80136.867840000079</v>
      </c>
      <c r="CK206" s="399"/>
      <c r="CL206" s="399"/>
      <c r="CM206" s="399"/>
      <c r="CN206" s="399"/>
      <c r="CO206" s="399">
        <v>-100131.38010000001</v>
      </c>
      <c r="CP206" s="399">
        <v>9090.1609199999766</v>
      </c>
      <c r="CQ206" s="399">
        <v>31</v>
      </c>
      <c r="CR206" s="399">
        <v>2235.4922323703649</v>
      </c>
      <c r="CS206" s="399">
        <v>393.59917185172617</v>
      </c>
      <c r="CT206" s="399">
        <v>2099.6328143454921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0</v>
      </c>
      <c r="DA206" s="399">
        <v>0</v>
      </c>
      <c r="DB206" s="399">
        <v>0</v>
      </c>
      <c r="DC206" s="399">
        <v>9089.2833278574981</v>
      </c>
      <c r="DD206" s="399">
        <v>0</v>
      </c>
      <c r="DE206" s="399">
        <v>0</v>
      </c>
      <c r="DF206" s="399">
        <v>0</v>
      </c>
      <c r="DG206" s="399">
        <v>962.65521417490527</v>
      </c>
      <c r="DH206" s="399">
        <v>0</v>
      </c>
      <c r="DI206" s="399">
        <v>-8982.3488229654322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-1170.9517649451154</v>
      </c>
      <c r="DP206" s="399">
        <v>-156.37770794873313</v>
      </c>
      <c r="DQ206" s="399">
        <v>0</v>
      </c>
      <c r="DR206" s="399">
        <v>0</v>
      </c>
      <c r="DS206" s="399"/>
      <c r="DT206" s="399"/>
      <c r="DU206" s="399"/>
      <c r="DV206" s="399">
        <v>301706.78166397655</v>
      </c>
      <c r="DW206" s="399">
        <v>0</v>
      </c>
      <c r="DX206" s="399">
        <v>0</v>
      </c>
      <c r="DY206" s="399">
        <v>-100131.38010000001</v>
      </c>
      <c r="DZ206" s="399">
        <v>9090.1609199999948</v>
      </c>
      <c r="EA206" s="399">
        <v>0</v>
      </c>
      <c r="EB206" s="399">
        <v>0</v>
      </c>
      <c r="EC206" s="399">
        <v>-93288.015943048958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49636.800199136902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230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205</v>
      </c>
      <c r="B207" s="399" t="s">
        <v>2330</v>
      </c>
      <c r="C207" s="399" t="s">
        <v>2328</v>
      </c>
      <c r="D207" s="399" t="s">
        <v>2340</v>
      </c>
      <c r="E207" s="399" t="s">
        <v>894</v>
      </c>
      <c r="F207" s="399" t="s">
        <v>1239</v>
      </c>
      <c r="G207" s="399" t="s">
        <v>1239</v>
      </c>
      <c r="H207" s="399" t="s">
        <v>1239</v>
      </c>
      <c r="I207" s="399" t="s">
        <v>1239</v>
      </c>
      <c r="J207" s="399" t="s">
        <v>2329</v>
      </c>
      <c r="K207" s="789">
        <v>44562</v>
      </c>
      <c r="L207" s="399">
        <v>0</v>
      </c>
      <c r="M207" s="399">
        <v>0</v>
      </c>
      <c r="N207" s="399">
        <v>-71.263000000000005</v>
      </c>
      <c r="O207" s="399">
        <v>-71.263000000000005</v>
      </c>
      <c r="P207" s="399">
        <v>-71.263000000000005</v>
      </c>
      <c r="Q207" s="399">
        <v>-71.263000000000005</v>
      </c>
      <c r="R207" s="399"/>
      <c r="S207" s="399">
        <v>333.61</v>
      </c>
      <c r="T207" s="399">
        <v>128.11000000000001</v>
      </c>
      <c r="U207" s="399"/>
      <c r="V207" s="399">
        <v>-32903.552360000001</v>
      </c>
      <c r="W207" s="399">
        <v>-32903.552360000001</v>
      </c>
      <c r="X207" s="399">
        <v>-28721.126890000003</v>
      </c>
      <c r="Y207" s="399">
        <v>0</v>
      </c>
      <c r="Z207" s="399">
        <v>-4362.4394031030324</v>
      </c>
      <c r="AA207" s="399">
        <v>0</v>
      </c>
      <c r="AB207" s="399">
        <v>0</v>
      </c>
      <c r="AC207" s="399">
        <v>0</v>
      </c>
      <c r="AD207" s="399">
        <v>0</v>
      </c>
      <c r="AE207" s="399">
        <v>-13860.38257691031</v>
      </c>
      <c r="AF207" s="399">
        <v>-9129.5775013978164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-673.70974199242039</v>
      </c>
      <c r="AM207" s="399"/>
      <c r="AN207" s="399">
        <v>-61.313823364116594</v>
      </c>
      <c r="AO207" s="399">
        <v>-247.71162526187575</v>
      </c>
      <c r="AP207" s="399">
        <v>-1321.4038394638467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-966.92281095475801</v>
      </c>
      <c r="BH207" s="399">
        <v>0</v>
      </c>
      <c r="BI207" s="399">
        <v>0</v>
      </c>
      <c r="BJ207" s="399">
        <v>0</v>
      </c>
      <c r="BK207" s="399">
        <v>-11779.93</v>
      </c>
      <c r="BL207" s="399">
        <v>0</v>
      </c>
      <c r="BM207" s="399"/>
      <c r="BN207" s="399"/>
      <c r="BO207" s="399"/>
      <c r="BP207" s="399"/>
      <c r="BQ207" s="399"/>
      <c r="BR207" s="399">
        <v>-3446.9913099999994</v>
      </c>
      <c r="BS207" s="399"/>
      <c r="BT207" s="399"/>
      <c r="BU207" s="399"/>
      <c r="BV207" s="399">
        <v>-10096.500312352575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-25273.071600000003</v>
      </c>
      <c r="CJ207" s="399">
        <v>3682.4805600000036</v>
      </c>
      <c r="CK207" s="399"/>
      <c r="CL207" s="399"/>
      <c r="CM207" s="399"/>
      <c r="CN207" s="399"/>
      <c r="CO207" s="399">
        <v>4600.0266500000007</v>
      </c>
      <c r="CP207" s="399">
        <v>-417.60117999999898</v>
      </c>
      <c r="CQ207" s="399">
        <v>31</v>
      </c>
      <c r="CR207" s="399">
        <v>-102.69831330099987</v>
      </c>
      <c r="CS207" s="399">
        <v>-18.081910766911193</v>
      </c>
      <c r="CT207" s="399">
        <v>-96.456943782838835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0</v>
      </c>
      <c r="DA207" s="399">
        <v>0</v>
      </c>
      <c r="DB207" s="399">
        <v>0</v>
      </c>
      <c r="DC207" s="399">
        <v>-417.56086349542966</v>
      </c>
      <c r="DD207" s="399">
        <v>0</v>
      </c>
      <c r="DE207" s="399">
        <v>0</v>
      </c>
      <c r="DF207" s="399">
        <v>0</v>
      </c>
      <c r="DG207" s="399">
        <v>-44.224294477351691</v>
      </c>
      <c r="DH207" s="399">
        <v>0</v>
      </c>
      <c r="DI207" s="399">
        <v>412.64830190068596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53.793419397922321</v>
      </c>
      <c r="DP207" s="399">
        <v>7.1839779229217839</v>
      </c>
      <c r="DQ207" s="399">
        <v>0</v>
      </c>
      <c r="DR207" s="399">
        <v>0</v>
      </c>
      <c r="DS207" s="399"/>
      <c r="DT207" s="399"/>
      <c r="DU207" s="399"/>
      <c r="DV207" s="399">
        <v>-13860.38257691031</v>
      </c>
      <c r="DW207" s="399">
        <v>0</v>
      </c>
      <c r="DX207" s="399">
        <v>0</v>
      </c>
      <c r="DY207" s="399">
        <v>4600.0266499999998</v>
      </c>
      <c r="DZ207" s="399">
        <v>-417.60117999999784</v>
      </c>
      <c r="EA207" s="399">
        <v>0</v>
      </c>
      <c r="EB207" s="399">
        <v>0</v>
      </c>
      <c r="EC207" s="399">
        <v>4285.6431124297487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-2280.3101635943103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230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206</v>
      </c>
      <c r="B208" s="399" t="s">
        <v>2331</v>
      </c>
      <c r="C208" s="399" t="s">
        <v>2328</v>
      </c>
      <c r="D208" s="399" t="s">
        <v>2340</v>
      </c>
      <c r="E208" s="399" t="s">
        <v>894</v>
      </c>
      <c r="F208" s="399" t="s">
        <v>1239</v>
      </c>
      <c r="G208" s="399" t="s">
        <v>1239</v>
      </c>
      <c r="H208" s="399" t="s">
        <v>1239</v>
      </c>
      <c r="I208" s="399" t="s">
        <v>1239</v>
      </c>
      <c r="J208" s="399" t="s">
        <v>2329</v>
      </c>
      <c r="K208" s="789">
        <v>44562</v>
      </c>
      <c r="L208" s="399">
        <v>0</v>
      </c>
      <c r="M208" s="399">
        <v>0</v>
      </c>
      <c r="N208" s="399">
        <v>15.025</v>
      </c>
      <c r="O208" s="399">
        <v>15.025</v>
      </c>
      <c r="P208" s="399">
        <v>15.025</v>
      </c>
      <c r="Q208" s="399">
        <v>15.025</v>
      </c>
      <c r="R208" s="399"/>
      <c r="S208" s="399">
        <v>333.61</v>
      </c>
      <c r="T208" s="399">
        <v>128.11000000000001</v>
      </c>
      <c r="U208" s="399"/>
      <c r="V208" s="399">
        <v>6937.3430000000008</v>
      </c>
      <c r="W208" s="399">
        <v>6937.3430000000008</v>
      </c>
      <c r="X208" s="399">
        <v>6055.5257500000007</v>
      </c>
      <c r="Y208" s="399">
        <v>0</v>
      </c>
      <c r="Z208" s="399">
        <v>919.7711579869366</v>
      </c>
      <c r="AA208" s="399">
        <v>0</v>
      </c>
      <c r="AB208" s="399">
        <v>0</v>
      </c>
      <c r="AC208" s="399">
        <v>0</v>
      </c>
      <c r="AD208" s="399">
        <v>0</v>
      </c>
      <c r="AE208" s="399">
        <v>2922.3053789214232</v>
      </c>
      <c r="AF208" s="399">
        <v>1924.8684725383746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142.04410245760235</v>
      </c>
      <c r="AM208" s="399"/>
      <c r="AN208" s="399">
        <v>12.927328291621905</v>
      </c>
      <c r="AO208" s="399">
        <v>52.227203030460167</v>
      </c>
      <c r="AP208" s="399">
        <v>278.60309961613035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203.86477182542467</v>
      </c>
      <c r="BH208" s="399">
        <v>0</v>
      </c>
      <c r="BI208" s="399">
        <v>0</v>
      </c>
      <c r="BJ208" s="399">
        <v>0</v>
      </c>
      <c r="BK208" s="399">
        <v>6649.07</v>
      </c>
      <c r="BL208" s="399">
        <v>18</v>
      </c>
      <c r="BM208" s="399"/>
      <c r="BN208" s="399"/>
      <c r="BO208" s="399"/>
      <c r="BP208" s="399"/>
      <c r="BQ208" s="399"/>
      <c r="BR208" s="399">
        <v>726.75924999999984</v>
      </c>
      <c r="BS208" s="399"/>
      <c r="BT208" s="399"/>
      <c r="BU208" s="399"/>
      <c r="BV208" s="399">
        <v>2128.7332443637993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5330.5398000000005</v>
      </c>
      <c r="CJ208" s="399">
        <v>-774.44819999999982</v>
      </c>
      <c r="CK208" s="399"/>
      <c r="CL208" s="399"/>
      <c r="CM208" s="399"/>
      <c r="CN208" s="399"/>
      <c r="CO208" s="399">
        <v>-969.86375000000021</v>
      </c>
      <c r="CP208" s="399">
        <v>88.046499999999781</v>
      </c>
      <c r="CQ208" s="399">
        <v>31</v>
      </c>
      <c r="CR208" s="399">
        <v>21.652781350034729</v>
      </c>
      <c r="CS208" s="399">
        <v>3.8123669965177029</v>
      </c>
      <c r="CT208" s="399">
        <v>20.336858963798193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0</v>
      </c>
      <c r="DA208" s="399">
        <v>0</v>
      </c>
      <c r="DB208" s="399">
        <v>0</v>
      </c>
      <c r="DC208" s="399">
        <v>88.037999719613708</v>
      </c>
      <c r="DD208" s="399">
        <v>0</v>
      </c>
      <c r="DE208" s="399">
        <v>0</v>
      </c>
      <c r="DF208" s="399">
        <v>0</v>
      </c>
      <c r="DG208" s="399">
        <v>9.3241938245963354</v>
      </c>
      <c r="DH208" s="399">
        <v>0</v>
      </c>
      <c r="DI208" s="399">
        <v>-87.002241500607852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-11.341735914202076</v>
      </c>
      <c r="DP208" s="399">
        <v>-1.5146607396811778</v>
      </c>
      <c r="DQ208" s="399">
        <v>0</v>
      </c>
      <c r="DR208" s="399">
        <v>0</v>
      </c>
      <c r="DS208" s="399"/>
      <c r="DT208" s="399"/>
      <c r="DU208" s="399"/>
      <c r="DV208" s="399">
        <v>2922.3053789214232</v>
      </c>
      <c r="DW208" s="399">
        <v>0</v>
      </c>
      <c r="DX208" s="399">
        <v>0</v>
      </c>
      <c r="DY208" s="399">
        <v>-969.86375000000044</v>
      </c>
      <c r="DZ208" s="399">
        <v>88.046499999999696</v>
      </c>
      <c r="EA208" s="399">
        <v>0</v>
      </c>
      <c r="EB208" s="399">
        <v>0</v>
      </c>
      <c r="EC208" s="399">
        <v>-903.57952604096045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480.77768558725444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230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207</v>
      </c>
      <c r="B209" s="399" t="s">
        <v>956</v>
      </c>
      <c r="C209" s="399" t="s">
        <v>2328</v>
      </c>
      <c r="D209" s="399" t="s">
        <v>1826</v>
      </c>
      <c r="E209" s="399" t="s">
        <v>2341</v>
      </c>
      <c r="F209" s="399" t="s">
        <v>1239</v>
      </c>
      <c r="G209" s="399" t="s">
        <v>1239</v>
      </c>
      <c r="H209" s="399" t="s">
        <v>1239</v>
      </c>
      <c r="I209" s="399" t="s">
        <v>1239</v>
      </c>
      <c r="J209" s="399" t="s">
        <v>2329</v>
      </c>
      <c r="K209" s="789">
        <v>44562</v>
      </c>
      <c r="L209" s="399">
        <v>0</v>
      </c>
      <c r="M209" s="399">
        <v>0</v>
      </c>
      <c r="N209" s="399">
        <v>168.26599999999999</v>
      </c>
      <c r="O209" s="399">
        <v>168.26599999999999</v>
      </c>
      <c r="P209" s="399">
        <v>168.26599999999999</v>
      </c>
      <c r="Q209" s="399">
        <v>168.26599999999999</v>
      </c>
      <c r="R209" s="399"/>
      <c r="S209" s="399">
        <v>333.61</v>
      </c>
      <c r="T209" s="399">
        <v>128.11000000000001</v>
      </c>
      <c r="U209" s="399"/>
      <c r="V209" s="399">
        <v>77691.777520000003</v>
      </c>
      <c r="W209" s="399">
        <v>77691.777520000003</v>
      </c>
      <c r="X209" s="399">
        <v>67816.245979999992</v>
      </c>
      <c r="Y209" s="399">
        <v>0</v>
      </c>
      <c r="Z209" s="399">
        <v>10300.579944747411</v>
      </c>
      <c r="AA209" s="399">
        <v>0</v>
      </c>
      <c r="AB209" s="399">
        <v>0</v>
      </c>
      <c r="AC209" s="399">
        <v>0</v>
      </c>
      <c r="AD209" s="399">
        <v>0</v>
      </c>
      <c r="AE209" s="399">
        <v>32727.097297144239</v>
      </c>
      <c r="AF209" s="399">
        <v>21556.733337779839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1590.7615936193622</v>
      </c>
      <c r="AM209" s="399"/>
      <c r="AN209" s="399">
        <v>144.77403143547761</v>
      </c>
      <c r="AO209" s="399">
        <v>584.89600965879606</v>
      </c>
      <c r="AP209" s="399">
        <v>3120.0951188025147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2283.0954872530388</v>
      </c>
      <c r="BH209" s="399">
        <v>0</v>
      </c>
      <c r="BI209" s="399">
        <v>0</v>
      </c>
      <c r="BJ209" s="399">
        <v>0</v>
      </c>
      <c r="BK209" s="399">
        <v>26006.67</v>
      </c>
      <c r="BL209" s="399">
        <v>211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23839.828825032877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67817.858100000012</v>
      </c>
      <c r="CJ209" s="399">
        <v>-9873.9494199999899</v>
      </c>
      <c r="CK209" s="399"/>
      <c r="CL209" s="399"/>
      <c r="CM209" s="399"/>
      <c r="CN209" s="399"/>
      <c r="CO209" s="399">
        <v>-10861.570300000001</v>
      </c>
      <c r="CP209" s="399">
        <v>986.03875999999741</v>
      </c>
      <c r="CQ209" s="399">
        <v>31</v>
      </c>
      <c r="CR209" s="399">
        <v>242.49097548386635</v>
      </c>
      <c r="CS209" s="399">
        <v>42.694958072282589</v>
      </c>
      <c r="CT209" s="399">
        <v>227.75387090865024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0</v>
      </c>
      <c r="DA209" s="399">
        <v>0</v>
      </c>
      <c r="DB209" s="399">
        <v>0</v>
      </c>
      <c r="DC209" s="399">
        <v>985.94356478007103</v>
      </c>
      <c r="DD209" s="399">
        <v>0</v>
      </c>
      <c r="DE209" s="399">
        <v>0</v>
      </c>
      <c r="DF209" s="399">
        <v>0</v>
      </c>
      <c r="DG209" s="399">
        <v>104.42228273474393</v>
      </c>
      <c r="DH209" s="399">
        <v>0</v>
      </c>
      <c r="DI209" s="399">
        <v>-974.3440378263731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-127.01687423222143</v>
      </c>
      <c r="DP209" s="399">
        <v>-16.962788953290712</v>
      </c>
      <c r="DQ209" s="399">
        <v>0</v>
      </c>
      <c r="DR209" s="399">
        <v>0</v>
      </c>
      <c r="DS209" s="399"/>
      <c r="DT209" s="399"/>
      <c r="DU209" s="399"/>
      <c r="DV209" s="399">
        <v>32727.097297144239</v>
      </c>
      <c r="DW209" s="399">
        <v>0</v>
      </c>
      <c r="DX209" s="399">
        <v>0</v>
      </c>
      <c r="DY209" s="399">
        <v>-10861.570300000007</v>
      </c>
      <c r="DZ209" s="399">
        <v>986.03875999999582</v>
      </c>
      <c r="EA209" s="399">
        <v>0</v>
      </c>
      <c r="EB209" s="399">
        <v>0</v>
      </c>
      <c r="EC209" s="399">
        <v>-10119.248753997221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5384.2620993693808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230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208</v>
      </c>
      <c r="B210" s="399" t="s">
        <v>956</v>
      </c>
      <c r="C210" s="399" t="s">
        <v>2337</v>
      </c>
      <c r="D210" s="399" t="s">
        <v>533</v>
      </c>
      <c r="E210" s="399" t="s">
        <v>2341</v>
      </c>
      <c r="F210" s="399" t="s">
        <v>1239</v>
      </c>
      <c r="G210" s="399" t="s">
        <v>1239</v>
      </c>
      <c r="H210" s="399" t="s">
        <v>1239</v>
      </c>
      <c r="I210" s="399" t="s">
        <v>893</v>
      </c>
      <c r="J210" s="399" t="s">
        <v>2329</v>
      </c>
      <c r="K210" s="789">
        <v>44562</v>
      </c>
      <c r="L210" s="399">
        <v>0</v>
      </c>
      <c r="M210" s="399">
        <v>0</v>
      </c>
      <c r="N210" s="399">
        <v>2.2440000000000002</v>
      </c>
      <c r="O210" s="399">
        <v>2.2440000000000002</v>
      </c>
      <c r="P210" s="399">
        <v>2.2440000000000002</v>
      </c>
      <c r="Q210" s="399">
        <v>2.2440000000000002</v>
      </c>
      <c r="R210" s="399"/>
      <c r="S210" s="399">
        <v>1351.49</v>
      </c>
      <c r="T210" s="399">
        <v>128.11000000000001</v>
      </c>
      <c r="U210" s="399"/>
      <c r="V210" s="399">
        <v>3320.2224000000006</v>
      </c>
      <c r="W210" s="399">
        <v>3320.2224000000006</v>
      </c>
      <c r="X210" s="399">
        <v>2562.4460400000007</v>
      </c>
      <c r="Y210" s="399">
        <v>0</v>
      </c>
      <c r="Z210" s="399">
        <v>119.51087096936691</v>
      </c>
      <c r="AA210" s="399">
        <v>0</v>
      </c>
      <c r="AB210" s="399">
        <v>0</v>
      </c>
      <c r="AC210" s="399">
        <v>0</v>
      </c>
      <c r="AD210" s="399">
        <v>0</v>
      </c>
      <c r="AE210" s="399">
        <v>2522.1317518331753</v>
      </c>
      <c r="AF210" s="399">
        <v>287.48118817811064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21.214440327112126</v>
      </c>
      <c r="AM210" s="399"/>
      <c r="AN210" s="399">
        <v>1.1031518646411487</v>
      </c>
      <c r="AO210" s="399">
        <v>46.613555328895217</v>
      </c>
      <c r="AP210" s="399">
        <v>247.9442219211011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11.75545276510138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299.23664094321202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2557.8784000000001</v>
      </c>
      <c r="CJ210" s="399">
        <v>-762.37400000000116</v>
      </c>
      <c r="CK210" s="399"/>
      <c r="CL210" s="399"/>
      <c r="CM210" s="399"/>
      <c r="CN210" s="399"/>
      <c r="CO210" s="399">
        <v>-770.92619999999999</v>
      </c>
      <c r="CP210" s="399">
        <v>13.149839999999967</v>
      </c>
      <c r="CQ210" s="399">
        <v>31</v>
      </c>
      <c r="CR210" s="399">
        <v>22.059886461436804</v>
      </c>
      <c r="CS210" s="399">
        <v>3.4025942347053046</v>
      </c>
      <c r="CT210" s="399">
        <v>18.098889348487063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0</v>
      </c>
      <c r="DA210" s="399">
        <v>0</v>
      </c>
      <c r="DB210" s="399">
        <v>0</v>
      </c>
      <c r="DC210" s="399">
        <v>13.148570473931045</v>
      </c>
      <c r="DD210" s="399">
        <v>0</v>
      </c>
      <c r="DE210" s="399">
        <v>0</v>
      </c>
      <c r="DF210" s="399">
        <v>0</v>
      </c>
      <c r="DG210" s="399">
        <v>0.53766091657839787</v>
      </c>
      <c r="DH210" s="399">
        <v>0</v>
      </c>
      <c r="DI210" s="399">
        <v>-11.304674611434905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-1.6939005252225918</v>
      </c>
      <c r="DP210" s="399">
        <v>-0.12925337560746541</v>
      </c>
      <c r="DQ210" s="399">
        <v>0</v>
      </c>
      <c r="DR210" s="399">
        <v>0</v>
      </c>
      <c r="DS210" s="399"/>
      <c r="DT210" s="399"/>
      <c r="DU210" s="399"/>
      <c r="DV210" s="399">
        <v>2522.1317518331753</v>
      </c>
      <c r="DW210" s="399">
        <v>0</v>
      </c>
      <c r="DX210" s="399">
        <v>0</v>
      </c>
      <c r="DY210" s="399">
        <v>-770.92619999999988</v>
      </c>
      <c r="DZ210" s="399">
        <v>13.149839999999983</v>
      </c>
      <c r="EA210" s="399">
        <v>0</v>
      </c>
      <c r="EB210" s="399">
        <v>0</v>
      </c>
      <c r="EC210" s="399">
        <v>-779.84547041944893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62.470060566940695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230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209</v>
      </c>
      <c r="B211" s="399" t="s">
        <v>956</v>
      </c>
      <c r="C211" s="399" t="s">
        <v>2337</v>
      </c>
      <c r="D211" s="399" t="s">
        <v>533</v>
      </c>
      <c r="E211" s="399" t="s">
        <v>2341</v>
      </c>
      <c r="F211" s="399" t="s">
        <v>1239</v>
      </c>
      <c r="G211" s="399" t="s">
        <v>1239</v>
      </c>
      <c r="H211" s="399" t="s">
        <v>1239</v>
      </c>
      <c r="I211" s="399" t="s">
        <v>2326</v>
      </c>
      <c r="J211" s="399" t="s">
        <v>2329</v>
      </c>
      <c r="K211" s="789">
        <v>44562</v>
      </c>
      <c r="L211" s="399">
        <v>0</v>
      </c>
      <c r="M211" s="399">
        <v>0</v>
      </c>
      <c r="N211" s="399">
        <v>25.707000000000001</v>
      </c>
      <c r="O211" s="399">
        <v>25.707000000000001</v>
      </c>
      <c r="P211" s="399">
        <v>25.707000000000001</v>
      </c>
      <c r="Q211" s="399">
        <v>25.707000000000001</v>
      </c>
      <c r="R211" s="399"/>
      <c r="S211" s="399">
        <v>96.28</v>
      </c>
      <c r="T211" s="399">
        <v>128.11000000000001</v>
      </c>
      <c r="U211" s="399"/>
      <c r="V211" s="399">
        <v>5768.3937300000007</v>
      </c>
      <c r="W211" s="399">
        <v>5768.3937300000007</v>
      </c>
      <c r="X211" s="399">
        <v>5774.8204800000003</v>
      </c>
      <c r="Y211" s="399">
        <v>0</v>
      </c>
      <c r="Z211" s="399">
        <v>1369.1024777226003</v>
      </c>
      <c r="AA211" s="399">
        <v>0</v>
      </c>
      <c r="AB211" s="399">
        <v>0</v>
      </c>
      <c r="AC211" s="399">
        <v>0</v>
      </c>
      <c r="AD211" s="399">
        <v>0</v>
      </c>
      <c r="AE211" s="399">
        <v>0</v>
      </c>
      <c r="AF211" s="399">
        <v>3293.3506704521792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243.03013257088745</v>
      </c>
      <c r="AM211" s="399"/>
      <c r="AN211" s="399">
        <v>12.637577978756688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134.66908388255843</v>
      </c>
      <c r="BH211" s="399">
        <v>0</v>
      </c>
      <c r="BI211" s="399">
        <v>0</v>
      </c>
      <c r="BJ211" s="399">
        <v>0</v>
      </c>
      <c r="BK211" s="399">
        <v>0</v>
      </c>
      <c r="BL211" s="399">
        <v>0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3428.0197543347376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5775.4943999999996</v>
      </c>
      <c r="CJ211" s="399">
        <v>7.0706699999982447</v>
      </c>
      <c r="CK211" s="399"/>
      <c r="CL211" s="399"/>
      <c r="CM211" s="399"/>
      <c r="CN211" s="399"/>
      <c r="CO211" s="399">
        <v>-144.21626999999998</v>
      </c>
      <c r="CP211" s="399">
        <v>150.64301999999964</v>
      </c>
      <c r="CQ211" s="399">
        <v>31</v>
      </c>
      <c r="CR211" s="399">
        <v>6.3969976787120686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0</v>
      </c>
      <c r="DA211" s="399">
        <v>0</v>
      </c>
      <c r="DB211" s="399">
        <v>0</v>
      </c>
      <c r="DC211" s="399">
        <v>150.62847645870988</v>
      </c>
      <c r="DD211" s="399">
        <v>0</v>
      </c>
      <c r="DE211" s="399">
        <v>0</v>
      </c>
      <c r="DF211" s="399">
        <v>0</v>
      </c>
      <c r="DG211" s="399">
        <v>6.1593802060966425</v>
      </c>
      <c r="DH211" s="399">
        <v>0</v>
      </c>
      <c r="DI211" s="399">
        <v>-129.50502238687932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-19.405125134535297</v>
      </c>
      <c r="DP211" s="399">
        <v>-1.4807114646796418</v>
      </c>
      <c r="DQ211" s="399">
        <v>0</v>
      </c>
      <c r="DR211" s="399">
        <v>0</v>
      </c>
      <c r="DS211" s="399"/>
      <c r="DT211" s="399"/>
      <c r="DU211" s="399"/>
      <c r="DV211" s="399">
        <v>0</v>
      </c>
      <c r="DW211" s="399">
        <v>0</v>
      </c>
      <c r="DX211" s="399">
        <v>0</v>
      </c>
      <c r="DY211" s="399">
        <v>-144.21627000000035</v>
      </c>
      <c r="DZ211" s="399">
        <v>150.64301999999952</v>
      </c>
      <c r="EA211" s="399">
        <v>0</v>
      </c>
      <c r="EB211" s="399">
        <v>0</v>
      </c>
      <c r="EC211" s="399">
        <v>0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715.64966443598234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230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210</v>
      </c>
      <c r="B212" s="399" t="s">
        <v>956</v>
      </c>
      <c r="C212" s="399" t="s">
        <v>2337</v>
      </c>
      <c r="D212" s="399" t="s">
        <v>533</v>
      </c>
      <c r="E212" s="399" t="s">
        <v>2341</v>
      </c>
      <c r="F212" s="399" t="s">
        <v>1239</v>
      </c>
      <c r="G212" s="399" t="s">
        <v>1239</v>
      </c>
      <c r="H212" s="399" t="s">
        <v>1239</v>
      </c>
      <c r="I212" s="399" t="s">
        <v>1239</v>
      </c>
      <c r="J212" s="399" t="s">
        <v>2329</v>
      </c>
      <c r="K212" s="789">
        <v>44562</v>
      </c>
      <c r="L212" s="399">
        <v>347</v>
      </c>
      <c r="M212" s="399">
        <v>347</v>
      </c>
      <c r="N212" s="399">
        <v>0</v>
      </c>
      <c r="O212" s="399">
        <v>0</v>
      </c>
      <c r="P212" s="399">
        <v>0</v>
      </c>
      <c r="Q212" s="399">
        <v>0</v>
      </c>
      <c r="R212" s="399">
        <v>18.12</v>
      </c>
      <c r="S212" s="399"/>
      <c r="T212" s="399"/>
      <c r="U212" s="399">
        <v>6287.64</v>
      </c>
      <c r="V212" s="399"/>
      <c r="W212" s="399">
        <v>6287.64</v>
      </c>
      <c r="X212" s="399">
        <v>5014.1499999999996</v>
      </c>
      <c r="Y212" s="399">
        <v>0</v>
      </c>
      <c r="Z212" s="399">
        <v>0</v>
      </c>
      <c r="AA212" s="399">
        <v>0</v>
      </c>
      <c r="AB212" s="399">
        <v>0</v>
      </c>
      <c r="AC212" s="399">
        <v>0</v>
      </c>
      <c r="AD212" s="399">
        <v>0</v>
      </c>
      <c r="AE212" s="399">
        <v>4531.4515963414542</v>
      </c>
      <c r="AF212" s="399"/>
      <c r="AG212" s="399"/>
      <c r="AH212" s="399"/>
      <c r="AI212" s="399">
        <v>0</v>
      </c>
      <c r="AJ212" s="399">
        <v>0</v>
      </c>
      <c r="AK212" s="399">
        <v>0</v>
      </c>
      <c r="AL212" s="399">
        <v>0</v>
      </c>
      <c r="AM212" s="399"/>
      <c r="AN212" s="399">
        <v>0</v>
      </c>
      <c r="AO212" s="399">
        <v>275.82003295358169</v>
      </c>
      <c r="AP212" s="399">
        <v>1478.678400827891</v>
      </c>
      <c r="AQ212" s="399">
        <v>0</v>
      </c>
      <c r="AR212" s="399">
        <v>0</v>
      </c>
      <c r="AS212" s="399"/>
      <c r="AT212" s="399"/>
      <c r="AU212" s="399">
        <v>0</v>
      </c>
      <c r="AV212" s="399">
        <v>0</v>
      </c>
      <c r="AW212" s="399">
        <v>0</v>
      </c>
      <c r="AX212" s="399"/>
      <c r="AY212" s="399"/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/>
      <c r="BG212" s="399">
        <v>0</v>
      </c>
      <c r="BH212" s="399">
        <v>0</v>
      </c>
      <c r="BI212" s="399">
        <v>0</v>
      </c>
      <c r="BJ212" s="399">
        <v>0</v>
      </c>
      <c r="BK212" s="399">
        <v>5474.81</v>
      </c>
      <c r="BL212" s="399">
        <v>3</v>
      </c>
      <c r="BM212" s="399"/>
      <c r="BN212" s="399"/>
      <c r="BO212" s="399"/>
      <c r="BP212" s="399"/>
      <c r="BQ212" s="399"/>
      <c r="BR212" s="399"/>
      <c r="BS212" s="399"/>
      <c r="BT212" s="399"/>
      <c r="BU212" s="399"/>
      <c r="BV212" s="399">
        <v>0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5014.1499999999996</v>
      </c>
      <c r="CJ212" s="399">
        <v>-1273.5200000000013</v>
      </c>
      <c r="CK212" s="399"/>
      <c r="CL212" s="399"/>
      <c r="CM212" s="399"/>
      <c r="CN212" s="399"/>
      <c r="CO212" s="399">
        <v>-1273.4900000000007</v>
      </c>
      <c r="CP212" s="399">
        <v>0</v>
      </c>
      <c r="CQ212" s="399">
        <v>31</v>
      </c>
      <c r="CR212" s="399">
        <v>128.07103456199411</v>
      </c>
      <c r="CS212" s="399">
        <v>20.13370675809216</v>
      </c>
      <c r="CT212" s="399">
        <v>107.93732780390178</v>
      </c>
      <c r="CU212" s="399">
        <v>0</v>
      </c>
      <c r="CV212" s="399">
        <v>0</v>
      </c>
      <c r="CW212" s="399"/>
      <c r="CX212" s="399"/>
      <c r="CY212" s="399"/>
      <c r="CZ212" s="399">
        <v>0</v>
      </c>
      <c r="DA212" s="399">
        <v>0</v>
      </c>
      <c r="DB212" s="399">
        <v>0</v>
      </c>
      <c r="DC212" s="399"/>
      <c r="DD212" s="399"/>
      <c r="DE212" s="399">
        <v>0</v>
      </c>
      <c r="DF212" s="399">
        <v>0</v>
      </c>
      <c r="DG212" s="399">
        <v>0</v>
      </c>
      <c r="DH212" s="399">
        <v>0</v>
      </c>
      <c r="DI212" s="399">
        <v>0</v>
      </c>
      <c r="DJ212" s="399"/>
      <c r="DK212" s="399">
        <v>0</v>
      </c>
      <c r="DL212" s="399">
        <v>0</v>
      </c>
      <c r="DM212" s="399"/>
      <c r="DN212" s="399">
        <v>0</v>
      </c>
      <c r="DO212" s="399">
        <v>0</v>
      </c>
      <c r="DP212" s="399">
        <v>0</v>
      </c>
      <c r="DQ212" s="399">
        <v>0</v>
      </c>
      <c r="DR212" s="399">
        <v>0</v>
      </c>
      <c r="DS212" s="399"/>
      <c r="DT212" s="399"/>
      <c r="DU212" s="399">
        <v>4531.4515963414542</v>
      </c>
      <c r="DV212" s="399"/>
      <c r="DW212" s="399">
        <v>0</v>
      </c>
      <c r="DX212" s="399">
        <v>0</v>
      </c>
      <c r="DY212" s="399">
        <v>-1273.4900000000007</v>
      </c>
      <c r="DZ212" s="399"/>
      <c r="EA212" s="399">
        <v>0</v>
      </c>
      <c r="EB212" s="399"/>
      <c r="EC212" s="399">
        <v>-1401.1290247876127</v>
      </c>
      <c r="ED212" s="399"/>
      <c r="EE212" s="399">
        <v>0</v>
      </c>
      <c r="EF212" s="399">
        <v>0</v>
      </c>
      <c r="EG212" s="399"/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/>
      <c r="EN212" s="399"/>
      <c r="EO212" s="399">
        <v>0</v>
      </c>
      <c r="EP212" s="399">
        <v>0</v>
      </c>
      <c r="EQ212" s="399"/>
      <c r="ER212" s="399">
        <v>0</v>
      </c>
      <c r="ES212" s="399"/>
      <c r="ET212" s="399">
        <v>0</v>
      </c>
      <c r="EU212" s="399"/>
      <c r="EV212" s="399">
        <v>230</v>
      </c>
      <c r="EW212" s="399"/>
      <c r="EX212" s="399"/>
      <c r="EY212" s="399"/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211</v>
      </c>
      <c r="B213" s="399" t="s">
        <v>956</v>
      </c>
      <c r="C213" s="399" t="s">
        <v>2328</v>
      </c>
      <c r="D213" s="399" t="s">
        <v>2342</v>
      </c>
      <c r="E213" s="399" t="s">
        <v>2343</v>
      </c>
      <c r="F213" s="399" t="s">
        <v>2344</v>
      </c>
      <c r="G213" s="399" t="s">
        <v>1239</v>
      </c>
      <c r="H213" s="399" t="s">
        <v>1239</v>
      </c>
      <c r="I213" s="399" t="s">
        <v>1239</v>
      </c>
      <c r="J213" s="399" t="s">
        <v>2329</v>
      </c>
      <c r="K213" s="789">
        <v>44562</v>
      </c>
      <c r="L213" s="399">
        <v>0</v>
      </c>
      <c r="M213" s="399">
        <v>0</v>
      </c>
      <c r="N213" s="399">
        <v>766.45399999999995</v>
      </c>
      <c r="O213" s="399">
        <v>766.45399999999995</v>
      </c>
      <c r="P213" s="399">
        <v>766.45399999999995</v>
      </c>
      <c r="Q213" s="399">
        <v>766.45399999999995</v>
      </c>
      <c r="R213" s="399"/>
      <c r="S213" s="399">
        <v>183.49</v>
      </c>
      <c r="T213" s="399">
        <v>70.459999999999994</v>
      </c>
      <c r="U213" s="399"/>
      <c r="V213" s="399">
        <v>194640.9933</v>
      </c>
      <c r="W213" s="399">
        <v>194640.9933</v>
      </c>
      <c r="X213" s="399">
        <v>169892.19363999998</v>
      </c>
      <c r="Y213" s="399">
        <v>0</v>
      </c>
      <c r="Z213" s="399">
        <v>25805.607701700217</v>
      </c>
      <c r="AA213" s="399">
        <v>0</v>
      </c>
      <c r="AB213" s="399">
        <v>0</v>
      </c>
      <c r="AC213" s="399">
        <v>0</v>
      </c>
      <c r="AD213" s="399">
        <v>0</v>
      </c>
      <c r="AE213" s="399">
        <v>81989.814029465371</v>
      </c>
      <c r="AF213" s="399">
        <v>54005.173187222157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3985.2678055089173</v>
      </c>
      <c r="AM213" s="399"/>
      <c r="AN213" s="399">
        <v>362.696263769366</v>
      </c>
      <c r="AO213" s="399">
        <v>1465.3152591899902</v>
      </c>
      <c r="AP213" s="399">
        <v>7816.6424667054644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5719.7426558120414</v>
      </c>
      <c r="BH213" s="399">
        <v>0</v>
      </c>
      <c r="BI213" s="399">
        <v>0</v>
      </c>
      <c r="BJ213" s="399">
        <v>0</v>
      </c>
      <c r="BK213" s="399">
        <v>92909.43</v>
      </c>
      <c r="BL213" s="399">
        <v>13</v>
      </c>
      <c r="BM213" s="399"/>
      <c r="BN213" s="399"/>
      <c r="BO213" s="399"/>
      <c r="BP213" s="399"/>
      <c r="BQ213" s="399"/>
      <c r="BR213" s="399"/>
      <c r="BS213" s="399"/>
      <c r="BT213" s="399"/>
      <c r="BU213" s="399"/>
      <c r="BV213" s="399">
        <v>59724.915843034199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169891.307</v>
      </c>
      <c r="CJ213" s="399">
        <v>-24749.716300000029</v>
      </c>
      <c r="CK213" s="399"/>
      <c r="CL213" s="399"/>
      <c r="CM213" s="399"/>
      <c r="CN213" s="399"/>
      <c r="CO213" s="399">
        <v>-27216.781540000015</v>
      </c>
      <c r="CP213" s="399">
        <v>2467.9818800000098</v>
      </c>
      <c r="CQ213" s="399">
        <v>31</v>
      </c>
      <c r="CR213" s="399">
        <v>607.50239482674806</v>
      </c>
      <c r="CS213" s="399">
        <v>106.96187445403939</v>
      </c>
      <c r="CT213" s="399">
        <v>570.58214942641735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0</v>
      </c>
      <c r="DA213" s="399">
        <v>0</v>
      </c>
      <c r="DB213" s="399">
        <v>0</v>
      </c>
      <c r="DC213" s="399">
        <v>2470.0427534377013</v>
      </c>
      <c r="DD213" s="399">
        <v>0</v>
      </c>
      <c r="DE213" s="399">
        <v>0</v>
      </c>
      <c r="DF213" s="399">
        <v>0</v>
      </c>
      <c r="DG213" s="399">
        <v>261.60473274549167</v>
      </c>
      <c r="DH213" s="399">
        <v>0</v>
      </c>
      <c r="DI213" s="399">
        <v>-2440.9829486794915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-318.2100081271883</v>
      </c>
      <c r="DP213" s="399">
        <v>-42.496158430241564</v>
      </c>
      <c r="DQ213" s="399">
        <v>0</v>
      </c>
      <c r="DR213" s="399">
        <v>0</v>
      </c>
      <c r="DS213" s="399"/>
      <c r="DT213" s="399"/>
      <c r="DU213" s="399"/>
      <c r="DV213" s="399">
        <v>81989.814029465371</v>
      </c>
      <c r="DW213" s="399">
        <v>0</v>
      </c>
      <c r="DX213" s="399">
        <v>0</v>
      </c>
      <c r="DY213" s="399">
        <v>-27216.781540000025</v>
      </c>
      <c r="DZ213" s="399">
        <v>2467.9818800000066</v>
      </c>
      <c r="EA213" s="399">
        <v>0</v>
      </c>
      <c r="EB213" s="399">
        <v>0</v>
      </c>
      <c r="EC213" s="399">
        <v>-25351.326331361837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13488.964334509268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230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212</v>
      </c>
      <c r="B214" s="399" t="s">
        <v>956</v>
      </c>
      <c r="C214" s="399" t="s">
        <v>2328</v>
      </c>
      <c r="D214" s="399" t="s">
        <v>1826</v>
      </c>
      <c r="E214" s="399" t="s">
        <v>921</v>
      </c>
      <c r="F214" s="399" t="s">
        <v>2345</v>
      </c>
      <c r="G214" s="399" t="s">
        <v>1239</v>
      </c>
      <c r="H214" s="399" t="s">
        <v>1239</v>
      </c>
      <c r="I214" s="399" t="s">
        <v>1239</v>
      </c>
      <c r="J214" s="399" t="s">
        <v>2329</v>
      </c>
      <c r="K214" s="789">
        <v>44562</v>
      </c>
      <c r="L214" s="399">
        <v>0</v>
      </c>
      <c r="M214" s="399">
        <v>0</v>
      </c>
      <c r="N214" s="399">
        <v>77.051000000000002</v>
      </c>
      <c r="O214" s="399">
        <v>72.427940000000007</v>
      </c>
      <c r="P214" s="399">
        <v>77.051000000000002</v>
      </c>
      <c r="Q214" s="399">
        <v>72.427940000000007</v>
      </c>
      <c r="R214" s="399"/>
      <c r="S214" s="399">
        <v>333.61</v>
      </c>
      <c r="T214" s="399">
        <v>128.11000000000001</v>
      </c>
      <c r="U214" s="399"/>
      <c r="V214" s="399">
        <v>35575.987720000005</v>
      </c>
      <c r="W214" s="399">
        <v>35575.987720000005</v>
      </c>
      <c r="X214" s="399">
        <v>31053.864529999999</v>
      </c>
      <c r="Y214" s="399">
        <v>0</v>
      </c>
      <c r="Z214" s="399">
        <v>4716.7579030982661</v>
      </c>
      <c r="AA214" s="399">
        <v>0</v>
      </c>
      <c r="AB214" s="399">
        <v>0</v>
      </c>
      <c r="AC214" s="399">
        <v>0</v>
      </c>
      <c r="AD214" s="399">
        <v>0</v>
      </c>
      <c r="AE214" s="399">
        <v>14986.126572464198</v>
      </c>
      <c r="AF214" s="399">
        <v>9871.0842381067741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728.42862818374169</v>
      </c>
      <c r="AM214" s="399"/>
      <c r="AN214" s="399">
        <v>66.29374856557466</v>
      </c>
      <c r="AO214" s="399">
        <v>267.8308299966713</v>
      </c>
      <c r="AP214" s="399">
        <v>1428.7286142111454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1045.4565413591213</v>
      </c>
      <c r="BH214" s="399">
        <v>0</v>
      </c>
      <c r="BI214" s="399">
        <v>0</v>
      </c>
      <c r="BJ214" s="399">
        <v>0</v>
      </c>
      <c r="BK214" s="399">
        <v>13377.09</v>
      </c>
      <c r="BL214" s="399">
        <v>28</v>
      </c>
      <c r="BM214" s="399"/>
      <c r="BN214" s="399"/>
      <c r="BO214" s="399"/>
      <c r="BP214" s="399"/>
      <c r="BQ214" s="399">
        <v>1863.2318717999981</v>
      </c>
      <c r="BR214" s="399"/>
      <c r="BS214" s="399"/>
      <c r="BT214" s="399"/>
      <c r="BU214" s="399"/>
      <c r="BV214" s="399">
        <v>10916.540779465895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29191.462900000002</v>
      </c>
      <c r="CJ214" s="399">
        <v>-4249.9955568000041</v>
      </c>
      <c r="CK214" s="399"/>
      <c r="CL214" s="399"/>
      <c r="CM214" s="399"/>
      <c r="CN214" s="399"/>
      <c r="CO214" s="399">
        <v>-4973.6420500000013</v>
      </c>
      <c r="CP214" s="399">
        <v>451.51885999999888</v>
      </c>
      <c r="CQ214" s="399">
        <v>31</v>
      </c>
      <c r="CR214" s="399">
        <v>111.03949789029139</v>
      </c>
      <c r="CS214" s="399">
        <v>19.550528415885879</v>
      </c>
      <c r="CT214" s="399">
        <v>104.29120266353516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0</v>
      </c>
      <c r="DA214" s="399">
        <v>0</v>
      </c>
      <c r="DB214" s="399">
        <v>0</v>
      </c>
      <c r="DC214" s="399">
        <v>451.47526897810167</v>
      </c>
      <c r="DD214" s="399">
        <v>0</v>
      </c>
      <c r="DE214" s="399">
        <v>0</v>
      </c>
      <c r="DF214" s="399">
        <v>0</v>
      </c>
      <c r="DG214" s="399">
        <v>47.816203552677052</v>
      </c>
      <c r="DH214" s="399">
        <v>0</v>
      </c>
      <c r="DI214" s="399">
        <v>-446.16370781120349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-58.162535369396664</v>
      </c>
      <c r="DP214" s="399">
        <v>-7.767462539312767</v>
      </c>
      <c r="DQ214" s="399">
        <v>0</v>
      </c>
      <c r="DR214" s="399">
        <v>0</v>
      </c>
      <c r="DS214" s="399"/>
      <c r="DT214" s="399"/>
      <c r="DU214" s="399"/>
      <c r="DV214" s="399">
        <v>14986.126572464198</v>
      </c>
      <c r="DW214" s="399">
        <v>0</v>
      </c>
      <c r="DX214" s="399">
        <v>0</v>
      </c>
      <c r="DY214" s="399">
        <v>-4973.6420500000022</v>
      </c>
      <c r="DZ214" s="399">
        <v>451.51885999999831</v>
      </c>
      <c r="EA214" s="399">
        <v>0</v>
      </c>
      <c r="EB214" s="399">
        <v>0</v>
      </c>
      <c r="EC214" s="399">
        <v>-4633.7241970703526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2465.5175675330147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230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213</v>
      </c>
      <c r="B215" s="399" t="s">
        <v>956</v>
      </c>
      <c r="C215" s="399" t="s">
        <v>2336</v>
      </c>
      <c r="D215" s="399" t="s">
        <v>533</v>
      </c>
      <c r="E215" s="399" t="s">
        <v>921</v>
      </c>
      <c r="F215" s="399" t="s">
        <v>2345</v>
      </c>
      <c r="G215" s="399" t="s">
        <v>1239</v>
      </c>
      <c r="H215" s="399" t="s">
        <v>1239</v>
      </c>
      <c r="I215" s="399" t="s">
        <v>893</v>
      </c>
      <c r="J215" s="399" t="s">
        <v>2329</v>
      </c>
      <c r="K215" s="789">
        <v>44562</v>
      </c>
      <c r="L215" s="399">
        <v>387</v>
      </c>
      <c r="M215" s="399">
        <v>363.78</v>
      </c>
      <c r="N215" s="399">
        <v>18.664000000000001</v>
      </c>
      <c r="O215" s="399">
        <v>17.544160000000002</v>
      </c>
      <c r="P215" s="399">
        <v>18.664000000000001</v>
      </c>
      <c r="Q215" s="399">
        <v>17.544160000000002</v>
      </c>
      <c r="R215" s="399">
        <v>52.19</v>
      </c>
      <c r="S215" s="399">
        <v>96.28</v>
      </c>
      <c r="T215" s="399">
        <v>128.11000000000001</v>
      </c>
      <c r="U215" s="399">
        <v>20197.53</v>
      </c>
      <c r="V215" s="399">
        <v>4188.0149600000004</v>
      </c>
      <c r="W215" s="399">
        <v>24385.544959999999</v>
      </c>
      <c r="X215" s="399">
        <v>18952.860959999998</v>
      </c>
      <c r="Y215" s="399">
        <v>0</v>
      </c>
      <c r="Z215" s="399">
        <v>994.00663804468093</v>
      </c>
      <c r="AA215" s="399">
        <v>0</v>
      </c>
      <c r="AB215" s="399">
        <v>0</v>
      </c>
      <c r="AC215" s="399">
        <v>0</v>
      </c>
      <c r="AD215" s="399">
        <v>0</v>
      </c>
      <c r="AE215" s="399">
        <v>18085.921206563286</v>
      </c>
      <c r="AF215" s="399">
        <v>2391.0645704796157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176.44666411106093</v>
      </c>
      <c r="AM215" s="399"/>
      <c r="AN215" s="399">
        <v>9.1752345818459897</v>
      </c>
      <c r="AO215" s="399">
        <v>334.22466860792849</v>
      </c>
      <c r="AP215" s="399">
        <v>1777.9879332420865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97.77351622453304</v>
      </c>
      <c r="BH215" s="399">
        <v>0</v>
      </c>
      <c r="BI215" s="399">
        <v>0</v>
      </c>
      <c r="BJ215" s="399">
        <v>0</v>
      </c>
      <c r="BK215" s="399">
        <v>0</v>
      </c>
      <c r="BL215" s="399">
        <v>0</v>
      </c>
      <c r="BM215" s="399"/>
      <c r="BN215" s="399"/>
      <c r="BO215" s="399"/>
      <c r="BP215" s="399"/>
      <c r="BQ215" s="399">
        <v>1137.171657600001</v>
      </c>
      <c r="BR215" s="399"/>
      <c r="BS215" s="399"/>
      <c r="BT215" s="399"/>
      <c r="BU215" s="399"/>
      <c r="BV215" s="399">
        <v>2488.8380867041487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17814.754799999999</v>
      </c>
      <c r="CJ215" s="399">
        <v>-5107.6874623999975</v>
      </c>
      <c r="CK215" s="399"/>
      <c r="CL215" s="399"/>
      <c r="CM215" s="399"/>
      <c r="CN215" s="399"/>
      <c r="CO215" s="399">
        <v>-5542.0550399999984</v>
      </c>
      <c r="CP215" s="399">
        <v>109.37103999999974</v>
      </c>
      <c r="CQ215" s="399">
        <v>31</v>
      </c>
      <c r="CR215" s="399">
        <v>158.82706904221777</v>
      </c>
      <c r="CS215" s="399">
        <v>24.397000453571479</v>
      </c>
      <c r="CT215" s="399">
        <v>129.78566960488752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0</v>
      </c>
      <c r="DA215" s="399">
        <v>0</v>
      </c>
      <c r="DB215" s="399">
        <v>0</v>
      </c>
      <c r="DC215" s="399">
        <v>109.36048098282026</v>
      </c>
      <c r="DD215" s="399">
        <v>0</v>
      </c>
      <c r="DE215" s="399">
        <v>0</v>
      </c>
      <c r="DF215" s="399">
        <v>0</v>
      </c>
      <c r="DG215" s="399">
        <v>4.4718820619515185</v>
      </c>
      <c r="DH215" s="399">
        <v>0</v>
      </c>
      <c r="DI215" s="399">
        <v>-94.024263345731356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-14.088662835452084</v>
      </c>
      <c r="DP215" s="399">
        <v>-1.0750378798296509</v>
      </c>
      <c r="DQ215" s="399">
        <v>0</v>
      </c>
      <c r="DR215" s="399">
        <v>0</v>
      </c>
      <c r="DS215" s="399"/>
      <c r="DT215" s="399"/>
      <c r="DU215" s="399">
        <v>18085.921206563286</v>
      </c>
      <c r="DV215" s="399">
        <v>0</v>
      </c>
      <c r="DW215" s="399">
        <v>0</v>
      </c>
      <c r="DX215" s="399">
        <v>0</v>
      </c>
      <c r="DY215" s="399">
        <v>-5542.0550399999993</v>
      </c>
      <c r="DZ215" s="399">
        <v>109.37103999999954</v>
      </c>
      <c r="EA215" s="399">
        <v>0</v>
      </c>
      <c r="EB215" s="399">
        <v>0</v>
      </c>
      <c r="EC215" s="399">
        <v>-5592.1835649743625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519.58164457280793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230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214</v>
      </c>
      <c r="B216" s="399" t="s">
        <v>956</v>
      </c>
      <c r="C216" s="399" t="s">
        <v>2336</v>
      </c>
      <c r="D216" s="399" t="s">
        <v>533</v>
      </c>
      <c r="E216" s="399" t="s">
        <v>921</v>
      </c>
      <c r="F216" s="399" t="s">
        <v>2345</v>
      </c>
      <c r="G216" s="399" t="s">
        <v>1239</v>
      </c>
      <c r="H216" s="399" t="s">
        <v>1239</v>
      </c>
      <c r="I216" s="399" t="s">
        <v>2326</v>
      </c>
      <c r="J216" s="399" t="s">
        <v>2329</v>
      </c>
      <c r="K216" s="789">
        <v>44562</v>
      </c>
      <c r="L216" s="399">
        <v>447</v>
      </c>
      <c r="M216" s="399">
        <v>420.18</v>
      </c>
      <c r="N216" s="399">
        <v>150.84800000000001</v>
      </c>
      <c r="O216" s="399">
        <v>141.79712000000001</v>
      </c>
      <c r="P216" s="399">
        <v>150.84800000000001</v>
      </c>
      <c r="Q216" s="399">
        <v>141.79712000000001</v>
      </c>
      <c r="R216" s="399">
        <v>18.12</v>
      </c>
      <c r="S216" s="399">
        <v>96.28</v>
      </c>
      <c r="T216" s="399">
        <v>128.11000000000001</v>
      </c>
      <c r="U216" s="399">
        <v>8099.64</v>
      </c>
      <c r="V216" s="399">
        <v>33848.782720000003</v>
      </c>
      <c r="W216" s="399">
        <v>41948.422720000002</v>
      </c>
      <c r="X216" s="399">
        <v>40345.644720000004</v>
      </c>
      <c r="Y216" s="399">
        <v>0</v>
      </c>
      <c r="Z216" s="399">
        <v>8033.8573368926291</v>
      </c>
      <c r="AA216" s="399">
        <v>0</v>
      </c>
      <c r="AB216" s="399">
        <v>0</v>
      </c>
      <c r="AC216" s="399">
        <v>0</v>
      </c>
      <c r="AD216" s="399">
        <v>0</v>
      </c>
      <c r="AE216" s="399">
        <v>5837.3454281401446</v>
      </c>
      <c r="AF216" s="399">
        <v>19325.295131146006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1426.0944271230883</v>
      </c>
      <c r="AM216" s="399"/>
      <c r="AN216" s="399">
        <v>74.156975257303031</v>
      </c>
      <c r="AO216" s="399">
        <v>355.30707415057924</v>
      </c>
      <c r="AP216" s="399">
        <v>1904.8105048128739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790.23464291890059</v>
      </c>
      <c r="BH216" s="399">
        <v>0</v>
      </c>
      <c r="BI216" s="399">
        <v>0</v>
      </c>
      <c r="BJ216" s="399">
        <v>0</v>
      </c>
      <c r="BK216" s="399">
        <v>0</v>
      </c>
      <c r="BL216" s="399">
        <v>0</v>
      </c>
      <c r="BM216" s="399"/>
      <c r="BN216" s="399"/>
      <c r="BO216" s="399"/>
      <c r="BP216" s="399"/>
      <c r="BQ216" s="399">
        <v>2420.7386832000011</v>
      </c>
      <c r="BR216" s="399"/>
      <c r="BS216" s="399"/>
      <c r="BT216" s="399"/>
      <c r="BU216" s="399"/>
      <c r="BV216" s="399">
        <v>20115.529774064908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37925.553</v>
      </c>
      <c r="CJ216" s="399">
        <v>-1505.994356800009</v>
      </c>
      <c r="CK216" s="399"/>
      <c r="CL216" s="399"/>
      <c r="CM216" s="399"/>
      <c r="CN216" s="399"/>
      <c r="CO216" s="399">
        <v>-2486.7472800000005</v>
      </c>
      <c r="CP216" s="399">
        <v>883.96927999999787</v>
      </c>
      <c r="CQ216" s="399">
        <v>31</v>
      </c>
      <c r="CR216" s="399">
        <v>202.51652784754697</v>
      </c>
      <c r="CS216" s="399">
        <v>25.935927725842078</v>
      </c>
      <c r="CT216" s="399">
        <v>139.04318596064581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0</v>
      </c>
      <c r="DA216" s="399">
        <v>0</v>
      </c>
      <c r="DB216" s="399">
        <v>0</v>
      </c>
      <c r="DC216" s="399">
        <v>883.88393888215069</v>
      </c>
      <c r="DD216" s="399">
        <v>0</v>
      </c>
      <c r="DE216" s="399">
        <v>0</v>
      </c>
      <c r="DF216" s="399">
        <v>0</v>
      </c>
      <c r="DG216" s="399">
        <v>36.143081080221918</v>
      </c>
      <c r="DH216" s="399">
        <v>0</v>
      </c>
      <c r="DI216" s="399">
        <v>-759.93206585817006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-113.86876400569417</v>
      </c>
      <c r="DP216" s="399">
        <v>-8.6887759374487246</v>
      </c>
      <c r="DQ216" s="399">
        <v>0</v>
      </c>
      <c r="DR216" s="399">
        <v>0</v>
      </c>
      <c r="DS216" s="399"/>
      <c r="DT216" s="399"/>
      <c r="DU216" s="399">
        <v>5837.3454281401446</v>
      </c>
      <c r="DV216" s="399">
        <v>0</v>
      </c>
      <c r="DW216" s="399">
        <v>0</v>
      </c>
      <c r="DX216" s="399">
        <v>0</v>
      </c>
      <c r="DY216" s="399">
        <v>-2486.7472799999996</v>
      </c>
      <c r="DZ216" s="399">
        <v>883.96927999999753</v>
      </c>
      <c r="EA216" s="399">
        <v>0</v>
      </c>
      <c r="EB216" s="399">
        <v>0</v>
      </c>
      <c r="EC216" s="399">
        <v>-1804.9126054180488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4199.4134119437922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230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215</v>
      </c>
      <c r="B217" s="399" t="s">
        <v>956</v>
      </c>
      <c r="C217" s="399" t="s">
        <v>2336</v>
      </c>
      <c r="D217" s="399" t="s">
        <v>533</v>
      </c>
      <c r="E217" s="399" t="s">
        <v>921</v>
      </c>
      <c r="F217" s="399" t="s">
        <v>2345</v>
      </c>
      <c r="G217" s="399" t="s">
        <v>1239</v>
      </c>
      <c r="H217" s="399" t="s">
        <v>1239</v>
      </c>
      <c r="I217" s="399" t="s">
        <v>1239</v>
      </c>
      <c r="J217" s="399" t="s">
        <v>2329</v>
      </c>
      <c r="K217" s="789">
        <v>44562</v>
      </c>
      <c r="L217" s="399">
        <v>0</v>
      </c>
      <c r="M217" s="399">
        <v>0</v>
      </c>
      <c r="N217" s="399">
        <v>0</v>
      </c>
      <c r="O217" s="399">
        <v>0</v>
      </c>
      <c r="P217" s="399">
        <v>0</v>
      </c>
      <c r="Q217" s="399">
        <v>0</v>
      </c>
      <c r="R217" s="399"/>
      <c r="S217" s="399"/>
      <c r="T217" s="399"/>
      <c r="U217" s="399"/>
      <c r="V217" s="399"/>
      <c r="W217" s="399"/>
      <c r="X217" s="399"/>
      <c r="Y217" s="399"/>
      <c r="Z217" s="399"/>
      <c r="AA217" s="399">
        <v>0</v>
      </c>
      <c r="AB217" s="399"/>
      <c r="AC217" s="399"/>
      <c r="AD217" s="399"/>
      <c r="AE217" s="399"/>
      <c r="AF217" s="399"/>
      <c r="AG217" s="399"/>
      <c r="AH217" s="399"/>
      <c r="AI217" s="399"/>
      <c r="AJ217" s="399"/>
      <c r="AK217" s="399"/>
      <c r="AL217" s="399"/>
      <c r="AM217" s="399"/>
      <c r="AN217" s="399"/>
      <c r="AO217" s="399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399">
        <v>0</v>
      </c>
      <c r="BA217" s="399"/>
      <c r="BB217" s="399"/>
      <c r="BC217" s="399"/>
      <c r="BD217" s="399"/>
      <c r="BE217" s="399"/>
      <c r="BF217" s="399"/>
      <c r="BG217" s="399"/>
      <c r="BH217" s="399"/>
      <c r="BI217" s="399">
        <v>0</v>
      </c>
      <c r="BJ217" s="399">
        <v>0</v>
      </c>
      <c r="BK217" s="399">
        <v>26081.919999999998</v>
      </c>
      <c r="BL217" s="399">
        <v>2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/>
      <c r="CJ217" s="399">
        <v>-0.03</v>
      </c>
      <c r="CK217" s="399"/>
      <c r="CL217" s="399"/>
      <c r="CM217" s="399"/>
      <c r="CN217" s="399"/>
      <c r="CO217" s="399">
        <v>0</v>
      </c>
      <c r="CP217" s="399">
        <v>0</v>
      </c>
      <c r="CQ217" s="399">
        <v>31</v>
      </c>
      <c r="CR217" s="399"/>
      <c r="CS217" s="399"/>
      <c r="CT217" s="399"/>
      <c r="CU217" s="399"/>
      <c r="CV217" s="399"/>
      <c r="CW217" s="399"/>
      <c r="CX217" s="399"/>
      <c r="CY217" s="399"/>
      <c r="CZ217" s="399"/>
      <c r="DA217" s="399"/>
      <c r="DB217" s="399"/>
      <c r="DC217" s="399"/>
      <c r="DD217" s="399"/>
      <c r="DE217" s="399"/>
      <c r="DF217" s="399"/>
      <c r="DG217" s="399"/>
      <c r="DH217" s="399"/>
      <c r="DI217" s="399"/>
      <c r="DJ217" s="399"/>
      <c r="DK217" s="399">
        <v>0</v>
      </c>
      <c r="DL217" s="399"/>
      <c r="DM217" s="399"/>
      <c r="DN217" s="399"/>
      <c r="DO217" s="399"/>
      <c r="DP217" s="399"/>
      <c r="DQ217" s="399"/>
      <c r="DR217" s="399"/>
      <c r="DS217" s="399"/>
      <c r="DT217" s="399"/>
      <c r="DU217" s="399"/>
      <c r="DV217" s="399"/>
      <c r="DW217" s="399"/>
      <c r="DX217" s="399"/>
      <c r="DY217" s="399"/>
      <c r="DZ217" s="399"/>
      <c r="EA217" s="399"/>
      <c r="EB217" s="399"/>
      <c r="EC217" s="399"/>
      <c r="ED217" s="399"/>
      <c r="EE217" s="399"/>
      <c r="EF217" s="399"/>
      <c r="EG217" s="399"/>
      <c r="EH217" s="399"/>
      <c r="EI217" s="399"/>
      <c r="EJ217" s="399"/>
      <c r="EK217" s="399"/>
      <c r="EL217" s="399"/>
      <c r="EM217" s="399"/>
      <c r="EN217" s="399"/>
      <c r="EO217" s="399"/>
      <c r="EP217" s="399"/>
      <c r="EQ217" s="399"/>
      <c r="ER217" s="399"/>
      <c r="ES217" s="399"/>
      <c r="ET217" s="399"/>
      <c r="EU217" s="399"/>
      <c r="EV217" s="399">
        <v>230</v>
      </c>
      <c r="EW217" s="399"/>
      <c r="EX217" s="399"/>
      <c r="EY217" s="399"/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216</v>
      </c>
      <c r="B218" s="399" t="s">
        <v>956</v>
      </c>
      <c r="C218" s="399" t="s">
        <v>2328</v>
      </c>
      <c r="D218" s="399" t="s">
        <v>1826</v>
      </c>
      <c r="E218" s="399" t="s">
        <v>2346</v>
      </c>
      <c r="F218" s="399" t="s">
        <v>1239</v>
      </c>
      <c r="G218" s="399" t="s">
        <v>1239</v>
      </c>
      <c r="H218" s="399" t="s">
        <v>1239</v>
      </c>
      <c r="I218" s="399" t="s">
        <v>1239</v>
      </c>
      <c r="J218" s="399" t="s">
        <v>2329</v>
      </c>
      <c r="K218" s="789">
        <v>44562</v>
      </c>
      <c r="L218" s="399">
        <v>0</v>
      </c>
      <c r="M218" s="399">
        <v>0</v>
      </c>
      <c r="N218" s="399">
        <v>0.78600000000000003</v>
      </c>
      <c r="O218" s="399">
        <v>0.78600000000000003</v>
      </c>
      <c r="P218" s="399">
        <v>0.78600000000000003</v>
      </c>
      <c r="Q218" s="399">
        <v>0.78600000000000003</v>
      </c>
      <c r="R218" s="399"/>
      <c r="S218" s="399">
        <v>333.61</v>
      </c>
      <c r="T218" s="399">
        <v>128.11000000000001</v>
      </c>
      <c r="U218" s="399"/>
      <c r="V218" s="399">
        <v>362.91192000000001</v>
      </c>
      <c r="W218" s="399">
        <v>362.91192000000001</v>
      </c>
      <c r="X218" s="399">
        <v>316.78158000000002</v>
      </c>
      <c r="Y218" s="399">
        <v>0</v>
      </c>
      <c r="Z218" s="399">
        <v>48.115815652428097</v>
      </c>
      <c r="AA218" s="399">
        <v>0</v>
      </c>
      <c r="AB218" s="399">
        <v>0</v>
      </c>
      <c r="AC218" s="399">
        <v>0</v>
      </c>
      <c r="AD218" s="399">
        <v>0</v>
      </c>
      <c r="AE218" s="399">
        <v>152.87401183575631</v>
      </c>
      <c r="AF218" s="399">
        <v>100.69528249019383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7.4307264247371352</v>
      </c>
      <c r="AM218" s="399"/>
      <c r="AN218" s="399">
        <v>0.67626489432378145</v>
      </c>
      <c r="AO218" s="399">
        <v>2.7321518523754871</v>
      </c>
      <c r="AP218" s="399">
        <v>14.574511567273108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10.664739477855827</v>
      </c>
      <c r="BH218" s="399">
        <v>0</v>
      </c>
      <c r="BI218" s="399">
        <v>0</v>
      </c>
      <c r="BJ218" s="399">
        <v>0</v>
      </c>
      <c r="BK218" s="399">
        <v>142.78</v>
      </c>
      <c r="BL218" s="399">
        <v>2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>
        <v>111.36002196804967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318.39370000000002</v>
      </c>
      <c r="CJ218" s="399">
        <v>-44.548219999999958</v>
      </c>
      <c r="CK218" s="399"/>
      <c r="CL218" s="399"/>
      <c r="CM218" s="399"/>
      <c r="CN218" s="399"/>
      <c r="CO218" s="399">
        <v>-50.736300000000014</v>
      </c>
      <c r="CP218" s="399">
        <v>4.605959999999989</v>
      </c>
      <c r="CQ218" s="399">
        <v>31</v>
      </c>
      <c r="CR218" s="399">
        <v>1.1327178796091744</v>
      </c>
      <c r="CS218" s="399">
        <v>0.19943563788771446</v>
      </c>
      <c r="CT218" s="399">
        <v>1.0638782792376311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0</v>
      </c>
      <c r="DA218" s="399">
        <v>0</v>
      </c>
      <c r="DB218" s="399">
        <v>0</v>
      </c>
      <c r="DC218" s="399">
        <v>4.6055153264303925</v>
      </c>
      <c r="DD218" s="399">
        <v>0</v>
      </c>
      <c r="DE218" s="399">
        <v>0</v>
      </c>
      <c r="DF218" s="399">
        <v>0</v>
      </c>
      <c r="DG218" s="399">
        <v>0.48777479841149507</v>
      </c>
      <c r="DH218" s="399">
        <v>0</v>
      </c>
      <c r="DI218" s="399">
        <v>-4.5513319014627456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-0.59331809840684446</v>
      </c>
      <c r="DP218" s="399">
        <v>-7.9236162488479533E-2</v>
      </c>
      <c r="DQ218" s="399">
        <v>0</v>
      </c>
      <c r="DR218" s="399">
        <v>0</v>
      </c>
      <c r="DS218" s="399"/>
      <c r="DT218" s="399"/>
      <c r="DU218" s="399"/>
      <c r="DV218" s="399">
        <v>152.87401183575631</v>
      </c>
      <c r="DW218" s="399">
        <v>0</v>
      </c>
      <c r="DX218" s="399">
        <v>0</v>
      </c>
      <c r="DY218" s="399">
        <v>-50.7363</v>
      </c>
      <c r="DZ218" s="399">
        <v>4.6059599999999818</v>
      </c>
      <c r="EA218" s="399">
        <v>0</v>
      </c>
      <c r="EB218" s="399">
        <v>0</v>
      </c>
      <c r="EC218" s="399">
        <v>-47.268785854788334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25.150832670321599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230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217</v>
      </c>
      <c r="B219" s="399" t="s">
        <v>956</v>
      </c>
      <c r="C219" s="399" t="s">
        <v>2337</v>
      </c>
      <c r="D219" s="399" t="s">
        <v>533</v>
      </c>
      <c r="E219" s="399" t="s">
        <v>2346</v>
      </c>
      <c r="F219" s="399" t="s">
        <v>1239</v>
      </c>
      <c r="G219" s="399" t="s">
        <v>1239</v>
      </c>
      <c r="H219" s="399" t="s">
        <v>1239</v>
      </c>
      <c r="I219" s="399" t="s">
        <v>893</v>
      </c>
      <c r="J219" s="399" t="s">
        <v>2329</v>
      </c>
      <c r="K219" s="789">
        <v>44562</v>
      </c>
      <c r="L219" s="399">
        <v>0</v>
      </c>
      <c r="M219" s="399">
        <v>0</v>
      </c>
      <c r="N219" s="399">
        <v>1.1850000000000001</v>
      </c>
      <c r="O219" s="399">
        <v>1.1850000000000001</v>
      </c>
      <c r="P219" s="399">
        <v>1.1850000000000001</v>
      </c>
      <c r="Q219" s="399">
        <v>1.1850000000000001</v>
      </c>
      <c r="R219" s="399"/>
      <c r="S219" s="399">
        <v>1351.49</v>
      </c>
      <c r="T219" s="399">
        <v>128.11000000000001</v>
      </c>
      <c r="U219" s="399"/>
      <c r="V219" s="399">
        <v>1753.326</v>
      </c>
      <c r="W219" s="399">
        <v>1753.326</v>
      </c>
      <c r="X219" s="399">
        <v>1353.1633500000003</v>
      </c>
      <c r="Y219" s="399">
        <v>0</v>
      </c>
      <c r="Z219" s="399">
        <v>63.110687209759256</v>
      </c>
      <c r="AA219" s="399">
        <v>0</v>
      </c>
      <c r="AB219" s="399">
        <v>0</v>
      </c>
      <c r="AC219" s="399">
        <v>0</v>
      </c>
      <c r="AD219" s="399">
        <v>0</v>
      </c>
      <c r="AE219" s="399">
        <v>1331.8743876659146</v>
      </c>
      <c r="AF219" s="399">
        <v>151.81159001384185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11.202812739584612</v>
      </c>
      <c r="AM219" s="399"/>
      <c r="AN219" s="399">
        <v>0.5825467734401788</v>
      </c>
      <c r="AO219" s="399">
        <v>24.615446998547604</v>
      </c>
      <c r="AP219" s="399">
        <v>130.93311184336221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6.2077591473463158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/>
      <c r="BS219" s="399"/>
      <c r="BT219" s="399"/>
      <c r="BU219" s="399"/>
      <c r="BV219" s="399">
        <v>158.01934916118816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1358.8728999999998</v>
      </c>
      <c r="CJ219" s="399">
        <v>-394.48310000000015</v>
      </c>
      <c r="CK219" s="399"/>
      <c r="CL219" s="399"/>
      <c r="CM219" s="399"/>
      <c r="CN219" s="399"/>
      <c r="CO219" s="399">
        <v>-407.10674999999998</v>
      </c>
      <c r="CP219" s="399">
        <v>6.9440999999999828</v>
      </c>
      <c r="CQ219" s="399">
        <v>31</v>
      </c>
      <c r="CR219" s="399">
        <v>11.649271593940625</v>
      </c>
      <c r="CS219" s="399">
        <v>1.7968244955997292</v>
      </c>
      <c r="CT219" s="399">
        <v>9.5575685730646853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0</v>
      </c>
      <c r="DA219" s="399">
        <v>0</v>
      </c>
      <c r="DB219" s="399">
        <v>0</v>
      </c>
      <c r="DC219" s="399">
        <v>6.9434295951908496</v>
      </c>
      <c r="DD219" s="399">
        <v>0</v>
      </c>
      <c r="DE219" s="399">
        <v>0</v>
      </c>
      <c r="DF219" s="399">
        <v>0</v>
      </c>
      <c r="DG219" s="399">
        <v>0.28392521664233605</v>
      </c>
      <c r="DH219" s="399">
        <v>0</v>
      </c>
      <c r="DI219" s="399">
        <v>-5.9697145341133506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-0.8945062933996315</v>
      </c>
      <c r="DP219" s="399">
        <v>-6.8255459044049283E-2</v>
      </c>
      <c r="DQ219" s="399">
        <v>0</v>
      </c>
      <c r="DR219" s="399">
        <v>0</v>
      </c>
      <c r="DS219" s="399"/>
      <c r="DT219" s="399"/>
      <c r="DU219" s="399"/>
      <c r="DV219" s="399">
        <v>1331.8743876659146</v>
      </c>
      <c r="DW219" s="399">
        <v>0</v>
      </c>
      <c r="DX219" s="399">
        <v>0</v>
      </c>
      <c r="DY219" s="399">
        <v>-407.10674999999992</v>
      </c>
      <c r="DZ219" s="399">
        <v>6.9440999999999917</v>
      </c>
      <c r="EA219" s="399">
        <v>0</v>
      </c>
      <c r="EB219" s="399">
        <v>0</v>
      </c>
      <c r="EC219" s="399">
        <v>-411.81679253433458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32.988868882274829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230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218</v>
      </c>
      <c r="B220" s="399" t="s">
        <v>956</v>
      </c>
      <c r="C220" s="399" t="s">
        <v>2337</v>
      </c>
      <c r="D220" s="399" t="s">
        <v>533</v>
      </c>
      <c r="E220" s="399" t="s">
        <v>2346</v>
      </c>
      <c r="F220" s="399" t="s">
        <v>1239</v>
      </c>
      <c r="G220" s="399" t="s">
        <v>1239</v>
      </c>
      <c r="H220" s="399" t="s">
        <v>1239</v>
      </c>
      <c r="I220" s="399" t="s">
        <v>2326</v>
      </c>
      <c r="J220" s="399" t="s">
        <v>2329</v>
      </c>
      <c r="K220" s="789">
        <v>44562</v>
      </c>
      <c r="L220" s="399">
        <v>0</v>
      </c>
      <c r="M220" s="399">
        <v>0</v>
      </c>
      <c r="N220" s="399">
        <v>19.510000000000002</v>
      </c>
      <c r="O220" s="399">
        <v>19.510000000000002</v>
      </c>
      <c r="P220" s="399">
        <v>19.510000000000002</v>
      </c>
      <c r="Q220" s="399">
        <v>19.510000000000002</v>
      </c>
      <c r="R220" s="399"/>
      <c r="S220" s="399">
        <v>96.28</v>
      </c>
      <c r="T220" s="399">
        <v>128.11000000000001</v>
      </c>
      <c r="U220" s="399"/>
      <c r="V220" s="399">
        <v>4377.8489000000009</v>
      </c>
      <c r="W220" s="399">
        <v>4377.8489000000009</v>
      </c>
      <c r="X220" s="399">
        <v>4382.7264000000005</v>
      </c>
      <c r="Y220" s="399">
        <v>0</v>
      </c>
      <c r="Z220" s="399">
        <v>1039.0628754956988</v>
      </c>
      <c r="AA220" s="399">
        <v>0</v>
      </c>
      <c r="AB220" s="399">
        <v>0</v>
      </c>
      <c r="AC220" s="399">
        <v>0</v>
      </c>
      <c r="AD220" s="399">
        <v>0</v>
      </c>
      <c r="AE220" s="399">
        <v>0</v>
      </c>
      <c r="AF220" s="399">
        <v>2499.4465157553204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184.44462156058717</v>
      </c>
      <c r="AM220" s="399"/>
      <c r="AN220" s="399">
        <v>9.5911287340235347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102.20538478036002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2601.6519005356804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4382.7264000000005</v>
      </c>
      <c r="CJ220" s="399">
        <v>4.847499999998945</v>
      </c>
      <c r="CK220" s="399"/>
      <c r="CL220" s="399"/>
      <c r="CM220" s="399"/>
      <c r="CN220" s="399"/>
      <c r="CO220" s="399">
        <v>-109.4511</v>
      </c>
      <c r="CP220" s="399">
        <v>114.32859999999972</v>
      </c>
      <c r="CQ220" s="399">
        <v>31</v>
      </c>
      <c r="CR220" s="399">
        <v>4.8549198549681023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0</v>
      </c>
      <c r="DA220" s="399">
        <v>0</v>
      </c>
      <c r="DB220" s="399">
        <v>0</v>
      </c>
      <c r="DC220" s="399">
        <v>114.31756236470346</v>
      </c>
      <c r="DD220" s="399">
        <v>0</v>
      </c>
      <c r="DE220" s="399">
        <v>0</v>
      </c>
      <c r="DF220" s="399">
        <v>0</v>
      </c>
      <c r="DG220" s="399">
        <v>4.6745831026936457</v>
      </c>
      <c r="DH220" s="399">
        <v>0</v>
      </c>
      <c r="DI220" s="399">
        <v>-98.286186127047586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-14.727272391752592</v>
      </c>
      <c r="DP220" s="399">
        <v>-1.1237670936281869</v>
      </c>
      <c r="DQ220" s="399">
        <v>0</v>
      </c>
      <c r="DR220" s="399">
        <v>0</v>
      </c>
      <c r="DS220" s="399"/>
      <c r="DT220" s="399"/>
      <c r="DU220" s="399"/>
      <c r="DV220" s="399">
        <v>0</v>
      </c>
      <c r="DW220" s="399">
        <v>0</v>
      </c>
      <c r="DX220" s="399">
        <v>0</v>
      </c>
      <c r="DY220" s="399">
        <v>-109.4511</v>
      </c>
      <c r="DZ220" s="399">
        <v>114.32859999999982</v>
      </c>
      <c r="EA220" s="399">
        <v>0</v>
      </c>
      <c r="EB220" s="399">
        <v>0</v>
      </c>
      <c r="EC220" s="399">
        <v>0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543.13319147103959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230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219</v>
      </c>
      <c r="B221" s="399" t="s">
        <v>956</v>
      </c>
      <c r="C221" s="399" t="s">
        <v>2337</v>
      </c>
      <c r="D221" s="399" t="s">
        <v>533</v>
      </c>
      <c r="E221" s="399" t="s">
        <v>2346</v>
      </c>
      <c r="F221" s="399" t="s">
        <v>1239</v>
      </c>
      <c r="G221" s="399" t="s">
        <v>1239</v>
      </c>
      <c r="H221" s="399" t="s">
        <v>1239</v>
      </c>
      <c r="I221" s="399" t="s">
        <v>1239</v>
      </c>
      <c r="J221" s="399" t="s">
        <v>2329</v>
      </c>
      <c r="K221" s="789">
        <v>44562</v>
      </c>
      <c r="L221" s="399">
        <v>95</v>
      </c>
      <c r="M221" s="399">
        <v>95</v>
      </c>
      <c r="N221" s="399">
        <v>0</v>
      </c>
      <c r="O221" s="399">
        <v>0</v>
      </c>
      <c r="P221" s="399">
        <v>0</v>
      </c>
      <c r="Q221" s="399">
        <v>0</v>
      </c>
      <c r="R221" s="399">
        <v>18.12</v>
      </c>
      <c r="S221" s="399"/>
      <c r="T221" s="399"/>
      <c r="U221" s="399">
        <v>1721.4</v>
      </c>
      <c r="V221" s="399"/>
      <c r="W221" s="399">
        <v>1721.4</v>
      </c>
      <c r="X221" s="399">
        <v>1372.75</v>
      </c>
      <c r="Y221" s="399">
        <v>0</v>
      </c>
      <c r="Z221" s="399">
        <v>0</v>
      </c>
      <c r="AA221" s="399">
        <v>0</v>
      </c>
      <c r="AB221" s="399">
        <v>0</v>
      </c>
      <c r="AC221" s="399">
        <v>0</v>
      </c>
      <c r="AD221" s="399">
        <v>0</v>
      </c>
      <c r="AE221" s="399">
        <v>1240.5991402087554</v>
      </c>
      <c r="AF221" s="399"/>
      <c r="AG221" s="399"/>
      <c r="AH221" s="399"/>
      <c r="AI221" s="399">
        <v>0</v>
      </c>
      <c r="AJ221" s="399">
        <v>0</v>
      </c>
      <c r="AK221" s="399">
        <v>0</v>
      </c>
      <c r="AL221" s="399">
        <v>0</v>
      </c>
      <c r="AM221" s="399"/>
      <c r="AN221" s="399">
        <v>0</v>
      </c>
      <c r="AO221" s="399">
        <v>75.512689137147717</v>
      </c>
      <c r="AP221" s="399">
        <v>404.82549878573383</v>
      </c>
      <c r="AQ221" s="399">
        <v>0</v>
      </c>
      <c r="AR221" s="399">
        <v>0</v>
      </c>
      <c r="AS221" s="399"/>
      <c r="AT221" s="399"/>
      <c r="AU221" s="399">
        <v>0</v>
      </c>
      <c r="AV221" s="399">
        <v>0</v>
      </c>
      <c r="AW221" s="399">
        <v>0</v>
      </c>
      <c r="AX221" s="399"/>
      <c r="AY221" s="399"/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/>
      <c r="BG221" s="399">
        <v>0</v>
      </c>
      <c r="BH221" s="399">
        <v>0</v>
      </c>
      <c r="BI221" s="399">
        <v>0</v>
      </c>
      <c r="BJ221" s="399">
        <v>0</v>
      </c>
      <c r="BK221" s="399">
        <v>3349.1</v>
      </c>
      <c r="BL221" s="399">
        <v>1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0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1372.75</v>
      </c>
      <c r="CJ221" s="399">
        <v>-348.68000000000006</v>
      </c>
      <c r="CK221" s="399"/>
      <c r="CL221" s="399"/>
      <c r="CM221" s="399"/>
      <c r="CN221" s="399"/>
      <c r="CO221" s="399">
        <v>-348.65000000000015</v>
      </c>
      <c r="CP221" s="399">
        <v>0</v>
      </c>
      <c r="CQ221" s="399">
        <v>31</v>
      </c>
      <c r="CR221" s="399">
        <v>35.062675168269209</v>
      </c>
      <c r="CS221" s="399">
        <v>5.5121099193624161</v>
      </c>
      <c r="CT221" s="399">
        <v>29.550565248906821</v>
      </c>
      <c r="CU221" s="399">
        <v>0</v>
      </c>
      <c r="CV221" s="399">
        <v>0</v>
      </c>
      <c r="CW221" s="399"/>
      <c r="CX221" s="399"/>
      <c r="CY221" s="399"/>
      <c r="CZ221" s="399">
        <v>0</v>
      </c>
      <c r="DA221" s="399">
        <v>0</v>
      </c>
      <c r="DB221" s="399">
        <v>0</v>
      </c>
      <c r="DC221" s="399"/>
      <c r="DD221" s="399"/>
      <c r="DE221" s="399">
        <v>0</v>
      </c>
      <c r="DF221" s="399">
        <v>0</v>
      </c>
      <c r="DG221" s="399">
        <v>0</v>
      </c>
      <c r="DH221" s="399">
        <v>0</v>
      </c>
      <c r="DI221" s="399">
        <v>0</v>
      </c>
      <c r="DJ221" s="399"/>
      <c r="DK221" s="399">
        <v>0</v>
      </c>
      <c r="DL221" s="399">
        <v>0</v>
      </c>
      <c r="DM221" s="399"/>
      <c r="DN221" s="399">
        <v>0</v>
      </c>
      <c r="DO221" s="399">
        <v>0</v>
      </c>
      <c r="DP221" s="399">
        <v>0</v>
      </c>
      <c r="DQ221" s="399">
        <v>0</v>
      </c>
      <c r="DR221" s="399">
        <v>0</v>
      </c>
      <c r="DS221" s="399"/>
      <c r="DT221" s="399"/>
      <c r="DU221" s="399">
        <v>1240.5991402087554</v>
      </c>
      <c r="DV221" s="399"/>
      <c r="DW221" s="399">
        <v>0</v>
      </c>
      <c r="DX221" s="399">
        <v>0</v>
      </c>
      <c r="DY221" s="399">
        <v>-348.65000000000009</v>
      </c>
      <c r="DZ221" s="399"/>
      <c r="EA221" s="399">
        <v>0</v>
      </c>
      <c r="EB221" s="399"/>
      <c r="EC221" s="399">
        <v>-383.59440159891403</v>
      </c>
      <c r="ED221" s="399"/>
      <c r="EE221" s="399">
        <v>0</v>
      </c>
      <c r="EF221" s="399">
        <v>0</v>
      </c>
      <c r="EG221" s="399"/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/>
      <c r="EN221" s="399"/>
      <c r="EO221" s="399">
        <v>0</v>
      </c>
      <c r="EP221" s="399">
        <v>0</v>
      </c>
      <c r="EQ221" s="399"/>
      <c r="ER221" s="399">
        <v>0</v>
      </c>
      <c r="ES221" s="399"/>
      <c r="ET221" s="399">
        <v>0</v>
      </c>
      <c r="EU221" s="399"/>
      <c r="EV221" s="399">
        <v>230</v>
      </c>
      <c r="EW221" s="399"/>
      <c r="EX221" s="399"/>
      <c r="EY221" s="399"/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220</v>
      </c>
      <c r="B222" s="399" t="s">
        <v>956</v>
      </c>
      <c r="C222" s="399" t="s">
        <v>2328</v>
      </c>
      <c r="D222" s="399" t="s">
        <v>2340</v>
      </c>
      <c r="E222" s="399" t="s">
        <v>894</v>
      </c>
      <c r="F222" s="399" t="s">
        <v>2347</v>
      </c>
      <c r="G222" s="399" t="s">
        <v>2348</v>
      </c>
      <c r="H222" s="399" t="s">
        <v>1239</v>
      </c>
      <c r="I222" s="399" t="s">
        <v>1239</v>
      </c>
      <c r="J222" s="399" t="s">
        <v>2329</v>
      </c>
      <c r="K222" s="789">
        <v>44562</v>
      </c>
      <c r="L222" s="399">
        <v>0</v>
      </c>
      <c r="M222" s="399">
        <v>0</v>
      </c>
      <c r="N222" s="399">
        <v>0</v>
      </c>
      <c r="O222" s="399">
        <v>0</v>
      </c>
      <c r="P222" s="399">
        <v>0</v>
      </c>
      <c r="Q222" s="399">
        <v>0</v>
      </c>
      <c r="R222" s="399"/>
      <c r="S222" s="399"/>
      <c r="T222" s="399"/>
      <c r="U222" s="399"/>
      <c r="V222" s="399"/>
      <c r="W222" s="399"/>
      <c r="X222" s="399"/>
      <c r="Y222" s="399"/>
      <c r="Z222" s="399"/>
      <c r="AA222" s="399">
        <v>0</v>
      </c>
      <c r="AB222" s="399"/>
      <c r="AC222" s="399"/>
      <c r="AD222" s="399"/>
      <c r="AE222" s="399"/>
      <c r="AF222" s="399"/>
      <c r="AG222" s="399"/>
      <c r="AH222" s="399"/>
      <c r="AI222" s="399"/>
      <c r="AJ222" s="399"/>
      <c r="AK222" s="399"/>
      <c r="AL222" s="399"/>
      <c r="AM222" s="399"/>
      <c r="AN222" s="399"/>
      <c r="AO222" s="399"/>
      <c r="AP222" s="399"/>
      <c r="AQ222" s="399"/>
      <c r="AR222" s="399"/>
      <c r="AS222" s="399"/>
      <c r="AT222" s="399"/>
      <c r="AU222" s="399"/>
      <c r="AV222" s="399"/>
      <c r="AW222" s="399"/>
      <c r="AX222" s="399"/>
      <c r="AY222" s="399"/>
      <c r="AZ222" s="399">
        <v>0</v>
      </c>
      <c r="BA222" s="399"/>
      <c r="BB222" s="399"/>
      <c r="BC222" s="399"/>
      <c r="BD222" s="399"/>
      <c r="BE222" s="399"/>
      <c r="BF222" s="399"/>
      <c r="BG222" s="399"/>
      <c r="BH222" s="399"/>
      <c r="BI222" s="399">
        <v>0</v>
      </c>
      <c r="BJ222" s="399">
        <v>0</v>
      </c>
      <c r="BK222" s="399">
        <v>37803.589999999997</v>
      </c>
      <c r="BL222" s="399">
        <v>160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/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/>
      <c r="CJ222" s="399">
        <v>-0.03</v>
      </c>
      <c r="CK222" s="399"/>
      <c r="CL222" s="399"/>
      <c r="CM222" s="399"/>
      <c r="CN222" s="399"/>
      <c r="CO222" s="399">
        <v>0</v>
      </c>
      <c r="CP222" s="399">
        <v>0</v>
      </c>
      <c r="CQ222" s="399">
        <v>31</v>
      </c>
      <c r="CR222" s="399"/>
      <c r="CS222" s="399"/>
      <c r="CT222" s="399"/>
      <c r="CU222" s="399"/>
      <c r="CV222" s="399"/>
      <c r="CW222" s="399"/>
      <c r="CX222" s="399"/>
      <c r="CY222" s="399"/>
      <c r="CZ222" s="399"/>
      <c r="DA222" s="399"/>
      <c r="DB222" s="399"/>
      <c r="DC222" s="399"/>
      <c r="DD222" s="399"/>
      <c r="DE222" s="399"/>
      <c r="DF222" s="399"/>
      <c r="DG222" s="399"/>
      <c r="DH222" s="399"/>
      <c r="DI222" s="399"/>
      <c r="DJ222" s="399"/>
      <c r="DK222" s="399">
        <v>0</v>
      </c>
      <c r="DL222" s="399"/>
      <c r="DM222" s="399"/>
      <c r="DN222" s="399"/>
      <c r="DO222" s="399"/>
      <c r="DP222" s="399"/>
      <c r="DQ222" s="399"/>
      <c r="DR222" s="399"/>
      <c r="DS222" s="399"/>
      <c r="DT222" s="399"/>
      <c r="DU222" s="399"/>
      <c r="DV222" s="399"/>
      <c r="DW222" s="399"/>
      <c r="DX222" s="399"/>
      <c r="DY222" s="399"/>
      <c r="DZ222" s="399"/>
      <c r="EA222" s="399"/>
      <c r="EB222" s="399"/>
      <c r="EC222" s="399"/>
      <c r="ED222" s="399"/>
      <c r="EE222" s="399"/>
      <c r="EF222" s="399"/>
      <c r="EG222" s="399"/>
      <c r="EH222" s="399"/>
      <c r="EI222" s="399"/>
      <c r="EJ222" s="399"/>
      <c r="EK222" s="399"/>
      <c r="EL222" s="399"/>
      <c r="EM222" s="399"/>
      <c r="EN222" s="399"/>
      <c r="EO222" s="399"/>
      <c r="EP222" s="399"/>
      <c r="EQ222" s="399"/>
      <c r="ER222" s="399"/>
      <c r="ES222" s="399"/>
      <c r="ET222" s="399"/>
      <c r="EU222" s="399"/>
      <c r="EV222" s="399">
        <v>230</v>
      </c>
      <c r="EW222" s="399"/>
      <c r="EX222" s="399"/>
      <c r="EY222" s="399"/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221</v>
      </c>
      <c r="B223" s="399" t="s">
        <v>956</v>
      </c>
      <c r="C223" s="399" t="s">
        <v>2328</v>
      </c>
      <c r="D223" s="399" t="s">
        <v>2340</v>
      </c>
      <c r="E223" s="399" t="s">
        <v>894</v>
      </c>
      <c r="F223" s="399" t="s">
        <v>2347</v>
      </c>
      <c r="G223" s="399" t="s">
        <v>2348</v>
      </c>
      <c r="H223" s="399" t="s">
        <v>1239</v>
      </c>
      <c r="I223" s="399" t="s">
        <v>1239</v>
      </c>
      <c r="J223" s="399" t="s">
        <v>2329</v>
      </c>
      <c r="K223" s="789">
        <v>44562</v>
      </c>
      <c r="L223" s="399">
        <v>0</v>
      </c>
      <c r="M223" s="399">
        <v>0</v>
      </c>
      <c r="N223" s="399">
        <v>200.428</v>
      </c>
      <c r="O223" s="399">
        <v>200.428</v>
      </c>
      <c r="P223" s="399">
        <v>200.428</v>
      </c>
      <c r="Q223" s="399">
        <v>200.428</v>
      </c>
      <c r="R223" s="399"/>
      <c r="S223" s="399">
        <v>333.61</v>
      </c>
      <c r="T223" s="399">
        <v>128.11000000000001</v>
      </c>
      <c r="U223" s="399"/>
      <c r="V223" s="399">
        <v>92541.616160000005</v>
      </c>
      <c r="W223" s="399">
        <v>92541.616160000005</v>
      </c>
      <c r="X223" s="399">
        <v>80778.496839999993</v>
      </c>
      <c r="Y223" s="399">
        <v>0</v>
      </c>
      <c r="Z223" s="399">
        <v>12269.410559268268</v>
      </c>
      <c r="AA223" s="399">
        <v>0</v>
      </c>
      <c r="AB223" s="399">
        <v>0</v>
      </c>
      <c r="AC223" s="399">
        <v>0</v>
      </c>
      <c r="AD223" s="399">
        <v>0</v>
      </c>
      <c r="AE223" s="399">
        <v>38982.484025721329</v>
      </c>
      <c r="AF223" s="399">
        <v>25677.040812906576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1894.8163306071431</v>
      </c>
      <c r="AM223" s="399"/>
      <c r="AN223" s="399">
        <v>172.44582727675174</v>
      </c>
      <c r="AO223" s="399">
        <v>696.69177031541233</v>
      </c>
      <c r="AP223" s="399">
        <v>3716.4633643834791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2719.4814301115616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>
        <v>9694.7023599999975</v>
      </c>
      <c r="BS223" s="399"/>
      <c r="BT223" s="399"/>
      <c r="BU223" s="399"/>
      <c r="BV223" s="399">
        <v>28396.522243018138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71084.503800000006</v>
      </c>
      <c r="CJ223" s="399">
        <v>-10353.431159999993</v>
      </c>
      <c r="CK223" s="399"/>
      <c r="CL223" s="399"/>
      <c r="CM223" s="399"/>
      <c r="CN223" s="399"/>
      <c r="CO223" s="399">
        <v>-12937.627400000001</v>
      </c>
      <c r="CP223" s="399">
        <v>1174.5080799999971</v>
      </c>
      <c r="CQ223" s="399">
        <v>31</v>
      </c>
      <c r="CR223" s="399">
        <v>288.84017706654413</v>
      </c>
      <c r="CS223" s="399">
        <v>50.855580191550757</v>
      </c>
      <c r="CT223" s="399">
        <v>271.28625413618283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0</v>
      </c>
      <c r="DA223" s="399">
        <v>0</v>
      </c>
      <c r="DB223" s="399">
        <v>0</v>
      </c>
      <c r="DC223" s="399">
        <v>1174.3946893712346</v>
      </c>
      <c r="DD223" s="399">
        <v>0</v>
      </c>
      <c r="DE223" s="399">
        <v>0</v>
      </c>
      <c r="DF223" s="399">
        <v>0</v>
      </c>
      <c r="DG223" s="399">
        <v>124.3813324376838</v>
      </c>
      <c r="DH223" s="399">
        <v>0</v>
      </c>
      <c r="DI223" s="399">
        <v>-1160.5780538757954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-151.29460537848217</v>
      </c>
      <c r="DP223" s="399">
        <v>-20.205019815828223</v>
      </c>
      <c r="DQ223" s="399">
        <v>0</v>
      </c>
      <c r="DR223" s="399">
        <v>0</v>
      </c>
      <c r="DS223" s="399"/>
      <c r="DT223" s="399"/>
      <c r="DU223" s="399"/>
      <c r="DV223" s="399">
        <v>38982.484025721329</v>
      </c>
      <c r="DW223" s="399">
        <v>0</v>
      </c>
      <c r="DX223" s="399">
        <v>0</v>
      </c>
      <c r="DY223" s="399">
        <v>-12937.627400000005</v>
      </c>
      <c r="DZ223" s="399">
        <v>1174.508079999996</v>
      </c>
      <c r="EA223" s="399">
        <v>0</v>
      </c>
      <c r="EB223" s="399">
        <v>0</v>
      </c>
      <c r="EC223" s="399">
        <v>-12053.420116162237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6413.3983339023116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230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222</v>
      </c>
      <c r="B224" s="399" t="s">
        <v>956</v>
      </c>
      <c r="C224" s="399" t="s">
        <v>2328</v>
      </c>
      <c r="D224" s="399" t="s">
        <v>2340</v>
      </c>
      <c r="E224" s="399" t="s">
        <v>894</v>
      </c>
      <c r="F224" s="399" t="s">
        <v>2347</v>
      </c>
      <c r="G224" s="399" t="s">
        <v>2349</v>
      </c>
      <c r="H224" s="399" t="s">
        <v>1239</v>
      </c>
      <c r="I224" s="399" t="s">
        <v>1239</v>
      </c>
      <c r="J224" s="399" t="s">
        <v>2329</v>
      </c>
      <c r="K224" s="789">
        <v>44562</v>
      </c>
      <c r="L224" s="399">
        <v>0</v>
      </c>
      <c r="M224" s="399">
        <v>0</v>
      </c>
      <c r="N224" s="399">
        <v>145.27600000000001</v>
      </c>
      <c r="O224" s="399">
        <v>58.110399999999998</v>
      </c>
      <c r="P224" s="399">
        <v>145.27600000000001</v>
      </c>
      <c r="Q224" s="399">
        <v>58.110399999999998</v>
      </c>
      <c r="R224" s="399"/>
      <c r="S224" s="399">
        <v>333.61</v>
      </c>
      <c r="T224" s="399">
        <v>128.11000000000001</v>
      </c>
      <c r="U224" s="399"/>
      <c r="V224" s="399">
        <v>67076.834720000013</v>
      </c>
      <c r="W224" s="399">
        <v>67076.834720000013</v>
      </c>
      <c r="X224" s="399">
        <v>58550.586280000003</v>
      </c>
      <c r="Y224" s="399">
        <v>0</v>
      </c>
      <c r="Z224" s="399">
        <v>8893.2229449391143</v>
      </c>
      <c r="AA224" s="399">
        <v>0</v>
      </c>
      <c r="AB224" s="399">
        <v>0</v>
      </c>
      <c r="AC224" s="399">
        <v>0</v>
      </c>
      <c r="AD224" s="399">
        <v>0</v>
      </c>
      <c r="AE224" s="399">
        <v>28255.629699047502</v>
      </c>
      <c r="AF224" s="399">
        <v>18611.460380464887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1373.4175726210076</v>
      </c>
      <c r="AM224" s="399"/>
      <c r="AN224" s="399">
        <v>124.99371347046016</v>
      </c>
      <c r="AO224" s="399">
        <v>504.9823059868973</v>
      </c>
      <c r="AP224" s="399">
        <v>2693.7999267775676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1971.1586417111744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>
        <v>37941.151815999998</v>
      </c>
      <c r="BT224" s="399"/>
      <c r="BU224" s="399"/>
      <c r="BV224" s="399">
        <v>20582.619022176063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20609.292600000001</v>
      </c>
      <c r="CJ224" s="399">
        <v>-3002.1551279999912</v>
      </c>
      <c r="CK224" s="399"/>
      <c r="CL224" s="399"/>
      <c r="CM224" s="399"/>
      <c r="CN224" s="399"/>
      <c r="CO224" s="399">
        <v>-9377.5658000000021</v>
      </c>
      <c r="CP224" s="399">
        <v>851.31735999999796</v>
      </c>
      <c r="CQ224" s="399">
        <v>31</v>
      </c>
      <c r="CR224" s="399">
        <v>209.35969806373032</v>
      </c>
      <c r="CS224" s="399">
        <v>36.861592531521126</v>
      </c>
      <c r="CT224" s="399">
        <v>196.63610800830293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0</v>
      </c>
      <c r="DA224" s="399">
        <v>0</v>
      </c>
      <c r="DB224" s="399">
        <v>0</v>
      </c>
      <c r="DC224" s="399">
        <v>851.23517119911048</v>
      </c>
      <c r="DD224" s="399">
        <v>0</v>
      </c>
      <c r="DE224" s="399">
        <v>0</v>
      </c>
      <c r="DF224" s="399">
        <v>0</v>
      </c>
      <c r="DG224" s="399">
        <v>90.155180170519543</v>
      </c>
      <c r="DH224" s="399">
        <v>0</v>
      </c>
      <c r="DI224" s="399">
        <v>-841.22047495788865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-109.66269728263683</v>
      </c>
      <c r="DP224" s="399">
        <v>-14.64518160518621</v>
      </c>
      <c r="DQ224" s="399">
        <v>0</v>
      </c>
      <c r="DR224" s="399">
        <v>0</v>
      </c>
      <c r="DS224" s="399"/>
      <c r="DT224" s="399"/>
      <c r="DU224" s="399"/>
      <c r="DV224" s="399">
        <v>28255.629699047502</v>
      </c>
      <c r="DW224" s="399">
        <v>0</v>
      </c>
      <c r="DX224" s="399">
        <v>0</v>
      </c>
      <c r="DY224" s="399">
        <v>-9377.5658000000039</v>
      </c>
      <c r="DZ224" s="399">
        <v>851.31735999999728</v>
      </c>
      <c r="EA224" s="399">
        <v>0</v>
      </c>
      <c r="EB224" s="399">
        <v>0</v>
      </c>
      <c r="EC224" s="399">
        <v>-8736.6668369468607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4648.6162430198992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230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223</v>
      </c>
      <c r="B225" s="399" t="s">
        <v>956</v>
      </c>
      <c r="C225" s="399" t="s">
        <v>2328</v>
      </c>
      <c r="D225" s="399" t="s">
        <v>2340</v>
      </c>
      <c r="E225" s="399" t="s">
        <v>894</v>
      </c>
      <c r="F225" s="399" t="s">
        <v>2350</v>
      </c>
      <c r="G225" s="399" t="s">
        <v>2348</v>
      </c>
      <c r="H225" s="399" t="s">
        <v>1239</v>
      </c>
      <c r="I225" s="399" t="s">
        <v>1239</v>
      </c>
      <c r="J225" s="399" t="s">
        <v>2329</v>
      </c>
      <c r="K225" s="789">
        <v>44562</v>
      </c>
      <c r="L225" s="399">
        <v>0</v>
      </c>
      <c r="M225" s="399">
        <v>0</v>
      </c>
      <c r="N225" s="399">
        <v>0</v>
      </c>
      <c r="O225" s="399">
        <v>0</v>
      </c>
      <c r="P225" s="399">
        <v>0</v>
      </c>
      <c r="Q225" s="399">
        <v>0</v>
      </c>
      <c r="R225" s="399"/>
      <c r="S225" s="399"/>
      <c r="T225" s="399"/>
      <c r="U225" s="399"/>
      <c r="V225" s="399"/>
      <c r="W225" s="399"/>
      <c r="X225" s="399"/>
      <c r="Y225" s="399"/>
      <c r="Z225" s="399"/>
      <c r="AA225" s="399">
        <v>0</v>
      </c>
      <c r="AB225" s="399"/>
      <c r="AC225" s="399"/>
      <c r="AD225" s="399"/>
      <c r="AE225" s="399"/>
      <c r="AF225" s="399"/>
      <c r="AG225" s="399"/>
      <c r="AH225" s="399"/>
      <c r="AI225" s="399"/>
      <c r="AJ225" s="399"/>
      <c r="AK225" s="399"/>
      <c r="AL225" s="399"/>
      <c r="AM225" s="399"/>
      <c r="AN225" s="399"/>
      <c r="AO225" s="399"/>
      <c r="AP225" s="399"/>
      <c r="AQ225" s="399"/>
      <c r="AR225" s="399"/>
      <c r="AS225" s="399"/>
      <c r="AT225" s="399"/>
      <c r="AU225" s="399"/>
      <c r="AV225" s="399"/>
      <c r="AW225" s="399"/>
      <c r="AX225" s="399"/>
      <c r="AY225" s="399"/>
      <c r="AZ225" s="399">
        <v>0</v>
      </c>
      <c r="BA225" s="399"/>
      <c r="BB225" s="399"/>
      <c r="BC225" s="399"/>
      <c r="BD225" s="399"/>
      <c r="BE225" s="399"/>
      <c r="BF225" s="399"/>
      <c r="BG225" s="399"/>
      <c r="BH225" s="399"/>
      <c r="BI225" s="399">
        <v>0</v>
      </c>
      <c r="BJ225" s="399">
        <v>0</v>
      </c>
      <c r="BK225" s="399">
        <v>248.51</v>
      </c>
      <c r="BL225" s="399">
        <v>1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/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/>
      <c r="CJ225" s="399">
        <v>-0.03</v>
      </c>
      <c r="CK225" s="399"/>
      <c r="CL225" s="399"/>
      <c r="CM225" s="399"/>
      <c r="CN225" s="399"/>
      <c r="CO225" s="399">
        <v>0</v>
      </c>
      <c r="CP225" s="399">
        <v>0</v>
      </c>
      <c r="CQ225" s="399">
        <v>31</v>
      </c>
      <c r="CR225" s="399"/>
      <c r="CS225" s="399"/>
      <c r="CT225" s="399"/>
      <c r="CU225" s="399"/>
      <c r="CV225" s="399"/>
      <c r="CW225" s="399"/>
      <c r="CX225" s="399"/>
      <c r="CY225" s="399"/>
      <c r="CZ225" s="399"/>
      <c r="DA225" s="399"/>
      <c r="DB225" s="399"/>
      <c r="DC225" s="399"/>
      <c r="DD225" s="399"/>
      <c r="DE225" s="399"/>
      <c r="DF225" s="399"/>
      <c r="DG225" s="399"/>
      <c r="DH225" s="399"/>
      <c r="DI225" s="399"/>
      <c r="DJ225" s="399"/>
      <c r="DK225" s="399">
        <v>0</v>
      </c>
      <c r="DL225" s="399"/>
      <c r="DM225" s="399"/>
      <c r="DN225" s="399"/>
      <c r="DO225" s="399"/>
      <c r="DP225" s="399"/>
      <c r="DQ225" s="399"/>
      <c r="DR225" s="399"/>
      <c r="DS225" s="399"/>
      <c r="DT225" s="399"/>
      <c r="DU225" s="399"/>
      <c r="DV225" s="399"/>
      <c r="DW225" s="399"/>
      <c r="DX225" s="399"/>
      <c r="DY225" s="399"/>
      <c r="DZ225" s="399"/>
      <c r="EA225" s="399"/>
      <c r="EB225" s="399"/>
      <c r="EC225" s="399"/>
      <c r="ED225" s="399"/>
      <c r="EE225" s="399"/>
      <c r="EF225" s="399"/>
      <c r="EG225" s="399"/>
      <c r="EH225" s="399"/>
      <c r="EI225" s="399"/>
      <c r="EJ225" s="399"/>
      <c r="EK225" s="399"/>
      <c r="EL225" s="399"/>
      <c r="EM225" s="399"/>
      <c r="EN225" s="399"/>
      <c r="EO225" s="399"/>
      <c r="EP225" s="399"/>
      <c r="EQ225" s="399"/>
      <c r="ER225" s="399"/>
      <c r="ES225" s="399"/>
      <c r="ET225" s="399"/>
      <c r="EU225" s="399"/>
      <c r="EV225" s="399">
        <v>230</v>
      </c>
      <c r="EW225" s="399"/>
      <c r="EX225" s="399"/>
      <c r="EY225" s="399"/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224</v>
      </c>
      <c r="B226" s="399" t="s">
        <v>956</v>
      </c>
      <c r="C226" s="399" t="s">
        <v>2328</v>
      </c>
      <c r="D226" s="399" t="s">
        <v>2340</v>
      </c>
      <c r="E226" s="399" t="s">
        <v>894</v>
      </c>
      <c r="F226" s="399" t="s">
        <v>2350</v>
      </c>
      <c r="G226" s="399" t="s">
        <v>2348</v>
      </c>
      <c r="H226" s="399" t="s">
        <v>1239</v>
      </c>
      <c r="I226" s="399" t="s">
        <v>1239</v>
      </c>
      <c r="J226" s="399" t="s">
        <v>2329</v>
      </c>
      <c r="K226" s="789">
        <v>44562</v>
      </c>
      <c r="L226" s="399">
        <v>0</v>
      </c>
      <c r="M226" s="399">
        <v>0</v>
      </c>
      <c r="N226" s="399">
        <v>0.96899999999999997</v>
      </c>
      <c r="O226" s="399">
        <v>0.96899999999999997</v>
      </c>
      <c r="P226" s="399">
        <v>0.96899999999999997</v>
      </c>
      <c r="Q226" s="399">
        <v>0.96899999999999997</v>
      </c>
      <c r="R226" s="399"/>
      <c r="S226" s="399">
        <v>333.61</v>
      </c>
      <c r="T226" s="399">
        <v>128.11000000000001</v>
      </c>
      <c r="U226" s="399"/>
      <c r="V226" s="399">
        <v>447.40668000000005</v>
      </c>
      <c r="W226" s="399">
        <v>447.40668000000005</v>
      </c>
      <c r="X226" s="399">
        <v>390.53607</v>
      </c>
      <c r="Y226" s="399">
        <v>0</v>
      </c>
      <c r="Z226" s="399">
        <v>59.318352884481961</v>
      </c>
      <c r="AA226" s="399">
        <v>0</v>
      </c>
      <c r="AB226" s="399">
        <v>0</v>
      </c>
      <c r="AC226" s="399">
        <v>0</v>
      </c>
      <c r="AD226" s="399">
        <v>0</v>
      </c>
      <c r="AE226" s="399">
        <v>188.46681611812704</v>
      </c>
      <c r="AF226" s="399">
        <v>124.13960398600231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9.1607810503438714</v>
      </c>
      <c r="AM226" s="399"/>
      <c r="AN226" s="399">
        <v>0.83371588117015805</v>
      </c>
      <c r="AO226" s="399">
        <v>3.368263543195734</v>
      </c>
      <c r="AP226" s="399">
        <v>17.967813878737456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13.147751341020733</v>
      </c>
      <c r="BH226" s="399">
        <v>0</v>
      </c>
      <c r="BI226" s="399">
        <v>0</v>
      </c>
      <c r="BJ226" s="399">
        <v>0</v>
      </c>
      <c r="BK226" s="399">
        <v>0</v>
      </c>
      <c r="BL226" s="399">
        <v>0</v>
      </c>
      <c r="BM226" s="399"/>
      <c r="BN226" s="399"/>
      <c r="BO226" s="399"/>
      <c r="BP226" s="399"/>
      <c r="BQ226" s="399"/>
      <c r="BR226" s="399">
        <v>46.870529999999988</v>
      </c>
      <c r="BS226" s="399"/>
      <c r="BT226" s="399"/>
      <c r="BU226" s="399"/>
      <c r="BV226" s="399">
        <v>137.28735532702305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344.02019999999999</v>
      </c>
      <c r="CJ226" s="399">
        <v>-49.733879999999942</v>
      </c>
      <c r="CK226" s="399"/>
      <c r="CL226" s="399"/>
      <c r="CM226" s="399"/>
      <c r="CN226" s="399"/>
      <c r="CO226" s="399">
        <v>-62.548950000000012</v>
      </c>
      <c r="CP226" s="399">
        <v>5.6783399999999853</v>
      </c>
      <c r="CQ226" s="399">
        <v>31</v>
      </c>
      <c r="CR226" s="399">
        <v>1.396442271426622</v>
      </c>
      <c r="CS226" s="399">
        <v>0.2458691260982131</v>
      </c>
      <c r="CT226" s="399">
        <v>1.3115751305105157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0</v>
      </c>
      <c r="DA226" s="399">
        <v>0</v>
      </c>
      <c r="DB226" s="399">
        <v>0</v>
      </c>
      <c r="DC226" s="399">
        <v>5.6777917955611343</v>
      </c>
      <c r="DD226" s="399">
        <v>0</v>
      </c>
      <c r="DE226" s="399">
        <v>0</v>
      </c>
      <c r="DF226" s="399">
        <v>0</v>
      </c>
      <c r="DG226" s="399">
        <v>0.6013406865912696</v>
      </c>
      <c r="DH226" s="399">
        <v>0</v>
      </c>
      <c r="DI226" s="399">
        <v>-5.6109931456964333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-0.73145704498248243</v>
      </c>
      <c r="DP226" s="399">
        <v>-9.768427665564472E-2</v>
      </c>
      <c r="DQ226" s="399">
        <v>0</v>
      </c>
      <c r="DR226" s="399">
        <v>0</v>
      </c>
      <c r="DS226" s="399"/>
      <c r="DT226" s="399"/>
      <c r="DU226" s="399"/>
      <c r="DV226" s="399">
        <v>188.46681611812704</v>
      </c>
      <c r="DW226" s="399">
        <v>0</v>
      </c>
      <c r="DX226" s="399">
        <v>0</v>
      </c>
      <c r="DY226" s="399">
        <v>-62.548950000000048</v>
      </c>
      <c r="DZ226" s="399">
        <v>5.6783399999999773</v>
      </c>
      <c r="EA226" s="399">
        <v>0</v>
      </c>
      <c r="EB226" s="399">
        <v>0</v>
      </c>
      <c r="EC226" s="399">
        <v>-58.274113859147462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31.006560887457539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230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225</v>
      </c>
      <c r="B227" s="399" t="s">
        <v>956</v>
      </c>
      <c r="C227" s="399" t="s">
        <v>2328</v>
      </c>
      <c r="D227" s="399" t="s">
        <v>2340</v>
      </c>
      <c r="E227" s="399" t="s">
        <v>894</v>
      </c>
      <c r="F227" s="399" t="s">
        <v>2350</v>
      </c>
      <c r="G227" s="399" t="s">
        <v>2349</v>
      </c>
      <c r="H227" s="399" t="s">
        <v>1239</v>
      </c>
      <c r="I227" s="399" t="s">
        <v>1239</v>
      </c>
      <c r="J227" s="399" t="s">
        <v>2329</v>
      </c>
      <c r="K227" s="789">
        <v>44562</v>
      </c>
      <c r="L227" s="399">
        <v>0</v>
      </c>
      <c r="M227" s="399">
        <v>0</v>
      </c>
      <c r="N227" s="399">
        <v>1.984</v>
      </c>
      <c r="O227" s="399">
        <v>0.79359999999999997</v>
      </c>
      <c r="P227" s="399">
        <v>1.984</v>
      </c>
      <c r="Q227" s="399">
        <v>0.79359999999999997</v>
      </c>
      <c r="R227" s="399"/>
      <c r="S227" s="399">
        <v>333.61</v>
      </c>
      <c r="T227" s="399">
        <v>128.11000000000001</v>
      </c>
      <c r="U227" s="399"/>
      <c r="V227" s="399">
        <v>916.05248000000006</v>
      </c>
      <c r="W227" s="399">
        <v>916.05248000000006</v>
      </c>
      <c r="X227" s="399">
        <v>799.61151999999993</v>
      </c>
      <c r="Y227" s="399">
        <v>0</v>
      </c>
      <c r="Z227" s="399">
        <v>121.45264408958948</v>
      </c>
      <c r="AA227" s="399">
        <v>0</v>
      </c>
      <c r="AB227" s="399">
        <v>0</v>
      </c>
      <c r="AC227" s="399">
        <v>0</v>
      </c>
      <c r="AD227" s="399">
        <v>0</v>
      </c>
      <c r="AE227" s="399">
        <v>385.88045735641288</v>
      </c>
      <c r="AF227" s="399">
        <v>254.17231610756306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18.756439219692716</v>
      </c>
      <c r="AM227" s="399"/>
      <c r="AN227" s="399">
        <v>1.7070096060284763</v>
      </c>
      <c r="AO227" s="399">
        <v>6.8964240141386339</v>
      </c>
      <c r="AP227" s="399">
        <v>36.788588994236441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26.919647740541933</v>
      </c>
      <c r="BH227" s="399">
        <v>0</v>
      </c>
      <c r="BI227" s="399">
        <v>0</v>
      </c>
      <c r="BJ227" s="399">
        <v>0</v>
      </c>
      <c r="BK227" s="399">
        <v>0</v>
      </c>
      <c r="BL227" s="399">
        <v>0</v>
      </c>
      <c r="BM227" s="399"/>
      <c r="BN227" s="399"/>
      <c r="BO227" s="399"/>
      <c r="BP227" s="399"/>
      <c r="BQ227" s="399"/>
      <c r="BR227" s="399"/>
      <c r="BS227" s="399">
        <v>518.15334399999995</v>
      </c>
      <c r="BT227" s="399"/>
      <c r="BU227" s="399"/>
      <c r="BV227" s="399">
        <v>281.09196384810502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280.1814</v>
      </c>
      <c r="CJ227" s="399">
        <v>-42.304151999999988</v>
      </c>
      <c r="CK227" s="399"/>
      <c r="CL227" s="399"/>
      <c r="CM227" s="399"/>
      <c r="CN227" s="399"/>
      <c r="CO227" s="399">
        <v>-128.06720000000001</v>
      </c>
      <c r="CP227" s="399">
        <v>11.626239999999971</v>
      </c>
      <c r="CQ227" s="399">
        <v>31</v>
      </c>
      <c r="CR227" s="399">
        <v>2.8591759200312481</v>
      </c>
      <c r="CS227" s="399">
        <v>0.50341005797611427</v>
      </c>
      <c r="CT227" s="399">
        <v>2.6854128575158569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0</v>
      </c>
      <c r="DA227" s="399">
        <v>0</v>
      </c>
      <c r="DB227" s="399">
        <v>0</v>
      </c>
      <c r="DC227" s="399">
        <v>11.625117566969323</v>
      </c>
      <c r="DD227" s="399">
        <v>0</v>
      </c>
      <c r="DE227" s="399">
        <v>0</v>
      </c>
      <c r="DF227" s="399">
        <v>0</v>
      </c>
      <c r="DG227" s="399">
        <v>1.2312279898834682</v>
      </c>
      <c r="DH227" s="399">
        <v>0</v>
      </c>
      <c r="DI227" s="399">
        <v>-11.488349227101878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-1.4976375410167684</v>
      </c>
      <c r="DP227" s="399">
        <v>-0.20000578419483905</v>
      </c>
      <c r="DQ227" s="399">
        <v>0</v>
      </c>
      <c r="DR227" s="399">
        <v>0</v>
      </c>
      <c r="DS227" s="399"/>
      <c r="DT227" s="399"/>
      <c r="DU227" s="399"/>
      <c r="DV227" s="399">
        <v>385.88045735641288</v>
      </c>
      <c r="DW227" s="399">
        <v>0</v>
      </c>
      <c r="DX227" s="399">
        <v>0</v>
      </c>
      <c r="DY227" s="399">
        <v>-128.06720000000007</v>
      </c>
      <c r="DZ227" s="399">
        <v>11.626239999999939</v>
      </c>
      <c r="EA227" s="399">
        <v>0</v>
      </c>
      <c r="EB227" s="399">
        <v>0</v>
      </c>
      <c r="EC227" s="399">
        <v>-119.31459432048354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63.485053457911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230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226</v>
      </c>
      <c r="B228" s="399" t="s">
        <v>956</v>
      </c>
      <c r="C228" s="399" t="s">
        <v>2328</v>
      </c>
      <c r="D228" s="399" t="s">
        <v>1823</v>
      </c>
      <c r="E228" s="399" t="s">
        <v>889</v>
      </c>
      <c r="F228" s="399" t="s">
        <v>889</v>
      </c>
      <c r="G228" s="399" t="s">
        <v>1239</v>
      </c>
      <c r="H228" s="399" t="s">
        <v>1239</v>
      </c>
      <c r="I228" s="399" t="s">
        <v>1239</v>
      </c>
      <c r="J228" s="399" t="s">
        <v>2329</v>
      </c>
      <c r="K228" s="789">
        <v>44593</v>
      </c>
      <c r="L228" s="399">
        <v>0</v>
      </c>
      <c r="M228" s="399">
        <v>0</v>
      </c>
      <c r="N228" s="399">
        <v>6093.8940000000002</v>
      </c>
      <c r="O228" s="399">
        <v>6093.8940000000002</v>
      </c>
      <c r="P228" s="399">
        <v>6093.8940000000002</v>
      </c>
      <c r="Q228" s="399">
        <v>6093.8940000000002</v>
      </c>
      <c r="R228" s="399"/>
      <c r="S228" s="399">
        <v>333.61</v>
      </c>
      <c r="T228" s="399">
        <v>128.11000000000001</v>
      </c>
      <c r="U228" s="399"/>
      <c r="V228" s="399">
        <v>2813672.7376800003</v>
      </c>
      <c r="W228" s="399">
        <v>2813672.7376800003</v>
      </c>
      <c r="X228" s="399">
        <v>2456022.09882</v>
      </c>
      <c r="Y228" s="399">
        <v>0</v>
      </c>
      <c r="Z228" s="399">
        <v>373044.12253109115</v>
      </c>
      <c r="AA228" s="399">
        <v>0</v>
      </c>
      <c r="AB228" s="399">
        <v>0</v>
      </c>
      <c r="AC228" s="399">
        <v>0</v>
      </c>
      <c r="AD228" s="399">
        <v>0</v>
      </c>
      <c r="AE228" s="399">
        <v>1185239.2156257562</v>
      </c>
      <c r="AF228" s="399">
        <v>780695.13714414416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57610.76230960188</v>
      </c>
      <c r="AM228" s="399"/>
      <c r="AN228" s="399">
        <v>5243.1126996569037</v>
      </c>
      <c r="AO228" s="399">
        <v>21182.498448193215</v>
      </c>
      <c r="AP228" s="399">
        <v>112996.85571594935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82684.21363316635</v>
      </c>
      <c r="BH228" s="399">
        <v>0</v>
      </c>
      <c r="BI228" s="399">
        <v>0</v>
      </c>
      <c r="BJ228" s="399">
        <v>0</v>
      </c>
      <c r="BK228" s="399">
        <v>805517.28</v>
      </c>
      <c r="BL228" s="399">
        <v>20708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863379.35077731055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2456020.4867000002</v>
      </c>
      <c r="CJ228" s="399">
        <v>-357652.28097999981</v>
      </c>
      <c r="CK228" s="399"/>
      <c r="CL228" s="399"/>
      <c r="CM228" s="399"/>
      <c r="CN228" s="399"/>
      <c r="CO228" s="399">
        <v>-393360.85770000011</v>
      </c>
      <c r="CP228" s="399">
        <v>35710.218839999914</v>
      </c>
      <c r="CQ228" s="399">
        <v>29</v>
      </c>
      <c r="CR228" s="399">
        <v>8782.0136008174159</v>
      </c>
      <c r="CS228" s="399">
        <v>1546.233635000146</v>
      </c>
      <c r="CT228" s="399">
        <v>8248.297026178785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0</v>
      </c>
      <c r="DA228" s="399">
        <v>0</v>
      </c>
      <c r="DB228" s="399">
        <v>0</v>
      </c>
      <c r="DC228" s="399">
        <v>35706.771265447955</v>
      </c>
      <c r="DD228" s="399">
        <v>0</v>
      </c>
      <c r="DE228" s="399">
        <v>0</v>
      </c>
      <c r="DF228" s="399">
        <v>0</v>
      </c>
      <c r="DG228" s="399">
        <v>3781.740352914785</v>
      </c>
      <c r="DH228" s="399">
        <v>0</v>
      </c>
      <c r="DI228" s="399">
        <v>-35286.684689990303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-4600.0223918229967</v>
      </c>
      <c r="DP228" s="399">
        <v>-614.32159691039578</v>
      </c>
      <c r="DQ228" s="399">
        <v>0</v>
      </c>
      <c r="DR228" s="399">
        <v>0</v>
      </c>
      <c r="DS228" s="399"/>
      <c r="DT228" s="399"/>
      <c r="DU228" s="399"/>
      <c r="DV228" s="399">
        <v>1185239.2156257562</v>
      </c>
      <c r="DW228" s="399">
        <v>0</v>
      </c>
      <c r="DX228" s="399">
        <v>0</v>
      </c>
      <c r="DY228" s="399">
        <v>-393360.85770000005</v>
      </c>
      <c r="DZ228" s="399">
        <v>35710.21883999987</v>
      </c>
      <c r="EA228" s="399">
        <v>0</v>
      </c>
      <c r="EB228" s="399">
        <v>0</v>
      </c>
      <c r="EC228" s="399">
        <v>-366477.0617147322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194995.55763953787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230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227</v>
      </c>
      <c r="B229" s="399" t="s">
        <v>2330</v>
      </c>
      <c r="C229" s="399" t="s">
        <v>2328</v>
      </c>
      <c r="D229" s="399" t="s">
        <v>1823</v>
      </c>
      <c r="E229" s="399" t="s">
        <v>889</v>
      </c>
      <c r="F229" s="399" t="s">
        <v>889</v>
      </c>
      <c r="G229" s="399" t="s">
        <v>1239</v>
      </c>
      <c r="H229" s="399" t="s">
        <v>1239</v>
      </c>
      <c r="I229" s="399" t="s">
        <v>1239</v>
      </c>
      <c r="J229" s="399" t="s">
        <v>2329</v>
      </c>
      <c r="K229" s="789">
        <v>44593</v>
      </c>
      <c r="L229" s="399">
        <v>0</v>
      </c>
      <c r="M229" s="399">
        <v>0</v>
      </c>
      <c r="N229" s="399">
        <v>-14.095000000000001</v>
      </c>
      <c r="O229" s="399">
        <v>-14.095000000000001</v>
      </c>
      <c r="P229" s="399">
        <v>-14.095000000000001</v>
      </c>
      <c r="Q229" s="399">
        <v>-14.095000000000001</v>
      </c>
      <c r="R229" s="399"/>
      <c r="S229" s="399">
        <v>333.61</v>
      </c>
      <c r="T229" s="399">
        <v>128.11000000000001</v>
      </c>
      <c r="U229" s="399"/>
      <c r="V229" s="399">
        <v>-6507.943400000001</v>
      </c>
      <c r="W229" s="399">
        <v>-6507.943400000001</v>
      </c>
      <c r="X229" s="399">
        <v>-5680.7078500000007</v>
      </c>
      <c r="Y229" s="399">
        <v>0</v>
      </c>
      <c r="Z229" s="399">
        <v>-862.84023106994152</v>
      </c>
      <c r="AA229" s="399">
        <v>0</v>
      </c>
      <c r="AB229" s="399">
        <v>0</v>
      </c>
      <c r="AC229" s="399">
        <v>0</v>
      </c>
      <c r="AD229" s="399">
        <v>0</v>
      </c>
      <c r="AE229" s="399">
        <v>-2741.4239145356046</v>
      </c>
      <c r="AF229" s="399">
        <v>-1805.7251993629543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-133.25202157337139</v>
      </c>
      <c r="AM229" s="399"/>
      <c r="AN229" s="399">
        <v>-12.127167538796057</v>
      </c>
      <c r="AO229" s="399">
        <v>-48.994504273832682</v>
      </c>
      <c r="AP229" s="399">
        <v>-261.358448525082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-191.24618694704566</v>
      </c>
      <c r="BH229" s="399">
        <v>0</v>
      </c>
      <c r="BI229" s="399">
        <v>0</v>
      </c>
      <c r="BJ229" s="399">
        <v>0</v>
      </c>
      <c r="BK229" s="399">
        <v>-2545.34</v>
      </c>
      <c r="BL229" s="399">
        <v>0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-1996.9713863100001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-5682.723</v>
      </c>
      <c r="CJ229" s="399">
        <v>825.19040000000041</v>
      </c>
      <c r="CK229" s="399"/>
      <c r="CL229" s="399"/>
      <c r="CM229" s="399"/>
      <c r="CN229" s="399"/>
      <c r="CO229" s="399">
        <v>909.83225000000016</v>
      </c>
      <c r="CP229" s="399">
        <v>-82.5966999999998</v>
      </c>
      <c r="CQ229" s="399">
        <v>29</v>
      </c>
      <c r="CR229" s="399">
        <v>-20.312542637520437</v>
      </c>
      <c r="CS229" s="399">
        <v>-3.5763935318413971</v>
      </c>
      <c r="CT229" s="399">
        <v>-19.078071686837689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0</v>
      </c>
      <c r="DA229" s="399">
        <v>0</v>
      </c>
      <c r="DB229" s="399">
        <v>0</v>
      </c>
      <c r="DC229" s="399">
        <v>-82.588725860097156</v>
      </c>
      <c r="DD229" s="399">
        <v>0</v>
      </c>
      <c r="DE229" s="399">
        <v>0</v>
      </c>
      <c r="DF229" s="399">
        <v>0</v>
      </c>
      <c r="DG229" s="399">
        <v>-8.747055704338436</v>
      </c>
      <c r="DH229" s="399">
        <v>0</v>
      </c>
      <c r="DI229" s="399">
        <v>81.617077800403763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10.639718316850463</v>
      </c>
      <c r="DP229" s="399">
        <v>1.4209080283398468</v>
      </c>
      <c r="DQ229" s="399">
        <v>0</v>
      </c>
      <c r="DR229" s="399">
        <v>0</v>
      </c>
      <c r="DS229" s="399"/>
      <c r="DT229" s="399"/>
      <c r="DU229" s="399"/>
      <c r="DV229" s="399">
        <v>-2741.4239145356046</v>
      </c>
      <c r="DW229" s="399">
        <v>0</v>
      </c>
      <c r="DX229" s="399">
        <v>0</v>
      </c>
      <c r="DY229" s="399">
        <v>909.83225000000039</v>
      </c>
      <c r="DZ229" s="399">
        <v>-82.596699999999828</v>
      </c>
      <c r="EA229" s="399">
        <v>0</v>
      </c>
      <c r="EB229" s="399">
        <v>0</v>
      </c>
      <c r="EC229" s="399">
        <v>847.65080995323365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-451.0190667788587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230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228</v>
      </c>
      <c r="B230" s="399" t="s">
        <v>2331</v>
      </c>
      <c r="C230" s="399" t="s">
        <v>2328</v>
      </c>
      <c r="D230" s="399" t="s">
        <v>1823</v>
      </c>
      <c r="E230" s="399" t="s">
        <v>889</v>
      </c>
      <c r="F230" s="399" t="s">
        <v>889</v>
      </c>
      <c r="G230" s="399" t="s">
        <v>1239</v>
      </c>
      <c r="H230" s="399" t="s">
        <v>1239</v>
      </c>
      <c r="I230" s="399" t="s">
        <v>1239</v>
      </c>
      <c r="J230" s="399" t="s">
        <v>2329</v>
      </c>
      <c r="K230" s="789">
        <v>44593</v>
      </c>
      <c r="L230" s="399">
        <v>0</v>
      </c>
      <c r="M230" s="399">
        <v>0</v>
      </c>
      <c r="N230" s="399">
        <v>14.016</v>
      </c>
      <c r="O230" s="399">
        <v>14.016</v>
      </c>
      <c r="P230" s="399">
        <v>14.016</v>
      </c>
      <c r="Q230" s="399">
        <v>14.016</v>
      </c>
      <c r="R230" s="399"/>
      <c r="S230" s="399">
        <v>333.61</v>
      </c>
      <c r="T230" s="399">
        <v>128.11000000000001</v>
      </c>
      <c r="U230" s="399"/>
      <c r="V230" s="399">
        <v>6471.4675200000001</v>
      </c>
      <c r="W230" s="399">
        <v>6471.4675200000001</v>
      </c>
      <c r="X230" s="399">
        <v>5648.8684800000001</v>
      </c>
      <c r="Y230" s="399">
        <v>0</v>
      </c>
      <c r="Z230" s="399">
        <v>858.00416308451929</v>
      </c>
      <c r="AA230" s="399">
        <v>0</v>
      </c>
      <c r="AB230" s="399">
        <v>0</v>
      </c>
      <c r="AC230" s="399">
        <v>0</v>
      </c>
      <c r="AD230" s="399">
        <v>0</v>
      </c>
      <c r="AE230" s="399">
        <v>2726.0587148727232</v>
      </c>
      <c r="AF230" s="399">
        <v>1795.6044266953647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132.50516739073242</v>
      </c>
      <c r="AM230" s="399"/>
      <c r="AN230" s="399">
        <v>12.059196894201172</v>
      </c>
      <c r="AO230" s="399">
        <v>48.71989868052777</v>
      </c>
      <c r="AP230" s="399">
        <v>259.893580314122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190.17428565092527</v>
      </c>
      <c r="BH230" s="399">
        <v>0</v>
      </c>
      <c r="BI230" s="399">
        <v>0</v>
      </c>
      <c r="BJ230" s="399">
        <v>0</v>
      </c>
      <c r="BK230" s="399">
        <v>4608.59</v>
      </c>
      <c r="BL230" s="399">
        <v>55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1985.7787123462899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5650.4805999999999</v>
      </c>
      <c r="CJ230" s="399">
        <v>-821.01692000000094</v>
      </c>
      <c r="CK230" s="399"/>
      <c r="CL230" s="399"/>
      <c r="CM230" s="399"/>
      <c r="CN230" s="399"/>
      <c r="CO230" s="399">
        <v>-904.73280000000011</v>
      </c>
      <c r="CP230" s="399">
        <v>82.133759999999796</v>
      </c>
      <c r="CQ230" s="399">
        <v>29</v>
      </c>
      <c r="CR230" s="399">
        <v>20.198694402801266</v>
      </c>
      <c r="CS230" s="399">
        <v>3.5563484740893188</v>
      </c>
      <c r="CT230" s="399">
        <v>18.971142445031319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0</v>
      </c>
      <c r="DA230" s="399">
        <v>0</v>
      </c>
      <c r="DB230" s="399">
        <v>0</v>
      </c>
      <c r="DC230" s="399">
        <v>82.12583055375103</v>
      </c>
      <c r="DD230" s="399">
        <v>0</v>
      </c>
      <c r="DE230" s="399">
        <v>0</v>
      </c>
      <c r="DF230" s="399">
        <v>0</v>
      </c>
      <c r="DG230" s="399">
        <v>8.6980299930477258</v>
      </c>
      <c r="DH230" s="399">
        <v>0</v>
      </c>
      <c r="DI230" s="399">
        <v>-81.159628410816481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-10.580084563957172</v>
      </c>
      <c r="DP230" s="399">
        <v>-1.4129440883441848</v>
      </c>
      <c r="DQ230" s="399">
        <v>0</v>
      </c>
      <c r="DR230" s="399">
        <v>0</v>
      </c>
      <c r="DS230" s="399"/>
      <c r="DT230" s="399"/>
      <c r="DU230" s="399"/>
      <c r="DV230" s="399">
        <v>2726.0587148727232</v>
      </c>
      <c r="DW230" s="399">
        <v>0</v>
      </c>
      <c r="DX230" s="399">
        <v>0</v>
      </c>
      <c r="DY230" s="399">
        <v>-904.73280000000022</v>
      </c>
      <c r="DZ230" s="399">
        <v>82.133759999999711</v>
      </c>
      <c r="EA230" s="399">
        <v>0</v>
      </c>
      <c r="EB230" s="399">
        <v>0</v>
      </c>
      <c r="EC230" s="399">
        <v>-842.8998760059967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448.49118410588738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230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229</v>
      </c>
      <c r="B231" s="399" t="s">
        <v>956</v>
      </c>
      <c r="C231" s="399" t="s">
        <v>2328</v>
      </c>
      <c r="D231" s="399" t="s">
        <v>1823</v>
      </c>
      <c r="E231" s="399" t="s">
        <v>889</v>
      </c>
      <c r="F231" s="399" t="s">
        <v>2332</v>
      </c>
      <c r="G231" s="399" t="s">
        <v>1239</v>
      </c>
      <c r="H231" s="399" t="s">
        <v>1239</v>
      </c>
      <c r="I231" s="399" t="s">
        <v>1239</v>
      </c>
      <c r="J231" s="399" t="s">
        <v>2329</v>
      </c>
      <c r="K231" s="789">
        <v>44593</v>
      </c>
      <c r="L231" s="399">
        <v>0</v>
      </c>
      <c r="M231" s="399">
        <v>0</v>
      </c>
      <c r="N231" s="399">
        <v>14.97</v>
      </c>
      <c r="O231" s="399">
        <v>14.97</v>
      </c>
      <c r="P231" s="399">
        <v>14.97</v>
      </c>
      <c r="Q231" s="399">
        <v>14.97</v>
      </c>
      <c r="R231" s="399"/>
      <c r="S231" s="399">
        <v>230.94</v>
      </c>
      <c r="T231" s="399">
        <v>128.11000000000001</v>
      </c>
      <c r="U231" s="399"/>
      <c r="V231" s="399">
        <v>5374.9785000000002</v>
      </c>
      <c r="W231" s="399">
        <v>5374.9785000000002</v>
      </c>
      <c r="X231" s="399">
        <v>4594.2930000000006</v>
      </c>
      <c r="Y231" s="399">
        <v>0</v>
      </c>
      <c r="Z231" s="399">
        <v>0</v>
      </c>
      <c r="AA231" s="399">
        <v>0</v>
      </c>
      <c r="AB231" s="399">
        <v>0</v>
      </c>
      <c r="AC231" s="399">
        <v>0</v>
      </c>
      <c r="AD231" s="399">
        <v>0</v>
      </c>
      <c r="AE231" s="399">
        <v>2911.6080880168856</v>
      </c>
      <c r="AF231" s="399">
        <v>1917.8223649849895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0</v>
      </c>
      <c r="AM231" s="399"/>
      <c r="AN231" s="399">
        <v>12.880006956777365</v>
      </c>
      <c r="AO231" s="399">
        <v>52.036021921197253</v>
      </c>
      <c r="AP231" s="399">
        <v>277.58325465913288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203.1185114293915</v>
      </c>
      <c r="BH231" s="399">
        <v>0</v>
      </c>
      <c r="BI231" s="399">
        <v>0</v>
      </c>
      <c r="BJ231" s="399">
        <v>0</v>
      </c>
      <c r="BK231" s="399">
        <v>214.57</v>
      </c>
      <c r="BL231" s="399">
        <v>9</v>
      </c>
      <c r="BM231" s="399"/>
      <c r="BN231" s="399"/>
      <c r="BO231" s="399"/>
      <c r="BP231" s="399"/>
      <c r="BQ231" s="399"/>
      <c r="BR231" s="399"/>
      <c r="BS231" s="399"/>
      <c r="BT231" s="399">
        <v>2986.2156000000004</v>
      </c>
      <c r="BU231" s="399"/>
      <c r="BV231" s="399">
        <v>2120.9408764143809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1608.0774000000001</v>
      </c>
      <c r="CJ231" s="399">
        <v>-273.23249999999985</v>
      </c>
      <c r="CK231" s="399"/>
      <c r="CL231" s="399"/>
      <c r="CM231" s="399"/>
      <c r="CN231" s="399"/>
      <c r="CO231" s="399">
        <v>-868.40969999999993</v>
      </c>
      <c r="CP231" s="399">
        <v>87.724199999999783</v>
      </c>
      <c r="CQ231" s="399">
        <v>29</v>
      </c>
      <c r="CR231" s="399">
        <v>119.55750274274442</v>
      </c>
      <c r="CS231" s="399">
        <v>3.7984115765637227</v>
      </c>
      <c r="CT231" s="399">
        <v>20.262414554945678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0</v>
      </c>
      <c r="DA231" s="399">
        <v>0</v>
      </c>
      <c r="DB231" s="399">
        <v>0</v>
      </c>
      <c r="DC231" s="399">
        <v>87.715730835448994</v>
      </c>
      <c r="DD231" s="399">
        <v>0</v>
      </c>
      <c r="DE231" s="399">
        <v>0</v>
      </c>
      <c r="DF231" s="399">
        <v>0</v>
      </c>
      <c r="DG231" s="399">
        <v>9.2900620002800167</v>
      </c>
      <c r="DH231" s="399">
        <v>0</v>
      </c>
      <c r="DI231" s="399">
        <v>0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0</v>
      </c>
      <c r="DP231" s="399">
        <v>-1.5091162244943241</v>
      </c>
      <c r="DQ231" s="399">
        <v>0</v>
      </c>
      <c r="DR231" s="399">
        <v>0</v>
      </c>
      <c r="DS231" s="399"/>
      <c r="DT231" s="399"/>
      <c r="DU231" s="399"/>
      <c r="DV231" s="399">
        <v>2911.6080880168856</v>
      </c>
      <c r="DW231" s="399">
        <v>0</v>
      </c>
      <c r="DX231" s="399">
        <v>0</v>
      </c>
      <c r="DY231" s="399">
        <v>-868.4096999999997</v>
      </c>
      <c r="DZ231" s="399">
        <v>87.724199999999655</v>
      </c>
      <c r="EA231" s="399">
        <v>0</v>
      </c>
      <c r="EB231" s="399">
        <v>0</v>
      </c>
      <c r="EC231" s="399">
        <v>-900.27191379921305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230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230</v>
      </c>
      <c r="B232" s="399" t="s">
        <v>956</v>
      </c>
      <c r="C232" s="399" t="s">
        <v>2328</v>
      </c>
      <c r="D232" s="399" t="s">
        <v>1823</v>
      </c>
      <c r="E232" s="399" t="s">
        <v>889</v>
      </c>
      <c r="F232" s="399" t="s">
        <v>2333</v>
      </c>
      <c r="G232" s="399" t="s">
        <v>1239</v>
      </c>
      <c r="H232" s="399" t="s">
        <v>1239</v>
      </c>
      <c r="I232" s="399" t="s">
        <v>1239</v>
      </c>
      <c r="J232" s="399" t="s">
        <v>2329</v>
      </c>
      <c r="K232" s="789">
        <v>44593</v>
      </c>
      <c r="L232" s="399">
        <v>0</v>
      </c>
      <c r="M232" s="399">
        <v>0</v>
      </c>
      <c r="N232" s="399">
        <v>33.079000000000001</v>
      </c>
      <c r="O232" s="399">
        <v>33.079000000000001</v>
      </c>
      <c r="P232" s="399">
        <v>33.079000000000001</v>
      </c>
      <c r="Q232" s="399">
        <v>33.079000000000001</v>
      </c>
      <c r="R232" s="399"/>
      <c r="S232" s="399">
        <v>230.94</v>
      </c>
      <c r="T232" s="399">
        <v>128.11000000000001</v>
      </c>
      <c r="U232" s="399"/>
      <c r="V232" s="399">
        <v>11877.014950000001</v>
      </c>
      <c r="W232" s="399">
        <v>11877.014950000001</v>
      </c>
      <c r="X232" s="399">
        <v>10151.945100000001</v>
      </c>
      <c r="Y232" s="399">
        <v>0</v>
      </c>
      <c r="Z232" s="399">
        <v>0</v>
      </c>
      <c r="AA232" s="399">
        <v>0</v>
      </c>
      <c r="AB232" s="399">
        <v>0</v>
      </c>
      <c r="AC232" s="399">
        <v>0</v>
      </c>
      <c r="AD232" s="399">
        <v>0</v>
      </c>
      <c r="AE232" s="399">
        <v>6433.7397423854745</v>
      </c>
      <c r="AF232" s="399">
        <v>4237.7853046986284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0</v>
      </c>
      <c r="AM232" s="399"/>
      <c r="AN232" s="399">
        <v>28.460771551318533</v>
      </c>
      <c r="AO232" s="399">
        <v>114.98327115105437</v>
      </c>
      <c r="AP232" s="399">
        <v>613.3718424094493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448.82813891602149</v>
      </c>
      <c r="BH232" s="399">
        <v>0</v>
      </c>
      <c r="BI232" s="399">
        <v>0</v>
      </c>
      <c r="BJ232" s="399">
        <v>0</v>
      </c>
      <c r="BK232" s="399">
        <v>831.73</v>
      </c>
      <c r="BL232" s="399">
        <v>54</v>
      </c>
      <c r="BM232" s="399"/>
      <c r="BN232" s="399"/>
      <c r="BO232" s="399"/>
      <c r="BP232" s="399"/>
      <c r="BQ232" s="399"/>
      <c r="BR232" s="399"/>
      <c r="BS232" s="399"/>
      <c r="BT232" s="399">
        <v>4060.7780400000001</v>
      </c>
      <c r="BU232" s="399"/>
      <c r="BV232" s="399">
        <v>4686.6134436146494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6091.3511999999992</v>
      </c>
      <c r="CJ232" s="399">
        <v>-1035.2185600000012</v>
      </c>
      <c r="CK232" s="399"/>
      <c r="CL232" s="399"/>
      <c r="CM232" s="399"/>
      <c r="CN232" s="399"/>
      <c r="CO232" s="399">
        <v>-1918.9127899999996</v>
      </c>
      <c r="CP232" s="399">
        <v>193.84293999999952</v>
      </c>
      <c r="CQ232" s="399">
        <v>29</v>
      </c>
      <c r="CR232" s="399">
        <v>264.18454463775743</v>
      </c>
      <c r="CS232" s="399">
        <v>8.3932970301370347</v>
      </c>
      <c r="CT232" s="399">
        <v>44.773574553309913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0</v>
      </c>
      <c r="DA232" s="399">
        <v>0</v>
      </c>
      <c r="DB232" s="399">
        <v>0</v>
      </c>
      <c r="DC232" s="399">
        <v>193.82422580533148</v>
      </c>
      <c r="DD232" s="399">
        <v>0</v>
      </c>
      <c r="DE232" s="399">
        <v>0</v>
      </c>
      <c r="DF232" s="399">
        <v>0</v>
      </c>
      <c r="DG232" s="399">
        <v>20.528120301086346</v>
      </c>
      <c r="DH232" s="399">
        <v>0</v>
      </c>
      <c r="DI232" s="399">
        <v>0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0</v>
      </c>
      <c r="DP232" s="399">
        <v>-3.334673052107398</v>
      </c>
      <c r="DQ232" s="399">
        <v>0</v>
      </c>
      <c r="DR232" s="399">
        <v>0</v>
      </c>
      <c r="DS232" s="399"/>
      <c r="DT232" s="399"/>
      <c r="DU232" s="399"/>
      <c r="DV232" s="399">
        <v>6433.7397423854745</v>
      </c>
      <c r="DW232" s="399">
        <v>0</v>
      </c>
      <c r="DX232" s="399">
        <v>0</v>
      </c>
      <c r="DY232" s="399">
        <v>-1918.9127899999994</v>
      </c>
      <c r="DZ232" s="399">
        <v>193.84293999999954</v>
      </c>
      <c r="EA232" s="399">
        <v>0</v>
      </c>
      <c r="EB232" s="399">
        <v>0</v>
      </c>
      <c r="EC232" s="399">
        <v>-1989.3182789956027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230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231</v>
      </c>
      <c r="B233" s="399" t="s">
        <v>956</v>
      </c>
      <c r="C233" s="399" t="s">
        <v>2328</v>
      </c>
      <c r="D233" s="399" t="s">
        <v>1823</v>
      </c>
      <c r="E233" s="399" t="s">
        <v>889</v>
      </c>
      <c r="F233" s="399" t="s">
        <v>2334</v>
      </c>
      <c r="G233" s="399" t="s">
        <v>1239</v>
      </c>
      <c r="H233" s="399" t="s">
        <v>1239</v>
      </c>
      <c r="I233" s="399" t="s">
        <v>1239</v>
      </c>
      <c r="J233" s="399" t="s">
        <v>2329</v>
      </c>
      <c r="K233" s="789">
        <v>44593</v>
      </c>
      <c r="L233" s="399">
        <v>0</v>
      </c>
      <c r="M233" s="399">
        <v>0</v>
      </c>
      <c r="N233" s="399">
        <v>42.531999999999996</v>
      </c>
      <c r="O233" s="399">
        <v>42.531999999999996</v>
      </c>
      <c r="P233" s="399">
        <v>42.531999999999996</v>
      </c>
      <c r="Q233" s="399">
        <v>42.531999999999996</v>
      </c>
      <c r="R233" s="399"/>
      <c r="S233" s="399">
        <v>230.94</v>
      </c>
      <c r="T233" s="399">
        <v>128.11000000000001</v>
      </c>
      <c r="U233" s="399"/>
      <c r="V233" s="399">
        <v>15271.114600000001</v>
      </c>
      <c r="W233" s="399">
        <v>15271.114600000001</v>
      </c>
      <c r="X233" s="399">
        <v>13053.0708</v>
      </c>
      <c r="Y233" s="399">
        <v>0</v>
      </c>
      <c r="Z233" s="399">
        <v>0</v>
      </c>
      <c r="AA233" s="399">
        <v>0</v>
      </c>
      <c r="AB233" s="399">
        <v>0</v>
      </c>
      <c r="AC233" s="399">
        <v>0</v>
      </c>
      <c r="AD233" s="399">
        <v>0</v>
      </c>
      <c r="AE233" s="399">
        <v>8272.3123045781012</v>
      </c>
      <c r="AF233" s="399">
        <v>5448.8190265558824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0</v>
      </c>
      <c r="AM233" s="399"/>
      <c r="AN233" s="399">
        <v>36.594018429235462</v>
      </c>
      <c r="AO233" s="399">
        <v>147.84208980309694</v>
      </c>
      <c r="AP233" s="399">
        <v>788.65537656394372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577.08994843786763</v>
      </c>
      <c r="BH233" s="399">
        <v>0</v>
      </c>
      <c r="BI233" s="399">
        <v>0</v>
      </c>
      <c r="BJ233" s="399">
        <v>0</v>
      </c>
      <c r="BK233" s="399">
        <v>2805.12</v>
      </c>
      <c r="BL233" s="399">
        <v>178</v>
      </c>
      <c r="BM233" s="399"/>
      <c r="BN233" s="399"/>
      <c r="BO233" s="399"/>
      <c r="BP233" s="399"/>
      <c r="BQ233" s="399"/>
      <c r="BR233" s="399"/>
      <c r="BS233" s="399"/>
      <c r="BT233" s="399">
        <v>1305.307080000001</v>
      </c>
      <c r="BU233" s="399"/>
      <c r="BV233" s="399">
        <v>6025.9089749937502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11747.211299999999</v>
      </c>
      <c r="CJ233" s="399">
        <v>-1997.0344999999998</v>
      </c>
      <c r="CK233" s="399"/>
      <c r="CL233" s="399"/>
      <c r="CM233" s="399"/>
      <c r="CN233" s="399"/>
      <c r="CO233" s="399">
        <v>-2467.2813199999996</v>
      </c>
      <c r="CP233" s="399">
        <v>249.23751999999936</v>
      </c>
      <c r="CQ233" s="399">
        <v>29</v>
      </c>
      <c r="CR233" s="399">
        <v>339.68067512721245</v>
      </c>
      <c r="CS233" s="399">
        <v>10.791853117862956</v>
      </c>
      <c r="CT233" s="399">
        <v>57.568538132996082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0</v>
      </c>
      <c r="DA233" s="399">
        <v>0</v>
      </c>
      <c r="DB233" s="399">
        <v>0</v>
      </c>
      <c r="DC233" s="399">
        <v>249.21345784190453</v>
      </c>
      <c r="DD233" s="399">
        <v>0</v>
      </c>
      <c r="DE233" s="399">
        <v>0</v>
      </c>
      <c r="DF233" s="399">
        <v>0</v>
      </c>
      <c r="DG233" s="399">
        <v>26.394450033126873</v>
      </c>
      <c r="DH233" s="399">
        <v>0</v>
      </c>
      <c r="DI233" s="399">
        <v>0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0</v>
      </c>
      <c r="DP233" s="399">
        <v>-4.2876239986768638</v>
      </c>
      <c r="DQ233" s="399">
        <v>0</v>
      </c>
      <c r="DR233" s="399">
        <v>0</v>
      </c>
      <c r="DS233" s="399"/>
      <c r="DT233" s="399"/>
      <c r="DU233" s="399"/>
      <c r="DV233" s="399">
        <v>8272.3123045781012</v>
      </c>
      <c r="DW233" s="399">
        <v>0</v>
      </c>
      <c r="DX233" s="399">
        <v>0</v>
      </c>
      <c r="DY233" s="399">
        <v>-2467.2813200000001</v>
      </c>
      <c r="DZ233" s="399">
        <v>249.23751999999968</v>
      </c>
      <c r="EA233" s="399">
        <v>0</v>
      </c>
      <c r="EB233" s="399">
        <v>0</v>
      </c>
      <c r="EC233" s="399">
        <v>-2557.8066157453668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230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232</v>
      </c>
      <c r="B234" s="399" t="s">
        <v>2330</v>
      </c>
      <c r="C234" s="399" t="s">
        <v>2328</v>
      </c>
      <c r="D234" s="399" t="s">
        <v>1823</v>
      </c>
      <c r="E234" s="399" t="s">
        <v>889</v>
      </c>
      <c r="F234" s="399" t="s">
        <v>2334</v>
      </c>
      <c r="G234" s="399" t="s">
        <v>1239</v>
      </c>
      <c r="H234" s="399" t="s">
        <v>1239</v>
      </c>
      <c r="I234" s="399" t="s">
        <v>1239</v>
      </c>
      <c r="J234" s="399" t="s">
        <v>2329</v>
      </c>
      <c r="K234" s="789">
        <v>44593</v>
      </c>
      <c r="L234" s="399">
        <v>0</v>
      </c>
      <c r="M234" s="399">
        <v>0</v>
      </c>
      <c r="N234" s="399">
        <v>-2E-3</v>
      </c>
      <c r="O234" s="399">
        <v>-2E-3</v>
      </c>
      <c r="P234" s="399">
        <v>-2E-3</v>
      </c>
      <c r="Q234" s="399">
        <v>-2E-3</v>
      </c>
      <c r="R234" s="399"/>
      <c r="S234" s="399">
        <v>230.94</v>
      </c>
      <c r="T234" s="399">
        <v>128.11000000000001</v>
      </c>
      <c r="U234" s="399"/>
      <c r="V234" s="399">
        <v>-0.71810000000000007</v>
      </c>
      <c r="W234" s="399">
        <v>-0.71810000000000007</v>
      </c>
      <c r="X234" s="399">
        <v>-0.61380000000000001</v>
      </c>
      <c r="Y234" s="399">
        <v>0</v>
      </c>
      <c r="Z234" s="399">
        <v>0</v>
      </c>
      <c r="AA234" s="399">
        <v>0</v>
      </c>
      <c r="AB234" s="399">
        <v>0</v>
      </c>
      <c r="AC234" s="399">
        <v>0</v>
      </c>
      <c r="AD234" s="399">
        <v>0</v>
      </c>
      <c r="AE234" s="399">
        <v>-0.38899239652864204</v>
      </c>
      <c r="AF234" s="399">
        <v>-0.25622209285036601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0</v>
      </c>
      <c r="AM234" s="399"/>
      <c r="AN234" s="399">
        <v>-1.7207758125287061E-3</v>
      </c>
      <c r="AO234" s="399">
        <v>-6.9520403368333004E-3</v>
      </c>
      <c r="AP234" s="399">
        <v>-3.7085271163544806E-2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-2.7136741673933401E-2</v>
      </c>
      <c r="BH234" s="399">
        <v>0</v>
      </c>
      <c r="BI234" s="399">
        <v>0</v>
      </c>
      <c r="BJ234" s="399">
        <v>0</v>
      </c>
      <c r="BK234" s="399">
        <v>-0.18</v>
      </c>
      <c r="BL234" s="399">
        <v>0</v>
      </c>
      <c r="BM234" s="399"/>
      <c r="BN234" s="399"/>
      <c r="BO234" s="399"/>
      <c r="BP234" s="399"/>
      <c r="BQ234" s="399"/>
      <c r="BR234" s="399"/>
      <c r="BS234" s="399"/>
      <c r="BT234" s="399">
        <v>-6.1380000000000053E-2</v>
      </c>
      <c r="BU234" s="399"/>
      <c r="BV234" s="399">
        <v>-0.28335883452429944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0</v>
      </c>
      <c r="CJ234" s="399">
        <v>0.61629999999999996</v>
      </c>
      <c r="CK234" s="399"/>
      <c r="CL234" s="399"/>
      <c r="CM234" s="399"/>
      <c r="CN234" s="399"/>
      <c r="CO234" s="399">
        <v>0.11601999999999998</v>
      </c>
      <c r="CP234" s="399">
        <v>-1.171999999999997E-2</v>
      </c>
      <c r="CQ234" s="399">
        <v>29</v>
      </c>
      <c r="CR234" s="399">
        <v>-1.5972946258215603E-2</v>
      </c>
      <c r="CS234" s="399">
        <v>-5.0746981650817962E-4</v>
      </c>
      <c r="CT234" s="399">
        <v>-2.707069412818397E-3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0</v>
      </c>
      <c r="DA234" s="399">
        <v>0</v>
      </c>
      <c r="DB234" s="399">
        <v>0</v>
      </c>
      <c r="DC234" s="399">
        <v>-1.171886851509002E-2</v>
      </c>
      <c r="DD234" s="399">
        <v>0</v>
      </c>
      <c r="DE234" s="399">
        <v>0</v>
      </c>
      <c r="DF234" s="399">
        <v>0</v>
      </c>
      <c r="DG234" s="399">
        <v>-1.2411572478664007E-3</v>
      </c>
      <c r="DH234" s="399">
        <v>0</v>
      </c>
      <c r="DI234" s="399">
        <v>0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0</v>
      </c>
      <c r="DP234" s="399">
        <v>2.0161873406737804E-4</v>
      </c>
      <c r="DQ234" s="399">
        <v>0</v>
      </c>
      <c r="DR234" s="399">
        <v>0</v>
      </c>
      <c r="DS234" s="399"/>
      <c r="DT234" s="399"/>
      <c r="DU234" s="399"/>
      <c r="DV234" s="399">
        <v>-0.38899239652864204</v>
      </c>
      <c r="DW234" s="399">
        <v>0</v>
      </c>
      <c r="DX234" s="399">
        <v>0</v>
      </c>
      <c r="DY234" s="399">
        <v>0.11602000000000001</v>
      </c>
      <c r="DZ234" s="399">
        <v>-1.1719999999999953E-2</v>
      </c>
      <c r="EA234" s="399">
        <v>0</v>
      </c>
      <c r="EB234" s="399">
        <v>0</v>
      </c>
      <c r="EC234" s="399">
        <v>0.12027680879081004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230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233</v>
      </c>
      <c r="B235" s="399" t="s">
        <v>956</v>
      </c>
      <c r="C235" s="399" t="s">
        <v>2328</v>
      </c>
      <c r="D235" s="399" t="s">
        <v>1823</v>
      </c>
      <c r="E235" s="399" t="s">
        <v>889</v>
      </c>
      <c r="F235" s="399" t="s">
        <v>2335</v>
      </c>
      <c r="G235" s="399" t="s">
        <v>1239</v>
      </c>
      <c r="H235" s="399" t="s">
        <v>1239</v>
      </c>
      <c r="I235" s="399" t="s">
        <v>1239</v>
      </c>
      <c r="J235" s="399" t="s">
        <v>2329</v>
      </c>
      <c r="K235" s="789">
        <v>44593</v>
      </c>
      <c r="L235" s="399">
        <v>0</v>
      </c>
      <c r="M235" s="399">
        <v>0</v>
      </c>
      <c r="N235" s="399">
        <v>35.345999999999997</v>
      </c>
      <c r="O235" s="399">
        <v>35.345999999999997</v>
      </c>
      <c r="P235" s="399">
        <v>35.345999999999997</v>
      </c>
      <c r="Q235" s="399">
        <v>35.345999999999997</v>
      </c>
      <c r="R235" s="399"/>
      <c r="S235" s="399">
        <v>230.94</v>
      </c>
      <c r="T235" s="399">
        <v>128.11000000000001</v>
      </c>
      <c r="U235" s="399"/>
      <c r="V235" s="399">
        <v>12690.981299999999</v>
      </c>
      <c r="W235" s="399">
        <v>12690.981299999999</v>
      </c>
      <c r="X235" s="399">
        <v>10847.687399999999</v>
      </c>
      <c r="Y235" s="399">
        <v>0</v>
      </c>
      <c r="Z235" s="399">
        <v>0</v>
      </c>
      <c r="AA235" s="399">
        <v>0</v>
      </c>
      <c r="AB235" s="399">
        <v>0</v>
      </c>
      <c r="AC235" s="399">
        <v>0</v>
      </c>
      <c r="AD235" s="399">
        <v>0</v>
      </c>
      <c r="AE235" s="399">
        <v>6874.6626238506897</v>
      </c>
      <c r="AF235" s="399">
        <v>4528.2130469445174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0</v>
      </c>
      <c r="AM235" s="399"/>
      <c r="AN235" s="399">
        <v>30.411270934819818</v>
      </c>
      <c r="AO235" s="399">
        <v>122.8634088728549</v>
      </c>
      <c r="AP235" s="399">
        <v>655.40799727332728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479.58763560342493</v>
      </c>
      <c r="BH235" s="399">
        <v>0</v>
      </c>
      <c r="BI235" s="399">
        <v>0</v>
      </c>
      <c r="BJ235" s="399">
        <v>0</v>
      </c>
      <c r="BK235" s="399">
        <v>3614.52</v>
      </c>
      <c r="BL235" s="399">
        <v>258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5007.8006825479424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10848.915000000001</v>
      </c>
      <c r="CJ235" s="399">
        <v>-1842.0962999999992</v>
      </c>
      <c r="CK235" s="399"/>
      <c r="CL235" s="399"/>
      <c r="CM235" s="399"/>
      <c r="CN235" s="399"/>
      <c r="CO235" s="399">
        <v>-2050.4214599999996</v>
      </c>
      <c r="CP235" s="399">
        <v>207.12755999999945</v>
      </c>
      <c r="CQ235" s="399">
        <v>29</v>
      </c>
      <c r="CR235" s="399">
        <v>282.28987922144552</v>
      </c>
      <c r="CS235" s="399">
        <v>8.9685140671490444</v>
      </c>
      <c r="CT235" s="399">
        <v>47.842037732739527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0</v>
      </c>
      <c r="DA235" s="399">
        <v>0</v>
      </c>
      <c r="DB235" s="399">
        <v>0</v>
      </c>
      <c r="DC235" s="399">
        <v>207.10756326718638</v>
      </c>
      <c r="DD235" s="399">
        <v>0</v>
      </c>
      <c r="DE235" s="399">
        <v>0</v>
      </c>
      <c r="DF235" s="399">
        <v>0</v>
      </c>
      <c r="DG235" s="399">
        <v>21.934972041542892</v>
      </c>
      <c r="DH235" s="399">
        <v>0</v>
      </c>
      <c r="DI235" s="399">
        <v>0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0</v>
      </c>
      <c r="DP235" s="399">
        <v>-3.5632078871727728</v>
      </c>
      <c r="DQ235" s="399">
        <v>0</v>
      </c>
      <c r="DR235" s="399">
        <v>0</v>
      </c>
      <c r="DS235" s="399"/>
      <c r="DT235" s="399"/>
      <c r="DU235" s="399"/>
      <c r="DV235" s="399">
        <v>6874.6626238506897</v>
      </c>
      <c r="DW235" s="399">
        <v>0</v>
      </c>
      <c r="DX235" s="399">
        <v>0</v>
      </c>
      <c r="DY235" s="399">
        <v>-2050.4214599999996</v>
      </c>
      <c r="DZ235" s="399">
        <v>207.1275599999999</v>
      </c>
      <c r="EA235" s="399">
        <v>0</v>
      </c>
      <c r="EB235" s="399">
        <v>0</v>
      </c>
      <c r="EC235" s="399">
        <v>-2125.6520417599859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230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234</v>
      </c>
      <c r="B236" s="399" t="s">
        <v>2330</v>
      </c>
      <c r="C236" s="399" t="s">
        <v>2328</v>
      </c>
      <c r="D236" s="399" t="s">
        <v>1823</v>
      </c>
      <c r="E236" s="399" t="s">
        <v>889</v>
      </c>
      <c r="F236" s="399" t="s">
        <v>2335</v>
      </c>
      <c r="G236" s="399" t="s">
        <v>1239</v>
      </c>
      <c r="H236" s="399" t="s">
        <v>1239</v>
      </c>
      <c r="I236" s="399" t="s">
        <v>1239</v>
      </c>
      <c r="J236" s="399" t="s">
        <v>2329</v>
      </c>
      <c r="K236" s="789">
        <v>44593</v>
      </c>
      <c r="L236" s="399">
        <v>0</v>
      </c>
      <c r="M236" s="399">
        <v>0</v>
      </c>
      <c r="N236" s="399">
        <v>-0.26100000000000001</v>
      </c>
      <c r="O236" s="399">
        <v>-0.26100000000000001</v>
      </c>
      <c r="P236" s="399">
        <v>-0.26100000000000001</v>
      </c>
      <c r="Q236" s="399">
        <v>-0.26100000000000001</v>
      </c>
      <c r="R236" s="399"/>
      <c r="S236" s="399">
        <v>230.94</v>
      </c>
      <c r="T236" s="399">
        <v>128.11000000000001</v>
      </c>
      <c r="U236" s="399"/>
      <c r="V236" s="399">
        <v>-93.712050000000005</v>
      </c>
      <c r="W236" s="399">
        <v>-93.712050000000005</v>
      </c>
      <c r="X236" s="399">
        <v>-80.100899999999996</v>
      </c>
      <c r="Y236" s="399">
        <v>0</v>
      </c>
      <c r="Z236" s="399">
        <v>0</v>
      </c>
      <c r="AA236" s="399">
        <v>0</v>
      </c>
      <c r="AB236" s="399">
        <v>0</v>
      </c>
      <c r="AC236" s="399">
        <v>0</v>
      </c>
      <c r="AD236" s="399">
        <v>0</v>
      </c>
      <c r="AE236" s="399">
        <v>-50.763507746987784</v>
      </c>
      <c r="AF236" s="399">
        <v>-33.436983116972762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0</v>
      </c>
      <c r="AM236" s="399"/>
      <c r="AN236" s="399">
        <v>-0.22456124353499615</v>
      </c>
      <c r="AO236" s="399">
        <v>-0.90724126395674565</v>
      </c>
      <c r="AP236" s="399">
        <v>-4.8396278868425968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-3.5413447884483089</v>
      </c>
      <c r="BH236" s="399">
        <v>0</v>
      </c>
      <c r="BI236" s="399">
        <v>0</v>
      </c>
      <c r="BJ236" s="399">
        <v>0</v>
      </c>
      <c r="BK236" s="399">
        <v>-26.7</v>
      </c>
      <c r="BL236" s="399">
        <v>0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-36.978327905421068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-79.794000000000011</v>
      </c>
      <c r="CJ236" s="399">
        <v>13.888049999999993</v>
      </c>
      <c r="CK236" s="399"/>
      <c r="CL236" s="399"/>
      <c r="CM236" s="399"/>
      <c r="CN236" s="399"/>
      <c r="CO236" s="399">
        <v>15.140609999999999</v>
      </c>
      <c r="CP236" s="399">
        <v>-1.5294599999999963</v>
      </c>
      <c r="CQ236" s="399">
        <v>29</v>
      </c>
      <c r="CR236" s="399">
        <v>-2.0844694866971381</v>
      </c>
      <c r="CS236" s="399">
        <v>-6.6224811054317545E-2</v>
      </c>
      <c r="CT236" s="399">
        <v>-0.35327255837280092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0</v>
      </c>
      <c r="DA236" s="399">
        <v>0</v>
      </c>
      <c r="DB236" s="399">
        <v>0</v>
      </c>
      <c r="DC236" s="399">
        <v>-1.5293123412192529</v>
      </c>
      <c r="DD236" s="399">
        <v>0</v>
      </c>
      <c r="DE236" s="399">
        <v>0</v>
      </c>
      <c r="DF236" s="399">
        <v>0</v>
      </c>
      <c r="DG236" s="399">
        <v>-0.16197102084656523</v>
      </c>
      <c r="DH236" s="399">
        <v>0</v>
      </c>
      <c r="DI236" s="399">
        <v>0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0</v>
      </c>
      <c r="DP236" s="399">
        <v>2.6311244795792832E-2</v>
      </c>
      <c r="DQ236" s="399">
        <v>0</v>
      </c>
      <c r="DR236" s="399">
        <v>0</v>
      </c>
      <c r="DS236" s="399"/>
      <c r="DT236" s="399"/>
      <c r="DU236" s="399"/>
      <c r="DV236" s="399">
        <v>-50.763507746987784</v>
      </c>
      <c r="DW236" s="399">
        <v>0</v>
      </c>
      <c r="DX236" s="399">
        <v>0</v>
      </c>
      <c r="DY236" s="399">
        <v>15.140609999999995</v>
      </c>
      <c r="DZ236" s="399">
        <v>-1.5294599999999932</v>
      </c>
      <c r="EA236" s="399">
        <v>0</v>
      </c>
      <c r="EB236" s="399">
        <v>0</v>
      </c>
      <c r="EC236" s="399">
        <v>15.696123547200706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230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235</v>
      </c>
      <c r="B237" s="399" t="s">
        <v>956</v>
      </c>
      <c r="C237" s="399" t="s">
        <v>2328</v>
      </c>
      <c r="D237" s="399" t="s">
        <v>1826</v>
      </c>
      <c r="E237" s="399" t="s">
        <v>890</v>
      </c>
      <c r="F237" s="399" t="s">
        <v>1239</v>
      </c>
      <c r="G237" s="399" t="s">
        <v>1239</v>
      </c>
      <c r="H237" s="399" t="s">
        <v>1239</v>
      </c>
      <c r="I237" s="399" t="s">
        <v>1239</v>
      </c>
      <c r="J237" s="399" t="s">
        <v>2329</v>
      </c>
      <c r="K237" s="789">
        <v>44593</v>
      </c>
      <c r="L237" s="399">
        <v>0</v>
      </c>
      <c r="M237" s="399">
        <v>0</v>
      </c>
      <c r="N237" s="399">
        <v>452.41800000000001</v>
      </c>
      <c r="O237" s="399">
        <v>452.41800000000001</v>
      </c>
      <c r="P237" s="399">
        <v>452.41800000000001</v>
      </c>
      <c r="Q237" s="399">
        <v>452.41800000000001</v>
      </c>
      <c r="R237" s="399"/>
      <c r="S237" s="399">
        <v>333.61</v>
      </c>
      <c r="T237" s="399">
        <v>128.11000000000001</v>
      </c>
      <c r="U237" s="399"/>
      <c r="V237" s="399">
        <v>208890.43896000003</v>
      </c>
      <c r="W237" s="399">
        <v>208890.43896000003</v>
      </c>
      <c r="X237" s="399">
        <v>182338.02653999999</v>
      </c>
      <c r="Y237" s="399">
        <v>0</v>
      </c>
      <c r="Z237" s="399">
        <v>27695.243111755997</v>
      </c>
      <c r="AA237" s="399">
        <v>0</v>
      </c>
      <c r="AB237" s="399">
        <v>0</v>
      </c>
      <c r="AC237" s="399">
        <v>0</v>
      </c>
      <c r="AD237" s="399">
        <v>0</v>
      </c>
      <c r="AE237" s="399">
        <v>87993.581026347587</v>
      </c>
      <c r="AF237" s="399">
        <v>57959.743401588443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4277.0920962172077</v>
      </c>
      <c r="AM237" s="399"/>
      <c r="AN237" s="399">
        <v>389.25497577630608</v>
      </c>
      <c r="AO237" s="399">
        <v>1572.614092554724</v>
      </c>
      <c r="AP237" s="399">
        <v>8389.0221046343067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6138.5751973188007</v>
      </c>
      <c r="BH237" s="399">
        <v>0</v>
      </c>
      <c r="BI237" s="399">
        <v>0</v>
      </c>
      <c r="BJ237" s="399">
        <v>0</v>
      </c>
      <c r="BK237" s="399">
        <v>82191.83</v>
      </c>
      <c r="BL237" s="399">
        <v>225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64098.318598907244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182338.83260000002</v>
      </c>
      <c r="CJ237" s="399">
        <v>-26551.636360000033</v>
      </c>
      <c r="CK237" s="399"/>
      <c r="CL237" s="399"/>
      <c r="CM237" s="399"/>
      <c r="CN237" s="399"/>
      <c r="CO237" s="399">
        <v>-29203.581900000005</v>
      </c>
      <c r="CP237" s="399">
        <v>2651.1694799999932</v>
      </c>
      <c r="CQ237" s="399">
        <v>29</v>
      </c>
      <c r="CR237" s="399">
        <v>651.98722348221054</v>
      </c>
      <c r="CS237" s="399">
        <v>114.79423972249879</v>
      </c>
      <c r="CT237" s="399">
        <v>612.36346480423708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0</v>
      </c>
      <c r="DA237" s="399">
        <v>0</v>
      </c>
      <c r="DB237" s="399">
        <v>0</v>
      </c>
      <c r="DC237" s="399">
        <v>2650.9135279299953</v>
      </c>
      <c r="DD237" s="399">
        <v>0</v>
      </c>
      <c r="DE237" s="399">
        <v>0</v>
      </c>
      <c r="DF237" s="399">
        <v>0</v>
      </c>
      <c r="DG237" s="399">
        <v>280.76093988261073</v>
      </c>
      <c r="DH237" s="399">
        <v>0</v>
      </c>
      <c r="DI237" s="399">
        <v>-2619.7257966869838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-341.51117995550612</v>
      </c>
      <c r="DP237" s="399">
        <v>-45.607972214647532</v>
      </c>
      <c r="DQ237" s="399">
        <v>0</v>
      </c>
      <c r="DR237" s="399">
        <v>0</v>
      </c>
      <c r="DS237" s="399"/>
      <c r="DT237" s="399"/>
      <c r="DU237" s="399"/>
      <c r="DV237" s="399">
        <v>87993.581026347587</v>
      </c>
      <c r="DW237" s="399">
        <v>0</v>
      </c>
      <c r="DX237" s="399">
        <v>0</v>
      </c>
      <c r="DY237" s="399">
        <v>-29203.581900000019</v>
      </c>
      <c r="DZ237" s="399">
        <v>2651.1694799999968</v>
      </c>
      <c r="EA237" s="399">
        <v>0</v>
      </c>
      <c r="EB237" s="399">
        <v>0</v>
      </c>
      <c r="EC237" s="399">
        <v>-27207.696639760354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14476.704090383659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230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236</v>
      </c>
      <c r="B238" s="399" t="s">
        <v>2331</v>
      </c>
      <c r="C238" s="399" t="s">
        <v>2328</v>
      </c>
      <c r="D238" s="399" t="s">
        <v>1826</v>
      </c>
      <c r="E238" s="399" t="s">
        <v>890</v>
      </c>
      <c r="F238" s="399" t="s">
        <v>1239</v>
      </c>
      <c r="G238" s="399" t="s">
        <v>1239</v>
      </c>
      <c r="H238" s="399" t="s">
        <v>1239</v>
      </c>
      <c r="I238" s="399" t="s">
        <v>1239</v>
      </c>
      <c r="J238" s="399" t="s">
        <v>2329</v>
      </c>
      <c r="K238" s="789">
        <v>44593</v>
      </c>
      <c r="L238" s="399">
        <v>0</v>
      </c>
      <c r="M238" s="399">
        <v>0</v>
      </c>
      <c r="N238" s="399">
        <v>0.2</v>
      </c>
      <c r="O238" s="399">
        <v>0.2</v>
      </c>
      <c r="P238" s="399">
        <v>0.2</v>
      </c>
      <c r="Q238" s="399">
        <v>0.2</v>
      </c>
      <c r="R238" s="399"/>
      <c r="S238" s="399">
        <v>333.61</v>
      </c>
      <c r="T238" s="399">
        <v>128.11000000000001</v>
      </c>
      <c r="U238" s="399"/>
      <c r="V238" s="399">
        <v>92.344000000000008</v>
      </c>
      <c r="W238" s="399">
        <v>92.344000000000008</v>
      </c>
      <c r="X238" s="399">
        <v>80.606000000000009</v>
      </c>
      <c r="Y238" s="399">
        <v>0</v>
      </c>
      <c r="Z238" s="399">
        <v>12.24321008967636</v>
      </c>
      <c r="AA238" s="399">
        <v>0</v>
      </c>
      <c r="AB238" s="399">
        <v>0</v>
      </c>
      <c r="AC238" s="399">
        <v>0</v>
      </c>
      <c r="AD238" s="399">
        <v>0</v>
      </c>
      <c r="AE238" s="399">
        <v>38.899239652864203</v>
      </c>
      <c r="AF238" s="399">
        <v>25.6222092850366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1.8907700826303142</v>
      </c>
      <c r="AM238" s="399"/>
      <c r="AN238" s="399">
        <v>0.17207758125287062</v>
      </c>
      <c r="AO238" s="399">
        <v>0.69520403368333006</v>
      </c>
      <c r="AP238" s="399">
        <v>3.7085271163544804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2.7136741673933402</v>
      </c>
      <c r="BH238" s="399">
        <v>0</v>
      </c>
      <c r="BI238" s="399">
        <v>0</v>
      </c>
      <c r="BJ238" s="399">
        <v>0</v>
      </c>
      <c r="BK238" s="399">
        <v>940.99</v>
      </c>
      <c r="BL238" s="399">
        <v>2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28.33588345242994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80.606000000000009</v>
      </c>
      <c r="CJ238" s="399">
        <v>-11.768000000000015</v>
      </c>
      <c r="CK238" s="399"/>
      <c r="CL238" s="399"/>
      <c r="CM238" s="399"/>
      <c r="CN238" s="399"/>
      <c r="CO238" s="399">
        <v>-12.910000000000004</v>
      </c>
      <c r="CP238" s="399">
        <v>1.171999999999997</v>
      </c>
      <c r="CQ238" s="399">
        <v>29</v>
      </c>
      <c r="CR238" s="399">
        <v>0.28822337903542916</v>
      </c>
      <c r="CS238" s="399">
        <v>5.0746981650817924E-2</v>
      </c>
      <c r="CT238" s="399">
        <v>0.27070694128184014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0</v>
      </c>
      <c r="DA238" s="399">
        <v>0</v>
      </c>
      <c r="DB238" s="399">
        <v>0</v>
      </c>
      <c r="DC238" s="399">
        <v>1.1718868515090044</v>
      </c>
      <c r="DD238" s="399">
        <v>0</v>
      </c>
      <c r="DE238" s="399">
        <v>0</v>
      </c>
      <c r="DF238" s="399">
        <v>0</v>
      </c>
      <c r="DG238" s="399">
        <v>0.12411572478664024</v>
      </c>
      <c r="DH238" s="399">
        <v>0</v>
      </c>
      <c r="DI238" s="399">
        <v>-1.1580997204739791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-0.15097152631217403</v>
      </c>
      <c r="DP238" s="399">
        <v>-2.0161873406737807E-2</v>
      </c>
      <c r="DQ238" s="399">
        <v>0</v>
      </c>
      <c r="DR238" s="399">
        <v>0</v>
      </c>
      <c r="DS238" s="399"/>
      <c r="DT238" s="399"/>
      <c r="DU238" s="399"/>
      <c r="DV238" s="399">
        <v>38.899239652864203</v>
      </c>
      <c r="DW238" s="399">
        <v>0</v>
      </c>
      <c r="DX238" s="399">
        <v>0</v>
      </c>
      <c r="DY238" s="399">
        <v>-12.910000000000004</v>
      </c>
      <c r="DZ238" s="399">
        <v>1.171999999999997</v>
      </c>
      <c r="EA238" s="399">
        <v>0</v>
      </c>
      <c r="EB238" s="399">
        <v>0</v>
      </c>
      <c r="EC238" s="399">
        <v>-12.027680879081004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6.3997029695474801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230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237</v>
      </c>
      <c r="B239" s="399" t="s">
        <v>956</v>
      </c>
      <c r="C239" s="399" t="s">
        <v>2336</v>
      </c>
      <c r="D239" s="399" t="s">
        <v>535</v>
      </c>
      <c r="E239" s="399" t="s">
        <v>890</v>
      </c>
      <c r="F239" s="399" t="s">
        <v>1239</v>
      </c>
      <c r="G239" s="399" t="s">
        <v>1239</v>
      </c>
      <c r="H239" s="399" t="s">
        <v>1239</v>
      </c>
      <c r="I239" s="399" t="s">
        <v>893</v>
      </c>
      <c r="J239" s="399" t="s">
        <v>2329</v>
      </c>
      <c r="K239" s="789">
        <v>44593</v>
      </c>
      <c r="L239" s="399">
        <v>2359</v>
      </c>
      <c r="M239" s="399">
        <v>2359</v>
      </c>
      <c r="N239" s="399">
        <v>122.203</v>
      </c>
      <c r="O239" s="399">
        <v>122.203</v>
      </c>
      <c r="P239" s="399">
        <v>122.203</v>
      </c>
      <c r="Q239" s="399">
        <v>122.203</v>
      </c>
      <c r="R239" s="399">
        <v>28.46</v>
      </c>
      <c r="S239" s="399">
        <v>75.12</v>
      </c>
      <c r="T239" s="399">
        <v>128.11000000000001</v>
      </c>
      <c r="U239" s="399">
        <v>67137.14</v>
      </c>
      <c r="V239" s="399">
        <v>24835.315690000003</v>
      </c>
      <c r="W239" s="399">
        <v>91972.455690000003</v>
      </c>
      <c r="X239" s="399">
        <v>76306.095679999999</v>
      </c>
      <c r="Y239" s="399">
        <v>0</v>
      </c>
      <c r="Z239" s="399">
        <v>5012.1259586722117</v>
      </c>
      <c r="AA239" s="399">
        <v>0</v>
      </c>
      <c r="AB239" s="399">
        <v>0</v>
      </c>
      <c r="AC239" s="399">
        <v>0</v>
      </c>
      <c r="AD239" s="399">
        <v>0</v>
      </c>
      <c r="AE239" s="399">
        <v>54238.05121079801</v>
      </c>
      <c r="AF239" s="399">
        <v>15655.554206296638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1155.2888820383614</v>
      </c>
      <c r="AM239" s="399"/>
      <c r="AN239" s="399">
        <v>29.909917450830967</v>
      </c>
      <c r="AO239" s="399">
        <v>1942.0961957405113</v>
      </c>
      <c r="AP239" s="399">
        <v>10947.973158245952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362.62284210823498</v>
      </c>
      <c r="BH239" s="399">
        <v>0</v>
      </c>
      <c r="BI239" s="399">
        <v>0</v>
      </c>
      <c r="BJ239" s="399">
        <v>0</v>
      </c>
      <c r="BK239" s="399">
        <v>0</v>
      </c>
      <c r="BL239" s="399">
        <v>0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16018.177048404872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76305.482000000004</v>
      </c>
      <c r="CJ239" s="399">
        <v>-15667.003689999983</v>
      </c>
      <c r="CK239" s="399"/>
      <c r="CL239" s="399"/>
      <c r="CM239" s="399"/>
      <c r="CN239" s="399"/>
      <c r="CO239" s="399">
        <v>-16382.469590000001</v>
      </c>
      <c r="CP239" s="399">
        <v>716.10957999999823</v>
      </c>
      <c r="CQ239" s="399">
        <v>29</v>
      </c>
      <c r="CR239" s="399">
        <v>1103.6935812038791</v>
      </c>
      <c r="CS239" s="399">
        <v>141.76488517651228</v>
      </c>
      <c r="CT239" s="399">
        <v>799.15617006936554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0</v>
      </c>
      <c r="DA239" s="399">
        <v>0</v>
      </c>
      <c r="DB239" s="399">
        <v>0</v>
      </c>
      <c r="DC239" s="399">
        <v>716.04044457477357</v>
      </c>
      <c r="DD239" s="399">
        <v>0</v>
      </c>
      <c r="DE239" s="399">
        <v>0</v>
      </c>
      <c r="DF239" s="399">
        <v>0</v>
      </c>
      <c r="DG239" s="399">
        <v>16.585335635816818</v>
      </c>
      <c r="DH239" s="399">
        <v>0</v>
      </c>
      <c r="DI239" s="399">
        <v>-474.10292147263135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-92.245867149633114</v>
      </c>
      <c r="DP239" s="399">
        <v>-3.5044656303220059</v>
      </c>
      <c r="DQ239" s="399">
        <v>0</v>
      </c>
      <c r="DR239" s="399">
        <v>0</v>
      </c>
      <c r="DS239" s="399"/>
      <c r="DT239" s="399"/>
      <c r="DU239" s="399">
        <v>54238.05121079801</v>
      </c>
      <c r="DV239" s="399">
        <v>0</v>
      </c>
      <c r="DW239" s="399">
        <v>0</v>
      </c>
      <c r="DX239" s="399">
        <v>0</v>
      </c>
      <c r="DY239" s="399">
        <v>-16382.469590000001</v>
      </c>
      <c r="DZ239" s="399">
        <v>716.10957999999846</v>
      </c>
      <c r="EA239" s="399">
        <v>0</v>
      </c>
      <c r="EB239" s="399">
        <v>0</v>
      </c>
      <c r="EC239" s="399">
        <v>-16770.455599861401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2619.9107216585007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230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238</v>
      </c>
      <c r="B240" s="399" t="s">
        <v>956</v>
      </c>
      <c r="C240" s="399" t="s">
        <v>2336</v>
      </c>
      <c r="D240" s="399" t="s">
        <v>535</v>
      </c>
      <c r="E240" s="399" t="s">
        <v>890</v>
      </c>
      <c r="F240" s="399" t="s">
        <v>1239</v>
      </c>
      <c r="G240" s="399" t="s">
        <v>1239</v>
      </c>
      <c r="H240" s="399" t="s">
        <v>1239</v>
      </c>
      <c r="I240" s="399" t="s">
        <v>2326</v>
      </c>
      <c r="J240" s="399" t="s">
        <v>2329</v>
      </c>
      <c r="K240" s="789">
        <v>44593</v>
      </c>
      <c r="L240" s="399">
        <v>2361</v>
      </c>
      <c r="M240" s="399">
        <v>2361</v>
      </c>
      <c r="N240" s="399">
        <v>1251.78</v>
      </c>
      <c r="O240" s="399">
        <v>1251.78</v>
      </c>
      <c r="P240" s="399">
        <v>1251.78</v>
      </c>
      <c r="Q240" s="399">
        <v>1251.78</v>
      </c>
      <c r="R240" s="399">
        <v>9.92</v>
      </c>
      <c r="S240" s="399">
        <v>75.12</v>
      </c>
      <c r="T240" s="399">
        <v>128.11000000000001</v>
      </c>
      <c r="U240" s="399">
        <v>23421.119999999999</v>
      </c>
      <c r="V240" s="399">
        <v>254399.24940000003</v>
      </c>
      <c r="W240" s="399">
        <v>277820.36940000003</v>
      </c>
      <c r="X240" s="399">
        <v>276746.4768</v>
      </c>
      <c r="Y240" s="399">
        <v>0</v>
      </c>
      <c r="Z240" s="399">
        <v>51341.448512284485</v>
      </c>
      <c r="AA240" s="399">
        <v>0</v>
      </c>
      <c r="AB240" s="399">
        <v>0</v>
      </c>
      <c r="AC240" s="399">
        <v>0</v>
      </c>
      <c r="AD240" s="399">
        <v>0</v>
      </c>
      <c r="AE240" s="399">
        <v>11616.635800897306</v>
      </c>
      <c r="AF240" s="399">
        <v>160366.84569411556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11834.140870174873</v>
      </c>
      <c r="AM240" s="399"/>
      <c r="AN240" s="399">
        <v>306.38066550412992</v>
      </c>
      <c r="AO240" s="399">
        <v>1754.7979128831805</v>
      </c>
      <c r="AP240" s="399">
        <v>10042.620582318355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3714.5080013931438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164081.3536955087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276746.4768</v>
      </c>
      <c r="CJ240" s="399">
        <v>-1073.9225999999908</v>
      </c>
      <c r="CK240" s="399"/>
      <c r="CL240" s="399"/>
      <c r="CM240" s="399"/>
      <c r="CN240" s="399"/>
      <c r="CO240" s="399">
        <v>-8409.3234000000011</v>
      </c>
      <c r="CP240" s="399">
        <v>7335.430799999981</v>
      </c>
      <c r="CQ240" s="399">
        <v>29</v>
      </c>
      <c r="CR240" s="399">
        <v>2528.5139249326312</v>
      </c>
      <c r="CS240" s="399">
        <v>128.09289528164254</v>
      </c>
      <c r="CT240" s="399">
        <v>733.0692253278321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0</v>
      </c>
      <c r="DA240" s="399">
        <v>0</v>
      </c>
      <c r="DB240" s="399">
        <v>0</v>
      </c>
      <c r="DC240" s="399">
        <v>7334.7226149096969</v>
      </c>
      <c r="DD240" s="399">
        <v>0</v>
      </c>
      <c r="DE240" s="399">
        <v>0</v>
      </c>
      <c r="DF240" s="399">
        <v>0</v>
      </c>
      <c r="DG240" s="399">
        <v>169.89101284095113</v>
      </c>
      <c r="DH240" s="399">
        <v>0</v>
      </c>
      <c r="DI240" s="399">
        <v>-4856.448328118051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-944.91568603526684</v>
      </c>
      <c r="DP240" s="399">
        <v>-35.897809274113399</v>
      </c>
      <c r="DQ240" s="399">
        <v>0</v>
      </c>
      <c r="DR240" s="399">
        <v>0</v>
      </c>
      <c r="DS240" s="399"/>
      <c r="DT240" s="399"/>
      <c r="DU240" s="399">
        <v>11616.635800897306</v>
      </c>
      <c r="DV240" s="399">
        <v>0</v>
      </c>
      <c r="DW240" s="399">
        <v>0</v>
      </c>
      <c r="DX240" s="399">
        <v>0</v>
      </c>
      <c r="DY240" s="399">
        <v>-8409.3233999999939</v>
      </c>
      <c r="DZ240" s="399">
        <v>7335.4307999999728</v>
      </c>
      <c r="EA240" s="399">
        <v>0</v>
      </c>
      <c r="EB240" s="399">
        <v>0</v>
      </c>
      <c r="EC240" s="399">
        <v>-3591.8745340157857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26836.917613787537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230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239</v>
      </c>
      <c r="B241" s="399" t="s">
        <v>956</v>
      </c>
      <c r="C241" s="399" t="s">
        <v>2336</v>
      </c>
      <c r="D241" s="399" t="s">
        <v>535</v>
      </c>
      <c r="E241" s="399" t="s">
        <v>890</v>
      </c>
      <c r="F241" s="399" t="s">
        <v>1239</v>
      </c>
      <c r="G241" s="399" t="s">
        <v>1239</v>
      </c>
      <c r="H241" s="399" t="s">
        <v>1239</v>
      </c>
      <c r="I241" s="399" t="s">
        <v>1239</v>
      </c>
      <c r="J241" s="399" t="s">
        <v>2329</v>
      </c>
      <c r="K241" s="789">
        <v>44593</v>
      </c>
      <c r="L241" s="399">
        <v>0</v>
      </c>
      <c r="M241" s="399">
        <v>0</v>
      </c>
      <c r="N241" s="399">
        <v>0</v>
      </c>
      <c r="O241" s="399">
        <v>0</v>
      </c>
      <c r="P241" s="399">
        <v>0</v>
      </c>
      <c r="Q241" s="399">
        <v>0</v>
      </c>
      <c r="R241" s="399"/>
      <c r="S241" s="399"/>
      <c r="T241" s="399"/>
      <c r="U241" s="399"/>
      <c r="V241" s="399"/>
      <c r="W241" s="399"/>
      <c r="X241" s="399"/>
      <c r="Y241" s="399"/>
      <c r="Z241" s="399"/>
      <c r="AA241" s="399">
        <v>0</v>
      </c>
      <c r="AB241" s="399"/>
      <c r="AC241" s="399"/>
      <c r="AD241" s="399"/>
      <c r="AE241" s="399"/>
      <c r="AF241" s="399"/>
      <c r="AG241" s="399"/>
      <c r="AH241" s="399"/>
      <c r="AI241" s="399"/>
      <c r="AJ241" s="399"/>
      <c r="AK241" s="399"/>
      <c r="AL241" s="399"/>
      <c r="AM241" s="399"/>
      <c r="AN241" s="399"/>
      <c r="AO241" s="399"/>
      <c r="AP241" s="399"/>
      <c r="AQ241" s="399"/>
      <c r="AR241" s="399"/>
      <c r="AS241" s="399"/>
      <c r="AT241" s="399"/>
      <c r="AU241" s="399"/>
      <c r="AV241" s="399"/>
      <c r="AW241" s="399"/>
      <c r="AX241" s="399"/>
      <c r="AY241" s="399"/>
      <c r="AZ241" s="399">
        <v>0</v>
      </c>
      <c r="BA241" s="399"/>
      <c r="BB241" s="399"/>
      <c r="BC241" s="399"/>
      <c r="BD241" s="399"/>
      <c r="BE241" s="399"/>
      <c r="BF241" s="399"/>
      <c r="BG241" s="399"/>
      <c r="BH241" s="399"/>
      <c r="BI241" s="399">
        <v>0</v>
      </c>
      <c r="BJ241" s="399">
        <v>0</v>
      </c>
      <c r="BK241" s="399">
        <v>182719.37</v>
      </c>
      <c r="BL241" s="399">
        <v>1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/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/>
      <c r="CJ241" s="399">
        <v>-0.03</v>
      </c>
      <c r="CK241" s="399"/>
      <c r="CL241" s="399"/>
      <c r="CM241" s="399"/>
      <c r="CN241" s="399"/>
      <c r="CO241" s="399">
        <v>0</v>
      </c>
      <c r="CP241" s="399">
        <v>0</v>
      </c>
      <c r="CQ241" s="399">
        <v>29</v>
      </c>
      <c r="CR241" s="399"/>
      <c r="CS241" s="399"/>
      <c r="CT241" s="399"/>
      <c r="CU241" s="399"/>
      <c r="CV241" s="399"/>
      <c r="CW241" s="399"/>
      <c r="CX241" s="399"/>
      <c r="CY241" s="399"/>
      <c r="CZ241" s="399"/>
      <c r="DA241" s="399"/>
      <c r="DB241" s="399"/>
      <c r="DC241" s="399"/>
      <c r="DD241" s="399"/>
      <c r="DE241" s="399"/>
      <c r="DF241" s="399"/>
      <c r="DG241" s="399"/>
      <c r="DH241" s="399"/>
      <c r="DI241" s="399"/>
      <c r="DJ241" s="399"/>
      <c r="DK241" s="399">
        <v>0</v>
      </c>
      <c r="DL241" s="399"/>
      <c r="DM241" s="399"/>
      <c r="DN241" s="399"/>
      <c r="DO241" s="399"/>
      <c r="DP241" s="399"/>
      <c r="DQ241" s="399"/>
      <c r="DR241" s="399"/>
      <c r="DS241" s="399"/>
      <c r="DT241" s="399"/>
      <c r="DU241" s="399"/>
      <c r="DV241" s="399"/>
      <c r="DW241" s="399"/>
      <c r="DX241" s="399"/>
      <c r="DY241" s="399"/>
      <c r="DZ241" s="399"/>
      <c r="EA241" s="399"/>
      <c r="EB241" s="399"/>
      <c r="EC241" s="399"/>
      <c r="ED241" s="399"/>
      <c r="EE241" s="399"/>
      <c r="EF241" s="399"/>
      <c r="EG241" s="399"/>
      <c r="EH241" s="399"/>
      <c r="EI241" s="399"/>
      <c r="EJ241" s="399"/>
      <c r="EK241" s="399"/>
      <c r="EL241" s="399"/>
      <c r="EM241" s="399"/>
      <c r="EN241" s="399"/>
      <c r="EO241" s="399"/>
      <c r="EP241" s="399"/>
      <c r="EQ241" s="399"/>
      <c r="ER241" s="399"/>
      <c r="ES241" s="399"/>
      <c r="ET241" s="399"/>
      <c r="EU241" s="399"/>
      <c r="EV241" s="399">
        <v>230</v>
      </c>
      <c r="EW241" s="399"/>
      <c r="EX241" s="399"/>
      <c r="EY241" s="399"/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240</v>
      </c>
      <c r="B242" s="399" t="s">
        <v>956</v>
      </c>
      <c r="C242" s="399" t="s">
        <v>2336</v>
      </c>
      <c r="D242" s="399" t="s">
        <v>533</v>
      </c>
      <c r="E242" s="399" t="s">
        <v>890</v>
      </c>
      <c r="F242" s="399" t="s">
        <v>1239</v>
      </c>
      <c r="G242" s="399" t="s">
        <v>1239</v>
      </c>
      <c r="H242" s="399" t="s">
        <v>1239</v>
      </c>
      <c r="I242" s="399" t="s">
        <v>893</v>
      </c>
      <c r="J242" s="399" t="s">
        <v>2329</v>
      </c>
      <c r="K242" s="789">
        <v>44593</v>
      </c>
      <c r="L242" s="399">
        <v>6156</v>
      </c>
      <c r="M242" s="399">
        <v>6156</v>
      </c>
      <c r="N242" s="399">
        <v>337.88200000000001</v>
      </c>
      <c r="O242" s="399">
        <v>337.88200000000001</v>
      </c>
      <c r="P242" s="399">
        <v>337.88200000000001</v>
      </c>
      <c r="Q242" s="399">
        <v>337.88200000000001</v>
      </c>
      <c r="R242" s="399">
        <v>52.19</v>
      </c>
      <c r="S242" s="399">
        <v>96.28</v>
      </c>
      <c r="T242" s="399">
        <v>128.11000000000001</v>
      </c>
      <c r="U242" s="399">
        <v>321281.64</v>
      </c>
      <c r="V242" s="399">
        <v>75817.341980000012</v>
      </c>
      <c r="W242" s="399">
        <v>397098.98198000004</v>
      </c>
      <c r="X242" s="399">
        <v>310691.65247999999</v>
      </c>
      <c r="Y242" s="399">
        <v>0</v>
      </c>
      <c r="Z242" s="399">
        <v>17994.907355112133</v>
      </c>
      <c r="AA242" s="399">
        <v>0</v>
      </c>
      <c r="AB242" s="399">
        <v>0</v>
      </c>
      <c r="AC242" s="399">
        <v>0</v>
      </c>
      <c r="AD242" s="399">
        <v>0</v>
      </c>
      <c r="AE242" s="399">
        <v>287692.32802998344</v>
      </c>
      <c r="AF242" s="399">
        <v>43286.416588233682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3194.2858852964791</v>
      </c>
      <c r="AM242" s="399"/>
      <c r="AN242" s="399">
        <v>166.10301173292362</v>
      </c>
      <c r="AO242" s="399">
        <v>5316.504030879606</v>
      </c>
      <c r="AP242" s="399">
        <v>28282.412705525283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1770.0338195980321</v>
      </c>
      <c r="BH242" s="399">
        <v>0</v>
      </c>
      <c r="BI242" s="399">
        <v>0</v>
      </c>
      <c r="BJ242" s="399">
        <v>0</v>
      </c>
      <c r="BK242" s="399">
        <v>0</v>
      </c>
      <c r="BL242" s="399">
        <v>0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>
        <v>45056.450407831711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310691.20320000005</v>
      </c>
      <c r="CJ242" s="399">
        <v>-86407.808780000021</v>
      </c>
      <c r="CK242" s="399"/>
      <c r="CL242" s="399"/>
      <c r="CM242" s="399"/>
      <c r="CN242" s="399"/>
      <c r="CO242" s="399">
        <v>-88387.318019999992</v>
      </c>
      <c r="CP242" s="399">
        <v>1979.9885199999951</v>
      </c>
      <c r="CQ242" s="399">
        <v>29</v>
      </c>
      <c r="CR242" s="399">
        <v>2536.6595949741895</v>
      </c>
      <c r="CS242" s="399">
        <v>388.08251884285801</v>
      </c>
      <c r="CT242" s="399">
        <v>2064.4976281335585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0</v>
      </c>
      <c r="DA242" s="399">
        <v>0</v>
      </c>
      <c r="DB242" s="399">
        <v>0</v>
      </c>
      <c r="DC242" s="399">
        <v>1979.7973658078263</v>
      </c>
      <c r="DD242" s="399">
        <v>0</v>
      </c>
      <c r="DE242" s="399">
        <v>0</v>
      </c>
      <c r="DF242" s="399">
        <v>0</v>
      </c>
      <c r="DG242" s="399">
        <v>80.956303839278917</v>
      </c>
      <c r="DH242" s="399">
        <v>0</v>
      </c>
      <c r="DI242" s="399">
        <v>-1702.1595664264023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-255.05280626705007</v>
      </c>
      <c r="DP242" s="399">
        <v>-19.461848955883084</v>
      </c>
      <c r="DQ242" s="399">
        <v>0</v>
      </c>
      <c r="DR242" s="399">
        <v>0</v>
      </c>
      <c r="DS242" s="399"/>
      <c r="DT242" s="399"/>
      <c r="DU242" s="399">
        <v>287692.32802998344</v>
      </c>
      <c r="DV242" s="399">
        <v>0</v>
      </c>
      <c r="DW242" s="399">
        <v>0</v>
      </c>
      <c r="DX242" s="399">
        <v>0</v>
      </c>
      <c r="DY242" s="399">
        <v>-88387.318020000064</v>
      </c>
      <c r="DZ242" s="399">
        <v>1979.9885199999917</v>
      </c>
      <c r="EA242" s="399">
        <v>0</v>
      </c>
      <c r="EB242" s="399">
        <v>0</v>
      </c>
      <c r="EC242" s="399">
        <v>-88954.733917266625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9406.198308591378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230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241</v>
      </c>
      <c r="B243" s="399" t="s">
        <v>956</v>
      </c>
      <c r="C243" s="399" t="s">
        <v>2336</v>
      </c>
      <c r="D243" s="399" t="s">
        <v>533</v>
      </c>
      <c r="E243" s="399" t="s">
        <v>890</v>
      </c>
      <c r="F243" s="399" t="s">
        <v>1239</v>
      </c>
      <c r="G243" s="399" t="s">
        <v>1239</v>
      </c>
      <c r="H243" s="399" t="s">
        <v>1239</v>
      </c>
      <c r="I243" s="399" t="s">
        <v>2326</v>
      </c>
      <c r="J243" s="399" t="s">
        <v>2329</v>
      </c>
      <c r="K243" s="789">
        <v>44593</v>
      </c>
      <c r="L243" s="399">
        <v>6290</v>
      </c>
      <c r="M243" s="399">
        <v>6290</v>
      </c>
      <c r="N243" s="399">
        <v>2984.953</v>
      </c>
      <c r="O243" s="399">
        <v>2984.953</v>
      </c>
      <c r="P243" s="399">
        <v>2984.953</v>
      </c>
      <c r="Q243" s="399">
        <v>2984.953</v>
      </c>
      <c r="R243" s="399">
        <v>18.12</v>
      </c>
      <c r="S243" s="399">
        <v>96.28</v>
      </c>
      <c r="T243" s="399">
        <v>128.11000000000001</v>
      </c>
      <c r="U243" s="399">
        <v>113974.8</v>
      </c>
      <c r="V243" s="399">
        <v>669793.6036700001</v>
      </c>
      <c r="W243" s="399">
        <v>783768.40367000003</v>
      </c>
      <c r="X243" s="399">
        <v>761430.34192000004</v>
      </c>
      <c r="Y243" s="399">
        <v>0</v>
      </c>
      <c r="Z243" s="399">
        <v>158972.51908762238</v>
      </c>
      <c r="AA243" s="399">
        <v>0</v>
      </c>
      <c r="AB243" s="399">
        <v>0</v>
      </c>
      <c r="AC243" s="399">
        <v>0</v>
      </c>
      <c r="AD243" s="399">
        <v>0</v>
      </c>
      <c r="AE243" s="399">
        <v>82140.722020137604</v>
      </c>
      <c r="AF243" s="399">
        <v>382405.45235998923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28219.299152288022</v>
      </c>
      <c r="AM243" s="399"/>
      <c r="AN243" s="399">
        <v>1467.4048430553435</v>
      </c>
      <c r="AO243" s="399">
        <v>4999.7348912911493</v>
      </c>
      <c r="AP243" s="399">
        <v>26803.70934065543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15637.020498015889</v>
      </c>
      <c r="BH243" s="399">
        <v>0</v>
      </c>
      <c r="BI243" s="399">
        <v>0</v>
      </c>
      <c r="BJ243" s="399">
        <v>0</v>
      </c>
      <c r="BK243" s="399">
        <v>0</v>
      </c>
      <c r="BL243" s="399">
        <v>0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398042.47285800509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761429.66799999995</v>
      </c>
      <c r="CJ243" s="399">
        <v>-22338.76567000011</v>
      </c>
      <c r="CK243" s="399"/>
      <c r="CL243" s="399"/>
      <c r="CM243" s="399"/>
      <c r="CN243" s="399"/>
      <c r="CO243" s="399">
        <v>-39829.886330000008</v>
      </c>
      <c r="CP243" s="399">
        <v>17491.824579999957</v>
      </c>
      <c r="CQ243" s="399">
        <v>29</v>
      </c>
      <c r="CR243" s="399">
        <v>3064.3017538577551</v>
      </c>
      <c r="CS243" s="399">
        <v>364.95969887146839</v>
      </c>
      <c r="CT243" s="399">
        <v>1956.5584780591998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0</v>
      </c>
      <c r="DA243" s="399">
        <v>0</v>
      </c>
      <c r="DB243" s="399">
        <v>0</v>
      </c>
      <c r="DC243" s="399">
        <v>17490.135865361779</v>
      </c>
      <c r="DD243" s="399">
        <v>0</v>
      </c>
      <c r="DE243" s="399">
        <v>0</v>
      </c>
      <c r="DF243" s="399">
        <v>0</v>
      </c>
      <c r="DG243" s="399">
        <v>715.19276556302975</v>
      </c>
      <c r="DH243" s="399">
        <v>0</v>
      </c>
      <c r="DI243" s="399">
        <v>-15037.398571936908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-2253.2145519005171</v>
      </c>
      <c r="DP243" s="399">
        <v>-171.93193016026339</v>
      </c>
      <c r="DQ243" s="399">
        <v>0</v>
      </c>
      <c r="DR243" s="399">
        <v>0</v>
      </c>
      <c r="DS243" s="399"/>
      <c r="DT243" s="399"/>
      <c r="DU243" s="399">
        <v>82140.722020137604</v>
      </c>
      <c r="DV243" s="399">
        <v>0</v>
      </c>
      <c r="DW243" s="399">
        <v>0</v>
      </c>
      <c r="DX243" s="399">
        <v>0</v>
      </c>
      <c r="DY243" s="399">
        <v>-39829.886330000008</v>
      </c>
      <c r="DZ243" s="399">
        <v>17491.824579999957</v>
      </c>
      <c r="EA243" s="399">
        <v>0</v>
      </c>
      <c r="EB243" s="399">
        <v>0</v>
      </c>
      <c r="EC243" s="399">
        <v>-25397.987221654425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83097.23471455941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230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242</v>
      </c>
      <c r="B244" s="399" t="s">
        <v>956</v>
      </c>
      <c r="C244" s="399" t="s">
        <v>2336</v>
      </c>
      <c r="D244" s="399" t="s">
        <v>533</v>
      </c>
      <c r="E244" s="399" t="s">
        <v>890</v>
      </c>
      <c r="F244" s="399" t="s">
        <v>1239</v>
      </c>
      <c r="G244" s="399" t="s">
        <v>1239</v>
      </c>
      <c r="H244" s="399" t="s">
        <v>1239</v>
      </c>
      <c r="I244" s="399" t="s">
        <v>1239</v>
      </c>
      <c r="J244" s="399" t="s">
        <v>2329</v>
      </c>
      <c r="K244" s="789">
        <v>44593</v>
      </c>
      <c r="L244" s="399">
        <v>0</v>
      </c>
      <c r="M244" s="399">
        <v>0</v>
      </c>
      <c r="N244" s="399">
        <v>0</v>
      </c>
      <c r="O244" s="399">
        <v>0</v>
      </c>
      <c r="P244" s="399">
        <v>0</v>
      </c>
      <c r="Q244" s="399">
        <v>0</v>
      </c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>
        <v>0</v>
      </c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>
        <v>0</v>
      </c>
      <c r="BA244" s="399"/>
      <c r="BB244" s="399"/>
      <c r="BC244" s="399"/>
      <c r="BD244" s="399"/>
      <c r="BE244" s="399"/>
      <c r="BF244" s="399"/>
      <c r="BG244" s="399"/>
      <c r="BH244" s="399"/>
      <c r="BI244" s="399">
        <v>0</v>
      </c>
      <c r="BJ244" s="399">
        <v>0</v>
      </c>
      <c r="BK244" s="399">
        <v>0</v>
      </c>
      <c r="BL244" s="399">
        <v>1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/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/>
      <c r="CJ244" s="399">
        <v>-0.03</v>
      </c>
      <c r="CK244" s="399"/>
      <c r="CL244" s="399"/>
      <c r="CM244" s="399"/>
      <c r="CN244" s="399"/>
      <c r="CO244" s="399">
        <v>0</v>
      </c>
      <c r="CP244" s="399">
        <v>0</v>
      </c>
      <c r="CQ244" s="399">
        <v>29</v>
      </c>
      <c r="CR244" s="399"/>
      <c r="CS244" s="399"/>
      <c r="CT244" s="399"/>
      <c r="CU244" s="399"/>
      <c r="CV244" s="399"/>
      <c r="CW244" s="399"/>
      <c r="CX244" s="399"/>
      <c r="CY244" s="399"/>
      <c r="CZ244" s="399"/>
      <c r="DA244" s="399"/>
      <c r="DB244" s="399"/>
      <c r="DC244" s="399"/>
      <c r="DD244" s="399"/>
      <c r="DE244" s="399"/>
      <c r="DF244" s="399"/>
      <c r="DG244" s="399"/>
      <c r="DH244" s="399"/>
      <c r="DI244" s="399"/>
      <c r="DJ244" s="399"/>
      <c r="DK244" s="399">
        <v>0</v>
      </c>
      <c r="DL244" s="399"/>
      <c r="DM244" s="399"/>
      <c r="DN244" s="399"/>
      <c r="DO244" s="399"/>
      <c r="DP244" s="399"/>
      <c r="DQ244" s="399"/>
      <c r="DR244" s="399"/>
      <c r="DS244" s="399"/>
      <c r="DT244" s="399"/>
      <c r="DU244" s="399"/>
      <c r="DV244" s="399"/>
      <c r="DW244" s="399"/>
      <c r="DX244" s="399"/>
      <c r="DY244" s="399"/>
      <c r="DZ244" s="399"/>
      <c r="EA244" s="399"/>
      <c r="EB244" s="399"/>
      <c r="EC244" s="399"/>
      <c r="ED244" s="399"/>
      <c r="EE244" s="399"/>
      <c r="EF244" s="399"/>
      <c r="EG244" s="399"/>
      <c r="EH244" s="399"/>
      <c r="EI244" s="399"/>
      <c r="EJ244" s="399"/>
      <c r="EK244" s="399"/>
      <c r="EL244" s="399"/>
      <c r="EM244" s="399"/>
      <c r="EN244" s="399"/>
      <c r="EO244" s="399"/>
      <c r="EP244" s="399"/>
      <c r="EQ244" s="399"/>
      <c r="ER244" s="399"/>
      <c r="ES244" s="399"/>
      <c r="ET244" s="399"/>
      <c r="EU244" s="399"/>
      <c r="EV244" s="399">
        <v>230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243</v>
      </c>
      <c r="B245" s="399" t="s">
        <v>956</v>
      </c>
      <c r="C245" s="399" t="s">
        <v>2337</v>
      </c>
      <c r="D245" s="399" t="s">
        <v>533</v>
      </c>
      <c r="E245" s="399" t="s">
        <v>890</v>
      </c>
      <c r="F245" s="399" t="s">
        <v>1239</v>
      </c>
      <c r="G245" s="399" t="s">
        <v>1239</v>
      </c>
      <c r="H245" s="399" t="s">
        <v>1239</v>
      </c>
      <c r="I245" s="399" t="s">
        <v>893</v>
      </c>
      <c r="J245" s="399" t="s">
        <v>2329</v>
      </c>
      <c r="K245" s="789">
        <v>44593</v>
      </c>
      <c r="L245" s="399">
        <v>0</v>
      </c>
      <c r="M245" s="399">
        <v>0</v>
      </c>
      <c r="N245" s="399">
        <v>778.85</v>
      </c>
      <c r="O245" s="399">
        <v>778.85</v>
      </c>
      <c r="P245" s="399">
        <v>778.85</v>
      </c>
      <c r="Q245" s="399">
        <v>778.85</v>
      </c>
      <c r="R245" s="399"/>
      <c r="S245" s="399">
        <v>1351.49</v>
      </c>
      <c r="T245" s="399">
        <v>128.11000000000001</v>
      </c>
      <c r="U245" s="399"/>
      <c r="V245" s="399">
        <v>1152386.4600000002</v>
      </c>
      <c r="W245" s="399">
        <v>1152386.4600000002</v>
      </c>
      <c r="X245" s="399">
        <v>889376.60349999997</v>
      </c>
      <c r="Y245" s="399">
        <v>0</v>
      </c>
      <c r="Z245" s="399">
        <v>41479.965175798308</v>
      </c>
      <c r="AA245" s="399">
        <v>0</v>
      </c>
      <c r="AB245" s="399">
        <v>0</v>
      </c>
      <c r="AC245" s="399">
        <v>0</v>
      </c>
      <c r="AD245" s="399">
        <v>0</v>
      </c>
      <c r="AE245" s="399">
        <v>875384.2758089432</v>
      </c>
      <c r="AF245" s="399">
        <v>99779.288508253769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7363.1313942831011</v>
      </c>
      <c r="AM245" s="399"/>
      <c r="AN245" s="399">
        <v>382.88316834926854</v>
      </c>
      <c r="AO245" s="399">
        <v>16178.684299425149</v>
      </c>
      <c r="AP245" s="399">
        <v>86056.754564727977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4080.0955374773657</v>
      </c>
      <c r="BH245" s="399">
        <v>0</v>
      </c>
      <c r="BI245" s="399">
        <v>0</v>
      </c>
      <c r="BJ245" s="399">
        <v>0</v>
      </c>
      <c r="BK245" s="399">
        <v>0</v>
      </c>
      <c r="BL245" s="399">
        <v>0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>
        <v>103859.38404573113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889376.60349999997</v>
      </c>
      <c r="CJ245" s="399">
        <v>-263009.88650000026</v>
      </c>
      <c r="CK245" s="399"/>
      <c r="CL245" s="399"/>
      <c r="CM245" s="399"/>
      <c r="CN245" s="399"/>
      <c r="CO245" s="399">
        <v>-267573.91749999998</v>
      </c>
      <c r="CP245" s="399">
        <v>4564.0609999999888</v>
      </c>
      <c r="CQ245" s="399">
        <v>29</v>
      </c>
      <c r="CR245" s="399">
        <v>7656.5697729456588</v>
      </c>
      <c r="CS245" s="399">
        <v>1180.9761674243455</v>
      </c>
      <c r="CT245" s="399">
        <v>6281.7825174104946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0</v>
      </c>
      <c r="DA245" s="399">
        <v>0</v>
      </c>
      <c r="DB245" s="399">
        <v>0</v>
      </c>
      <c r="DC245" s="399">
        <v>4563.6203714889416</v>
      </c>
      <c r="DD245" s="399">
        <v>0</v>
      </c>
      <c r="DE245" s="399">
        <v>0</v>
      </c>
      <c r="DF245" s="399">
        <v>0</v>
      </c>
      <c r="DG245" s="399">
        <v>186.61194513239116</v>
      </c>
      <c r="DH245" s="399">
        <v>0</v>
      </c>
      <c r="DI245" s="399">
        <v>-3923.6389577166046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-587.92086634118368</v>
      </c>
      <c r="DP245" s="399">
        <v>-44.86140445270695</v>
      </c>
      <c r="DQ245" s="399">
        <v>0</v>
      </c>
      <c r="DR245" s="399">
        <v>0</v>
      </c>
      <c r="DS245" s="399"/>
      <c r="DT245" s="399"/>
      <c r="DU245" s="399"/>
      <c r="DV245" s="399">
        <v>875384.2758089432</v>
      </c>
      <c r="DW245" s="399">
        <v>0</v>
      </c>
      <c r="DX245" s="399">
        <v>0</v>
      </c>
      <c r="DY245" s="399">
        <v>-267573.9175000001</v>
      </c>
      <c r="DZ245" s="399">
        <v>4564.0610000000015</v>
      </c>
      <c r="EA245" s="399">
        <v>0</v>
      </c>
      <c r="EB245" s="399">
        <v>0</v>
      </c>
      <c r="EC245" s="399">
        <v>-270669.6277344866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21682.177661569411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230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244</v>
      </c>
      <c r="B246" s="399" t="s">
        <v>956</v>
      </c>
      <c r="C246" s="399" t="s">
        <v>2337</v>
      </c>
      <c r="D246" s="399" t="s">
        <v>533</v>
      </c>
      <c r="E246" s="399" t="s">
        <v>890</v>
      </c>
      <c r="F246" s="399" t="s">
        <v>1239</v>
      </c>
      <c r="G246" s="399" t="s">
        <v>1239</v>
      </c>
      <c r="H246" s="399" t="s">
        <v>1239</v>
      </c>
      <c r="I246" s="399" t="s">
        <v>2326</v>
      </c>
      <c r="J246" s="399" t="s">
        <v>2329</v>
      </c>
      <c r="K246" s="789">
        <v>44593</v>
      </c>
      <c r="L246" s="399">
        <v>0</v>
      </c>
      <c r="M246" s="399">
        <v>0</v>
      </c>
      <c r="N246" s="399">
        <v>12617.851000000001</v>
      </c>
      <c r="O246" s="399">
        <v>12617.851000000001</v>
      </c>
      <c r="P246" s="399">
        <v>12617.851000000001</v>
      </c>
      <c r="Q246" s="399">
        <v>12617.851000000001</v>
      </c>
      <c r="R246" s="399"/>
      <c r="S246" s="399">
        <v>96.28</v>
      </c>
      <c r="T246" s="399">
        <v>128.11000000000001</v>
      </c>
      <c r="U246" s="399"/>
      <c r="V246" s="399">
        <v>2831319.5858900007</v>
      </c>
      <c r="W246" s="399">
        <v>2831319.5858900007</v>
      </c>
      <c r="X246" s="399">
        <v>2834474.0486400002</v>
      </c>
      <c r="Y246" s="399">
        <v>0</v>
      </c>
      <c r="Z246" s="399">
        <v>672001.05292856379</v>
      </c>
      <c r="AA246" s="399">
        <v>0</v>
      </c>
      <c r="AB246" s="399">
        <v>0</v>
      </c>
      <c r="AC246" s="399">
        <v>0</v>
      </c>
      <c r="AD246" s="399">
        <v>0</v>
      </c>
      <c r="AE246" s="399">
        <v>0</v>
      </c>
      <c r="AF246" s="399">
        <v>1616486.0952470417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119287.27588943497</v>
      </c>
      <c r="AM246" s="399"/>
      <c r="AN246" s="399">
        <v>6202.9437871720957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66100.067481099468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1682586.1627281411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2834473.824</v>
      </c>
      <c r="CJ246" s="399">
        <v>3154.2081100000069</v>
      </c>
      <c r="CK246" s="399"/>
      <c r="CL246" s="399"/>
      <c r="CM246" s="399"/>
      <c r="CN246" s="399"/>
      <c r="CO246" s="399">
        <v>-70786.144109999994</v>
      </c>
      <c r="CP246" s="399">
        <v>73940.606859999811</v>
      </c>
      <c r="CQ246" s="399">
        <v>29</v>
      </c>
      <c r="CR246" s="399">
        <v>3139.8593207038939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0</v>
      </c>
      <c r="DA246" s="399">
        <v>0</v>
      </c>
      <c r="DB246" s="399">
        <v>0</v>
      </c>
      <c r="DC246" s="399">
        <v>73933.468405998778</v>
      </c>
      <c r="DD246" s="399">
        <v>0</v>
      </c>
      <c r="DE246" s="399">
        <v>0</v>
      </c>
      <c r="DF246" s="399">
        <v>0</v>
      </c>
      <c r="DG246" s="399">
        <v>3023.2287584267615</v>
      </c>
      <c r="DH246" s="399">
        <v>0</v>
      </c>
      <c r="DI246" s="399">
        <v>-63565.374264959246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-9524.6811212479661</v>
      </c>
      <c r="DP246" s="399">
        <v>-726.78245751427494</v>
      </c>
      <c r="DQ246" s="399">
        <v>0</v>
      </c>
      <c r="DR246" s="399">
        <v>0</v>
      </c>
      <c r="DS246" s="399"/>
      <c r="DT246" s="399"/>
      <c r="DU246" s="399"/>
      <c r="DV246" s="399">
        <v>0</v>
      </c>
      <c r="DW246" s="399">
        <v>0</v>
      </c>
      <c r="DX246" s="399">
        <v>0</v>
      </c>
      <c r="DY246" s="399">
        <v>-70786.144109999994</v>
      </c>
      <c r="DZ246" s="399">
        <v>73940.606859999709</v>
      </c>
      <c r="EA246" s="399">
        <v>0</v>
      </c>
      <c r="EB246" s="399">
        <v>0</v>
      </c>
      <c r="EC246" s="399">
        <v>0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351264.66853593278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230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245</v>
      </c>
      <c r="B247" s="399" t="s">
        <v>956</v>
      </c>
      <c r="C247" s="399" t="s">
        <v>2337</v>
      </c>
      <c r="D247" s="399" t="s">
        <v>533</v>
      </c>
      <c r="E247" s="399" t="s">
        <v>890</v>
      </c>
      <c r="F247" s="399" t="s">
        <v>1239</v>
      </c>
      <c r="G247" s="399" t="s">
        <v>1239</v>
      </c>
      <c r="H247" s="399" t="s">
        <v>1239</v>
      </c>
      <c r="I247" s="399" t="s">
        <v>1239</v>
      </c>
      <c r="J247" s="399" t="s">
        <v>2329</v>
      </c>
      <c r="K247" s="789">
        <v>44593</v>
      </c>
      <c r="L247" s="399">
        <v>50952</v>
      </c>
      <c r="M247" s="399">
        <v>50952</v>
      </c>
      <c r="N247" s="399">
        <v>0</v>
      </c>
      <c r="O247" s="399">
        <v>0</v>
      </c>
      <c r="P247" s="399">
        <v>0</v>
      </c>
      <c r="Q247" s="399">
        <v>0</v>
      </c>
      <c r="R247" s="399">
        <v>18.12</v>
      </c>
      <c r="S247" s="399"/>
      <c r="T247" s="399"/>
      <c r="U247" s="399">
        <v>923250.24000000011</v>
      </c>
      <c r="V247" s="399"/>
      <c r="W247" s="399">
        <v>923250.24000000011</v>
      </c>
      <c r="X247" s="399">
        <v>736256.39999999991</v>
      </c>
      <c r="Y247" s="399">
        <v>0</v>
      </c>
      <c r="Z247" s="399">
        <v>0</v>
      </c>
      <c r="AA247" s="399">
        <v>0</v>
      </c>
      <c r="AB247" s="399">
        <v>0</v>
      </c>
      <c r="AC247" s="399">
        <v>0</v>
      </c>
      <c r="AD247" s="399">
        <v>0</v>
      </c>
      <c r="AE247" s="399">
        <v>665379.02517806855</v>
      </c>
      <c r="AF247" s="399"/>
      <c r="AG247" s="399"/>
      <c r="AH247" s="399"/>
      <c r="AI247" s="399">
        <v>0</v>
      </c>
      <c r="AJ247" s="399">
        <v>0</v>
      </c>
      <c r="AK247" s="399">
        <v>0</v>
      </c>
      <c r="AL247" s="399">
        <v>0</v>
      </c>
      <c r="AM247" s="399"/>
      <c r="AN247" s="399">
        <v>0</v>
      </c>
      <c r="AO247" s="399">
        <v>40500.23723069422</v>
      </c>
      <c r="AP247" s="399">
        <v>217122.82962242851</v>
      </c>
      <c r="AQ247" s="399">
        <v>0</v>
      </c>
      <c r="AR247" s="399">
        <v>0</v>
      </c>
      <c r="AS247" s="399"/>
      <c r="AT247" s="399"/>
      <c r="AU247" s="399">
        <v>0</v>
      </c>
      <c r="AV247" s="399">
        <v>0</v>
      </c>
      <c r="AW247" s="399">
        <v>0</v>
      </c>
      <c r="AX247" s="399"/>
      <c r="AY247" s="399"/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/>
      <c r="BG247" s="399">
        <v>0</v>
      </c>
      <c r="BH247" s="399">
        <v>0</v>
      </c>
      <c r="BI247" s="399">
        <v>0</v>
      </c>
      <c r="BJ247" s="399">
        <v>0</v>
      </c>
      <c r="BK247" s="399">
        <v>1936923.54</v>
      </c>
      <c r="BL247" s="399">
        <v>98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0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736256.39999999991</v>
      </c>
      <c r="CJ247" s="399">
        <v>-186993.87000000023</v>
      </c>
      <c r="CK247" s="399"/>
      <c r="CL247" s="399"/>
      <c r="CM247" s="399"/>
      <c r="CN247" s="399"/>
      <c r="CO247" s="399">
        <v>-186993.84000000008</v>
      </c>
      <c r="CP247" s="399">
        <v>0</v>
      </c>
      <c r="CQ247" s="399">
        <v>29</v>
      </c>
      <c r="CR247" s="399">
        <v>18805.404475512158</v>
      </c>
      <c r="CS247" s="399">
        <v>2956.3476274879285</v>
      </c>
      <c r="CT247" s="399">
        <v>15849.056848024251</v>
      </c>
      <c r="CU247" s="399">
        <v>0</v>
      </c>
      <c r="CV247" s="399">
        <v>0</v>
      </c>
      <c r="CW247" s="399"/>
      <c r="CX247" s="399"/>
      <c r="CY247" s="399"/>
      <c r="CZ247" s="399">
        <v>0</v>
      </c>
      <c r="DA247" s="399">
        <v>0</v>
      </c>
      <c r="DB247" s="399">
        <v>0</v>
      </c>
      <c r="DC247" s="399"/>
      <c r="DD247" s="399"/>
      <c r="DE247" s="399">
        <v>0</v>
      </c>
      <c r="DF247" s="399">
        <v>0</v>
      </c>
      <c r="DG247" s="399">
        <v>0</v>
      </c>
      <c r="DH247" s="399">
        <v>0</v>
      </c>
      <c r="DI247" s="399">
        <v>0</v>
      </c>
      <c r="DJ247" s="399"/>
      <c r="DK247" s="399">
        <v>0</v>
      </c>
      <c r="DL247" s="399">
        <v>0</v>
      </c>
      <c r="DM247" s="399"/>
      <c r="DN247" s="399">
        <v>0</v>
      </c>
      <c r="DO247" s="399">
        <v>0</v>
      </c>
      <c r="DP247" s="399">
        <v>0</v>
      </c>
      <c r="DQ247" s="399">
        <v>0</v>
      </c>
      <c r="DR247" s="399">
        <v>0</v>
      </c>
      <c r="DS247" s="399"/>
      <c r="DT247" s="399"/>
      <c r="DU247" s="399">
        <v>665379.02517806855</v>
      </c>
      <c r="DV247" s="399"/>
      <c r="DW247" s="399">
        <v>0</v>
      </c>
      <c r="DX247" s="399">
        <v>0</v>
      </c>
      <c r="DY247" s="399">
        <v>-186993.8400000002</v>
      </c>
      <c r="DZ247" s="399"/>
      <c r="EA247" s="399">
        <v>0</v>
      </c>
      <c r="EB247" s="399"/>
      <c r="EC247" s="399">
        <v>-205735.81000281975</v>
      </c>
      <c r="ED247" s="399"/>
      <c r="EE247" s="399">
        <v>0</v>
      </c>
      <c r="EF247" s="399">
        <v>0</v>
      </c>
      <c r="EG247" s="399"/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/>
      <c r="EN247" s="399"/>
      <c r="EO247" s="399">
        <v>0</v>
      </c>
      <c r="EP247" s="399">
        <v>0</v>
      </c>
      <c r="EQ247" s="399"/>
      <c r="ER247" s="399">
        <v>0</v>
      </c>
      <c r="ES247" s="399"/>
      <c r="ET247" s="399">
        <v>0</v>
      </c>
      <c r="EU247" s="399"/>
      <c r="EV247" s="399">
        <v>230</v>
      </c>
      <c r="EW247" s="399"/>
      <c r="EX247" s="399"/>
      <c r="EY247" s="399"/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246</v>
      </c>
      <c r="B248" s="399" t="s">
        <v>956</v>
      </c>
      <c r="C248" s="399" t="s">
        <v>2328</v>
      </c>
      <c r="D248" s="399" t="s">
        <v>1826</v>
      </c>
      <c r="E248" s="399" t="s">
        <v>918</v>
      </c>
      <c r="F248" s="399" t="s">
        <v>1239</v>
      </c>
      <c r="G248" s="399" t="s">
        <v>1239</v>
      </c>
      <c r="H248" s="399" t="s">
        <v>1239</v>
      </c>
      <c r="I248" s="399" t="s">
        <v>1239</v>
      </c>
      <c r="J248" s="399" t="s">
        <v>2329</v>
      </c>
      <c r="K248" s="789">
        <v>44593</v>
      </c>
      <c r="L248" s="399">
        <v>0</v>
      </c>
      <c r="M248" s="399">
        <v>0</v>
      </c>
      <c r="N248" s="399">
        <v>1387.9159999999999</v>
      </c>
      <c r="O248" s="399">
        <v>1387.9159999999999</v>
      </c>
      <c r="P248" s="399">
        <v>1387.9159999999999</v>
      </c>
      <c r="Q248" s="399">
        <v>1387.9159999999999</v>
      </c>
      <c r="R248" s="399"/>
      <c r="S248" s="399">
        <v>333.61</v>
      </c>
      <c r="T248" s="399">
        <v>128.11000000000001</v>
      </c>
      <c r="U248" s="399"/>
      <c r="V248" s="399">
        <v>640828.57551999995</v>
      </c>
      <c r="W248" s="399">
        <v>640828.57551999995</v>
      </c>
      <c r="X248" s="399">
        <v>559371.78547999996</v>
      </c>
      <c r="Y248" s="399">
        <v>0</v>
      </c>
      <c r="Z248" s="399">
        <v>84962.735874116275</v>
      </c>
      <c r="AA248" s="399">
        <v>0</v>
      </c>
      <c r="AB248" s="399">
        <v>0</v>
      </c>
      <c r="AC248" s="399">
        <v>0</v>
      </c>
      <c r="AD248" s="399">
        <v>0</v>
      </c>
      <c r="AE248" s="399">
        <v>269944.38551022334</v>
      </c>
      <c r="AF248" s="399">
        <v>177807.37111025426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13121.150250019675</v>
      </c>
      <c r="AM248" s="399"/>
      <c r="AN248" s="399">
        <v>1194.1461413107957</v>
      </c>
      <c r="AO248" s="399">
        <v>4824.4240080681629</v>
      </c>
      <c r="AP248" s="399">
        <v>25735.620606111224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18831.758978559476</v>
      </c>
      <c r="BH248" s="399">
        <v>0</v>
      </c>
      <c r="BI248" s="399">
        <v>0</v>
      </c>
      <c r="BJ248" s="399">
        <v>0</v>
      </c>
      <c r="BK248" s="399">
        <v>250486.79</v>
      </c>
      <c r="BL248" s="399">
        <v>1662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196639.13008881372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559373.39760000003</v>
      </c>
      <c r="CJ248" s="399">
        <v>-81455.207919999957</v>
      </c>
      <c r="CK248" s="399"/>
      <c r="CL248" s="399"/>
      <c r="CM248" s="399"/>
      <c r="CN248" s="399"/>
      <c r="CO248" s="399">
        <v>-89589.977800000008</v>
      </c>
      <c r="CP248" s="399">
        <v>8133.1877599999789</v>
      </c>
      <c r="CQ248" s="399">
        <v>29</v>
      </c>
      <c r="CR248" s="399">
        <v>2000.1491966866306</v>
      </c>
      <c r="CS248" s="399">
        <v>352.16273892438312</v>
      </c>
      <c r="CT248" s="399">
        <v>1878.59247558063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0</v>
      </c>
      <c r="DA248" s="399">
        <v>0</v>
      </c>
      <c r="DB248" s="399">
        <v>0</v>
      </c>
      <c r="DC248" s="399">
        <v>8132.4025569948717</v>
      </c>
      <c r="DD248" s="399">
        <v>0</v>
      </c>
      <c r="DE248" s="399">
        <v>0</v>
      </c>
      <c r="DF248" s="399">
        <v>0</v>
      </c>
      <c r="DG248" s="399">
        <v>861.31100141486968</v>
      </c>
      <c r="DH248" s="399">
        <v>0</v>
      </c>
      <c r="DI248" s="399">
        <v>-8036.7256582068221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-1047.6789845654366</v>
      </c>
      <c r="DP248" s="399">
        <v>-139.91493345592949</v>
      </c>
      <c r="DQ248" s="399">
        <v>0</v>
      </c>
      <c r="DR248" s="399">
        <v>0</v>
      </c>
      <c r="DS248" s="399"/>
      <c r="DT248" s="399"/>
      <c r="DU248" s="399"/>
      <c r="DV248" s="399">
        <v>269944.38551022334</v>
      </c>
      <c r="DW248" s="399">
        <v>0</v>
      </c>
      <c r="DX248" s="399">
        <v>0</v>
      </c>
      <c r="DY248" s="399">
        <v>-89589.977799999993</v>
      </c>
      <c r="DZ248" s="399">
        <v>8133.1877600000007</v>
      </c>
      <c r="EA248" s="399">
        <v>0</v>
      </c>
      <c r="EB248" s="399">
        <v>0</v>
      </c>
      <c r="EC248" s="399">
        <v>-83467.053674852941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44411.2507334123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230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247</v>
      </c>
      <c r="B249" s="399" t="s">
        <v>2330</v>
      </c>
      <c r="C249" s="399" t="s">
        <v>2328</v>
      </c>
      <c r="D249" s="399" t="s">
        <v>1826</v>
      </c>
      <c r="E249" s="399" t="s">
        <v>918</v>
      </c>
      <c r="F249" s="399" t="s">
        <v>1239</v>
      </c>
      <c r="G249" s="399" t="s">
        <v>1239</v>
      </c>
      <c r="H249" s="399" t="s">
        <v>1239</v>
      </c>
      <c r="I249" s="399" t="s">
        <v>1239</v>
      </c>
      <c r="J249" s="399" t="s">
        <v>2329</v>
      </c>
      <c r="K249" s="789">
        <v>44593</v>
      </c>
      <c r="L249" s="399">
        <v>0</v>
      </c>
      <c r="M249" s="399">
        <v>0</v>
      </c>
      <c r="N249" s="399">
        <v>-4.7750000000000004</v>
      </c>
      <c r="O249" s="399">
        <v>-4.7750000000000004</v>
      </c>
      <c r="P249" s="399">
        <v>-4.7750000000000004</v>
      </c>
      <c r="Q249" s="399">
        <v>-4.7750000000000004</v>
      </c>
      <c r="R249" s="399"/>
      <c r="S249" s="399">
        <v>333.61</v>
      </c>
      <c r="T249" s="399">
        <v>128.11000000000001</v>
      </c>
      <c r="U249" s="399"/>
      <c r="V249" s="399">
        <v>-2204.7130000000002</v>
      </c>
      <c r="W249" s="399">
        <v>-2204.7130000000002</v>
      </c>
      <c r="X249" s="399">
        <v>-1924.4682500000001</v>
      </c>
      <c r="Y249" s="399">
        <v>0</v>
      </c>
      <c r="Z249" s="399">
        <v>-292.30664089102311</v>
      </c>
      <c r="AA249" s="399">
        <v>0</v>
      </c>
      <c r="AB249" s="399">
        <v>0</v>
      </c>
      <c r="AC249" s="399">
        <v>0</v>
      </c>
      <c r="AD249" s="399">
        <v>0</v>
      </c>
      <c r="AE249" s="399">
        <v>-928.71934671213285</v>
      </c>
      <c r="AF249" s="399">
        <v>-611.7302466802488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-45.142135722798756</v>
      </c>
      <c r="AM249" s="399"/>
      <c r="AN249" s="399">
        <v>-4.1083522524122857</v>
      </c>
      <c r="AO249" s="399">
        <v>-16.597996304189504</v>
      </c>
      <c r="AP249" s="399">
        <v>-88.54108490296322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-64.788970746516</v>
      </c>
      <c r="BH249" s="399">
        <v>0</v>
      </c>
      <c r="BI249" s="399">
        <v>0</v>
      </c>
      <c r="BJ249" s="399">
        <v>0</v>
      </c>
      <c r="BK249" s="399">
        <v>-867.49</v>
      </c>
      <c r="BL249" s="399">
        <v>0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-676.51921742676484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-1926.4834000000001</v>
      </c>
      <c r="CJ249" s="399">
        <v>278.19959999999992</v>
      </c>
      <c r="CK249" s="399"/>
      <c r="CL249" s="399"/>
      <c r="CM249" s="399"/>
      <c r="CN249" s="399"/>
      <c r="CO249" s="399">
        <v>308.22625000000005</v>
      </c>
      <c r="CP249" s="399">
        <v>-27.981499999999933</v>
      </c>
      <c r="CQ249" s="399">
        <v>29</v>
      </c>
      <c r="CR249" s="399">
        <v>-6.8813331744704556</v>
      </c>
      <c r="CS249" s="399">
        <v>-1.2115841869132815</v>
      </c>
      <c r="CT249" s="399">
        <v>-6.4631282231039364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0</v>
      </c>
      <c r="DA249" s="399">
        <v>0</v>
      </c>
      <c r="DB249" s="399">
        <v>0</v>
      </c>
      <c r="DC249" s="399">
        <v>-27.978798579777504</v>
      </c>
      <c r="DD249" s="399">
        <v>0</v>
      </c>
      <c r="DE249" s="399">
        <v>0</v>
      </c>
      <c r="DF249" s="399">
        <v>0</v>
      </c>
      <c r="DG249" s="399">
        <v>-2.9632629292810293</v>
      </c>
      <c r="DH249" s="399">
        <v>0</v>
      </c>
      <c r="DI249" s="399">
        <v>27.649630826316297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3.6044451907031601</v>
      </c>
      <c r="DP249" s="399">
        <v>0.48136472758586502</v>
      </c>
      <c r="DQ249" s="399">
        <v>0</v>
      </c>
      <c r="DR249" s="399">
        <v>0</v>
      </c>
      <c r="DS249" s="399"/>
      <c r="DT249" s="399"/>
      <c r="DU249" s="399"/>
      <c r="DV249" s="399">
        <v>-928.71934671213285</v>
      </c>
      <c r="DW249" s="399">
        <v>0</v>
      </c>
      <c r="DX249" s="399">
        <v>0</v>
      </c>
      <c r="DY249" s="399">
        <v>308.22625000000016</v>
      </c>
      <c r="DZ249" s="399">
        <v>-27.981499999999983</v>
      </c>
      <c r="EA249" s="399">
        <v>0</v>
      </c>
      <c r="EB249" s="399">
        <v>0</v>
      </c>
      <c r="EC249" s="399">
        <v>287.16088098805892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-152.79290839794609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230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248</v>
      </c>
      <c r="B250" s="399" t="s">
        <v>2331</v>
      </c>
      <c r="C250" s="399" t="s">
        <v>2328</v>
      </c>
      <c r="D250" s="399" t="s">
        <v>1826</v>
      </c>
      <c r="E250" s="399" t="s">
        <v>918</v>
      </c>
      <c r="F250" s="399" t="s">
        <v>1239</v>
      </c>
      <c r="G250" s="399" t="s">
        <v>1239</v>
      </c>
      <c r="H250" s="399" t="s">
        <v>1239</v>
      </c>
      <c r="I250" s="399" t="s">
        <v>1239</v>
      </c>
      <c r="J250" s="399" t="s">
        <v>2329</v>
      </c>
      <c r="K250" s="789">
        <v>44593</v>
      </c>
      <c r="L250" s="399">
        <v>0</v>
      </c>
      <c r="M250" s="399">
        <v>0</v>
      </c>
      <c r="N250" s="399">
        <v>0.79</v>
      </c>
      <c r="O250" s="399">
        <v>0.79</v>
      </c>
      <c r="P250" s="399">
        <v>0.79</v>
      </c>
      <c r="Q250" s="399">
        <v>0.79</v>
      </c>
      <c r="R250" s="399"/>
      <c r="S250" s="399">
        <v>333.61</v>
      </c>
      <c r="T250" s="399">
        <v>128.11000000000001</v>
      </c>
      <c r="U250" s="399"/>
      <c r="V250" s="399">
        <v>364.75880000000006</v>
      </c>
      <c r="W250" s="399">
        <v>364.75880000000006</v>
      </c>
      <c r="X250" s="399">
        <v>318.39370000000002</v>
      </c>
      <c r="Y250" s="399">
        <v>0</v>
      </c>
      <c r="Z250" s="399">
        <v>48.360679854221623</v>
      </c>
      <c r="AA250" s="399">
        <v>0</v>
      </c>
      <c r="AB250" s="399">
        <v>0</v>
      </c>
      <c r="AC250" s="399">
        <v>0</v>
      </c>
      <c r="AD250" s="399">
        <v>0</v>
      </c>
      <c r="AE250" s="399">
        <v>153.65199662881361</v>
      </c>
      <c r="AF250" s="399">
        <v>101.20772667589456</v>
      </c>
      <c r="AG250" s="399">
        <v>0</v>
      </c>
      <c r="AH250" s="399">
        <v>0</v>
      </c>
      <c r="AI250" s="399">
        <v>0</v>
      </c>
      <c r="AJ250" s="399">
        <v>0</v>
      </c>
      <c r="AK250" s="399">
        <v>0</v>
      </c>
      <c r="AL250" s="399">
        <v>7.4685418263897416</v>
      </c>
      <c r="AM250" s="399"/>
      <c r="AN250" s="399">
        <v>0.67970644594883889</v>
      </c>
      <c r="AO250" s="399">
        <v>2.7460559330491536</v>
      </c>
      <c r="AP250" s="399">
        <v>14.648682109600198</v>
      </c>
      <c r="AQ250" s="399">
        <v>0</v>
      </c>
      <c r="AR250" s="399">
        <v>0</v>
      </c>
      <c r="AS250" s="399">
        <v>0</v>
      </c>
      <c r="AT250" s="399">
        <v>0</v>
      </c>
      <c r="AU250" s="399">
        <v>0</v>
      </c>
      <c r="AV250" s="399">
        <v>0</v>
      </c>
      <c r="AW250" s="399">
        <v>0</v>
      </c>
      <c r="AX250" s="399">
        <v>0</v>
      </c>
      <c r="AY250" s="399">
        <v>0</v>
      </c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>
        <v>0</v>
      </c>
      <c r="BG250" s="399">
        <v>10.719012961203694</v>
      </c>
      <c r="BH250" s="399">
        <v>0</v>
      </c>
      <c r="BI250" s="399">
        <v>0</v>
      </c>
      <c r="BJ250" s="399">
        <v>0</v>
      </c>
      <c r="BK250" s="399">
        <v>1220.49</v>
      </c>
      <c r="BL250" s="399">
        <v>6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111.92673963709825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318.39370000000002</v>
      </c>
      <c r="CJ250" s="399">
        <v>-46.395100000000014</v>
      </c>
      <c r="CK250" s="399"/>
      <c r="CL250" s="399"/>
      <c r="CM250" s="399"/>
      <c r="CN250" s="399"/>
      <c r="CO250" s="399">
        <v>-50.994500000000009</v>
      </c>
      <c r="CP250" s="399">
        <v>4.6293999999999889</v>
      </c>
      <c r="CQ250" s="399">
        <v>29</v>
      </c>
      <c r="CR250" s="399">
        <v>1.1384823471898358</v>
      </c>
      <c r="CS250" s="399">
        <v>0.20045057752073081</v>
      </c>
      <c r="CT250" s="399">
        <v>1.0692924180632666</v>
      </c>
      <c r="CU250" s="399">
        <v>0</v>
      </c>
      <c r="CV250" s="399">
        <v>0</v>
      </c>
      <c r="CW250" s="399">
        <v>0</v>
      </c>
      <c r="CX250" s="399">
        <v>0</v>
      </c>
      <c r="CY250" s="399">
        <v>0</v>
      </c>
      <c r="CZ250" s="399">
        <v>0</v>
      </c>
      <c r="DA250" s="399">
        <v>0</v>
      </c>
      <c r="DB250" s="399">
        <v>0</v>
      </c>
      <c r="DC250" s="399">
        <v>4.6289530634605711</v>
      </c>
      <c r="DD250" s="399">
        <v>0</v>
      </c>
      <c r="DE250" s="399">
        <v>0</v>
      </c>
      <c r="DF250" s="399">
        <v>0</v>
      </c>
      <c r="DG250" s="399">
        <v>0.49025711290722818</v>
      </c>
      <c r="DH250" s="399">
        <v>0</v>
      </c>
      <c r="DI250" s="399">
        <v>-4.574493895872223</v>
      </c>
      <c r="DJ250" s="399"/>
      <c r="DK250" s="399">
        <v>0</v>
      </c>
      <c r="DL250" s="399">
        <v>0</v>
      </c>
      <c r="DM250" s="399">
        <v>0</v>
      </c>
      <c r="DN250" s="399">
        <v>0</v>
      </c>
      <c r="DO250" s="399">
        <v>-0.59633752893308856</v>
      </c>
      <c r="DP250" s="399">
        <v>-7.9639399956614287E-2</v>
      </c>
      <c r="DQ250" s="399">
        <v>0</v>
      </c>
      <c r="DR250" s="399">
        <v>0</v>
      </c>
      <c r="DS250" s="399"/>
      <c r="DT250" s="399"/>
      <c r="DU250" s="399"/>
      <c r="DV250" s="399">
        <v>153.65199662881361</v>
      </c>
      <c r="DW250" s="399">
        <v>0</v>
      </c>
      <c r="DX250" s="399">
        <v>0</v>
      </c>
      <c r="DY250" s="399">
        <v>-50.994500000000045</v>
      </c>
      <c r="DZ250" s="399">
        <v>4.6293999999999897</v>
      </c>
      <c r="EA250" s="399">
        <v>0</v>
      </c>
      <c r="EB250" s="399">
        <v>0</v>
      </c>
      <c r="EC250" s="399">
        <v>-47.509339472369973</v>
      </c>
      <c r="ED250" s="399">
        <v>0</v>
      </c>
      <c r="EE250" s="399">
        <v>0</v>
      </c>
      <c r="EF250" s="399">
        <v>0</v>
      </c>
      <c r="EG250" s="399">
        <v>0</v>
      </c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>
        <v>0</v>
      </c>
      <c r="EN250" s="399">
        <v>0</v>
      </c>
      <c r="EO250" s="399">
        <v>0</v>
      </c>
      <c r="EP250" s="399">
        <v>25.278826729712549</v>
      </c>
      <c r="EQ250" s="399">
        <v>0</v>
      </c>
      <c r="ER250" s="399">
        <v>0</v>
      </c>
      <c r="ES250" s="399">
        <v>0</v>
      </c>
      <c r="ET250" s="399">
        <v>0</v>
      </c>
      <c r="EU250" s="399">
        <v>0</v>
      </c>
      <c r="EV250" s="399">
        <v>230</v>
      </c>
      <c r="EW250" s="399">
        <v>0</v>
      </c>
      <c r="EX250" s="399">
        <v>0</v>
      </c>
      <c r="EY250" s="399">
        <v>0</v>
      </c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249</v>
      </c>
      <c r="B251" s="399" t="s">
        <v>956</v>
      </c>
      <c r="C251" s="399" t="s">
        <v>2337</v>
      </c>
      <c r="D251" s="399" t="s">
        <v>533</v>
      </c>
      <c r="E251" s="399" t="s">
        <v>918</v>
      </c>
      <c r="F251" s="399" t="s">
        <v>1239</v>
      </c>
      <c r="G251" s="399" t="s">
        <v>1239</v>
      </c>
      <c r="H251" s="399" t="s">
        <v>1239</v>
      </c>
      <c r="I251" s="399" t="s">
        <v>893</v>
      </c>
      <c r="J251" s="399" t="s">
        <v>2329</v>
      </c>
      <c r="K251" s="789">
        <v>44593</v>
      </c>
      <c r="L251" s="399">
        <v>0</v>
      </c>
      <c r="M251" s="399">
        <v>0</v>
      </c>
      <c r="N251" s="399">
        <v>40.201999999999998</v>
      </c>
      <c r="O251" s="399">
        <v>40.201999999999998</v>
      </c>
      <c r="P251" s="399">
        <v>40.201999999999998</v>
      </c>
      <c r="Q251" s="399">
        <v>40.201999999999998</v>
      </c>
      <c r="R251" s="399"/>
      <c r="S251" s="399">
        <v>1351.49</v>
      </c>
      <c r="T251" s="399">
        <v>128.11000000000001</v>
      </c>
      <c r="U251" s="399"/>
      <c r="V251" s="399">
        <v>59482.879199999996</v>
      </c>
      <c r="W251" s="399">
        <v>59482.879199999996</v>
      </c>
      <c r="X251" s="399">
        <v>45907.065820000003</v>
      </c>
      <c r="Y251" s="399">
        <v>0</v>
      </c>
      <c r="Z251" s="399">
        <v>2141.0766643094867</v>
      </c>
      <c r="AA251" s="399">
        <v>0</v>
      </c>
      <c r="AB251" s="399">
        <v>0</v>
      </c>
      <c r="AC251" s="399">
        <v>0</v>
      </c>
      <c r="AD251" s="399">
        <v>0</v>
      </c>
      <c r="AE251" s="399">
        <v>45184.822053118223</v>
      </c>
      <c r="AF251" s="399">
        <v>5150.3202883852064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380.06369430951941</v>
      </c>
      <c r="AM251" s="399"/>
      <c r="AN251" s="399">
        <v>19.763329439529169</v>
      </c>
      <c r="AO251" s="399">
        <v>835.0972153887011</v>
      </c>
      <c r="AP251" s="399">
        <v>4442.0024998538793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210.6028128621237</v>
      </c>
      <c r="BH251" s="399">
        <v>0</v>
      </c>
      <c r="BI251" s="399">
        <v>0</v>
      </c>
      <c r="BJ251" s="399">
        <v>0</v>
      </c>
      <c r="BK251" s="399">
        <v>0</v>
      </c>
      <c r="BL251" s="399">
        <v>0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5360.9231012473301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45904.781999999999</v>
      </c>
      <c r="CJ251" s="399">
        <v>-13578.127200000003</v>
      </c>
      <c r="CK251" s="399"/>
      <c r="CL251" s="399"/>
      <c r="CM251" s="399"/>
      <c r="CN251" s="399"/>
      <c r="CO251" s="399">
        <v>-13811.397099999998</v>
      </c>
      <c r="CP251" s="399">
        <v>235.5837199999994</v>
      </c>
      <c r="CQ251" s="399">
        <v>29</v>
      </c>
      <c r="CR251" s="399">
        <v>395.21014060725611</v>
      </c>
      <c r="CS251" s="399">
        <v>60.958597782362972</v>
      </c>
      <c r="CT251" s="399">
        <v>324.24757111759209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0</v>
      </c>
      <c r="DA251" s="399">
        <v>0</v>
      </c>
      <c r="DB251" s="399">
        <v>0</v>
      </c>
      <c r="DC251" s="399">
        <v>235.5609760218249</v>
      </c>
      <c r="DD251" s="399">
        <v>0</v>
      </c>
      <c r="DE251" s="399">
        <v>0</v>
      </c>
      <c r="DF251" s="399">
        <v>0</v>
      </c>
      <c r="DG251" s="399">
        <v>9.6323726240128167</v>
      </c>
      <c r="DH251" s="399">
        <v>0</v>
      </c>
      <c r="DI251" s="399">
        <v>-202.52697358685668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-30.346786504010083</v>
      </c>
      <c r="DP251" s="399">
        <v>-2.3156168476699328</v>
      </c>
      <c r="DQ251" s="399">
        <v>0</v>
      </c>
      <c r="DR251" s="399">
        <v>0</v>
      </c>
      <c r="DS251" s="399"/>
      <c r="DT251" s="399"/>
      <c r="DU251" s="399"/>
      <c r="DV251" s="399">
        <v>45184.822053118223</v>
      </c>
      <c r="DW251" s="399">
        <v>0</v>
      </c>
      <c r="DX251" s="399">
        <v>0</v>
      </c>
      <c r="DY251" s="399">
        <v>-13811.397099999995</v>
      </c>
      <c r="DZ251" s="399">
        <v>235.58371999999963</v>
      </c>
      <c r="EA251" s="399">
        <v>0</v>
      </c>
      <c r="EB251" s="399">
        <v>0</v>
      </c>
      <c r="EC251" s="399">
        <v>-13971.18877085681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1119.1717357006014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230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250</v>
      </c>
      <c r="B252" s="399" t="s">
        <v>956</v>
      </c>
      <c r="C252" s="399" t="s">
        <v>2337</v>
      </c>
      <c r="D252" s="399" t="s">
        <v>533</v>
      </c>
      <c r="E252" s="399" t="s">
        <v>918</v>
      </c>
      <c r="F252" s="399" t="s">
        <v>1239</v>
      </c>
      <c r="G252" s="399" t="s">
        <v>1239</v>
      </c>
      <c r="H252" s="399" t="s">
        <v>1239</v>
      </c>
      <c r="I252" s="399" t="s">
        <v>2326</v>
      </c>
      <c r="J252" s="399" t="s">
        <v>2329</v>
      </c>
      <c r="K252" s="789">
        <v>44593</v>
      </c>
      <c r="L252" s="399">
        <v>0</v>
      </c>
      <c r="M252" s="399">
        <v>0</v>
      </c>
      <c r="N252" s="399">
        <v>447.32499999999999</v>
      </c>
      <c r="O252" s="399">
        <v>447.32499999999999</v>
      </c>
      <c r="P252" s="399">
        <v>447.32499999999999</v>
      </c>
      <c r="Q252" s="399">
        <v>447.32499999999999</v>
      </c>
      <c r="R252" s="399"/>
      <c r="S252" s="399">
        <v>96.28</v>
      </c>
      <c r="T252" s="399">
        <v>128.11000000000001</v>
      </c>
      <c r="U252" s="399"/>
      <c r="V252" s="399">
        <v>100375.25675</v>
      </c>
      <c r="W252" s="399">
        <v>100375.25675</v>
      </c>
      <c r="X252" s="399">
        <v>100487.08799999999</v>
      </c>
      <c r="Y252" s="399">
        <v>0</v>
      </c>
      <c r="Z252" s="399">
        <v>23823.618697135491</v>
      </c>
      <c r="AA252" s="399">
        <v>0</v>
      </c>
      <c r="AB252" s="399">
        <v>0</v>
      </c>
      <c r="AC252" s="399">
        <v>0</v>
      </c>
      <c r="AD252" s="399">
        <v>0</v>
      </c>
      <c r="AE252" s="399">
        <v>0</v>
      </c>
      <c r="AF252" s="399">
        <v>57307.273842144983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4228.9436360630261</v>
      </c>
      <c r="AM252" s="399"/>
      <c r="AN252" s="399">
        <v>219.90526196550883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2343.3635954318065</v>
      </c>
      <c r="BH252" s="399">
        <v>0</v>
      </c>
      <c r="BI252" s="399">
        <v>0</v>
      </c>
      <c r="BJ252" s="399">
        <v>0</v>
      </c>
      <c r="BK252" s="399">
        <v>0</v>
      </c>
      <c r="BL252" s="399">
        <v>0</v>
      </c>
      <c r="BM252" s="399"/>
      <c r="BN252" s="399"/>
      <c r="BO252" s="399"/>
      <c r="BP252" s="399"/>
      <c r="BQ252" s="399"/>
      <c r="BR252" s="399"/>
      <c r="BS252" s="399"/>
      <c r="BT252" s="399"/>
      <c r="BU252" s="399"/>
      <c r="BV252" s="399">
        <v>59650.637437576792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100488.21119999999</v>
      </c>
      <c r="CJ252" s="399">
        <v>112.92444999997679</v>
      </c>
      <c r="CK252" s="399"/>
      <c r="CL252" s="399"/>
      <c r="CM252" s="399"/>
      <c r="CN252" s="399"/>
      <c r="CO252" s="399">
        <v>-2509.4932499999995</v>
      </c>
      <c r="CP252" s="399">
        <v>2621.3244999999933</v>
      </c>
      <c r="CQ252" s="399">
        <v>29</v>
      </c>
      <c r="CR252" s="399">
        <v>111.31353275878064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0</v>
      </c>
      <c r="DA252" s="399">
        <v>0</v>
      </c>
      <c r="DB252" s="399">
        <v>0</v>
      </c>
      <c r="DC252" s="399">
        <v>2621.0714292563207</v>
      </c>
      <c r="DD252" s="399">
        <v>0</v>
      </c>
      <c r="DE252" s="399">
        <v>0</v>
      </c>
      <c r="DF252" s="399">
        <v>0</v>
      </c>
      <c r="DG252" s="399">
        <v>107.17877429074497</v>
      </c>
      <c r="DH252" s="399">
        <v>0</v>
      </c>
      <c r="DI252" s="399">
        <v>-2253.5042649554889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-337.66669003796642</v>
      </c>
      <c r="DP252" s="399">
        <v>-25.765715794834904</v>
      </c>
      <c r="DQ252" s="399">
        <v>0</v>
      </c>
      <c r="DR252" s="399">
        <v>0</v>
      </c>
      <c r="DS252" s="399"/>
      <c r="DT252" s="399"/>
      <c r="DU252" s="399"/>
      <c r="DV252" s="399">
        <v>0</v>
      </c>
      <c r="DW252" s="399">
        <v>0</v>
      </c>
      <c r="DX252" s="399">
        <v>0</v>
      </c>
      <c r="DY252" s="399">
        <v>-2509.4932499999995</v>
      </c>
      <c r="DZ252" s="399">
        <v>2621.3244999999879</v>
      </c>
      <c r="EA252" s="399">
        <v>0</v>
      </c>
      <c r="EB252" s="399">
        <v>0</v>
      </c>
      <c r="EC252" s="399">
        <v>0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12452.950019209778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230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251</v>
      </c>
      <c r="B253" s="399" t="s">
        <v>956</v>
      </c>
      <c r="C253" s="399" t="s">
        <v>2337</v>
      </c>
      <c r="D253" s="399" t="s">
        <v>533</v>
      </c>
      <c r="E253" s="399" t="s">
        <v>918</v>
      </c>
      <c r="F253" s="399" t="s">
        <v>1239</v>
      </c>
      <c r="G253" s="399" t="s">
        <v>1239</v>
      </c>
      <c r="H253" s="399" t="s">
        <v>1239</v>
      </c>
      <c r="I253" s="399" t="s">
        <v>1239</v>
      </c>
      <c r="J253" s="399" t="s">
        <v>2329</v>
      </c>
      <c r="K253" s="789">
        <v>44593</v>
      </c>
      <c r="L253" s="399">
        <v>1755</v>
      </c>
      <c r="M253" s="399">
        <v>1755</v>
      </c>
      <c r="N253" s="399">
        <v>0</v>
      </c>
      <c r="O253" s="399">
        <v>0</v>
      </c>
      <c r="P253" s="399">
        <v>0</v>
      </c>
      <c r="Q253" s="399">
        <v>0</v>
      </c>
      <c r="R253" s="399">
        <v>18.12</v>
      </c>
      <c r="S253" s="399"/>
      <c r="T253" s="399"/>
      <c r="U253" s="399">
        <v>31800.600000000002</v>
      </c>
      <c r="V253" s="399"/>
      <c r="W253" s="399">
        <v>31800.600000000002</v>
      </c>
      <c r="X253" s="399">
        <v>25359.75</v>
      </c>
      <c r="Y253" s="399">
        <v>0</v>
      </c>
      <c r="Z253" s="399">
        <v>0</v>
      </c>
      <c r="AA253" s="399">
        <v>0</v>
      </c>
      <c r="AB253" s="399">
        <v>0</v>
      </c>
      <c r="AC253" s="399">
        <v>0</v>
      </c>
      <c r="AD253" s="399">
        <v>0</v>
      </c>
      <c r="AE253" s="399">
        <v>22918.436748067012</v>
      </c>
      <c r="AF253" s="399"/>
      <c r="AG253" s="399"/>
      <c r="AH253" s="399"/>
      <c r="AI253" s="399">
        <v>0</v>
      </c>
      <c r="AJ253" s="399">
        <v>0</v>
      </c>
      <c r="AK253" s="399">
        <v>0</v>
      </c>
      <c r="AL253" s="399">
        <v>0</v>
      </c>
      <c r="AM253" s="399"/>
      <c r="AN253" s="399">
        <v>0</v>
      </c>
      <c r="AO253" s="399">
        <v>1394.9975730073079</v>
      </c>
      <c r="AP253" s="399">
        <v>7478.6184249364514</v>
      </c>
      <c r="AQ253" s="399">
        <v>0</v>
      </c>
      <c r="AR253" s="399">
        <v>0</v>
      </c>
      <c r="AS253" s="399"/>
      <c r="AT253" s="399"/>
      <c r="AU253" s="399">
        <v>0</v>
      </c>
      <c r="AV253" s="399">
        <v>0</v>
      </c>
      <c r="AW253" s="399">
        <v>0</v>
      </c>
      <c r="AX253" s="399"/>
      <c r="AY253" s="399"/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/>
      <c r="BG253" s="399">
        <v>0</v>
      </c>
      <c r="BH253" s="399">
        <v>0</v>
      </c>
      <c r="BI253" s="399">
        <v>0</v>
      </c>
      <c r="BJ253" s="399">
        <v>0</v>
      </c>
      <c r="BK253" s="399">
        <v>73556.38</v>
      </c>
      <c r="BL253" s="399">
        <v>17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0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25359.75</v>
      </c>
      <c r="CJ253" s="399">
        <v>-6440.8799999999974</v>
      </c>
      <c r="CK253" s="399"/>
      <c r="CL253" s="399"/>
      <c r="CM253" s="399"/>
      <c r="CN253" s="399"/>
      <c r="CO253" s="399">
        <v>-6440.8500000000031</v>
      </c>
      <c r="CP253" s="399">
        <v>0</v>
      </c>
      <c r="CQ253" s="399">
        <v>29</v>
      </c>
      <c r="CR253" s="399">
        <v>647.73678863486748</v>
      </c>
      <c r="CS253" s="399">
        <v>101.82897798401086</v>
      </c>
      <c r="CT253" s="399">
        <v>545.90781065085775</v>
      </c>
      <c r="CU253" s="399">
        <v>0</v>
      </c>
      <c r="CV253" s="399">
        <v>0</v>
      </c>
      <c r="CW253" s="399"/>
      <c r="CX253" s="399"/>
      <c r="CY253" s="399"/>
      <c r="CZ253" s="399">
        <v>0</v>
      </c>
      <c r="DA253" s="399">
        <v>0</v>
      </c>
      <c r="DB253" s="399">
        <v>0</v>
      </c>
      <c r="DC253" s="399"/>
      <c r="DD253" s="399"/>
      <c r="DE253" s="399">
        <v>0</v>
      </c>
      <c r="DF253" s="399">
        <v>0</v>
      </c>
      <c r="DG253" s="399">
        <v>0</v>
      </c>
      <c r="DH253" s="399">
        <v>0</v>
      </c>
      <c r="DI253" s="399">
        <v>0</v>
      </c>
      <c r="DJ253" s="399"/>
      <c r="DK253" s="399">
        <v>0</v>
      </c>
      <c r="DL253" s="399">
        <v>0</v>
      </c>
      <c r="DM253" s="399"/>
      <c r="DN253" s="399">
        <v>0</v>
      </c>
      <c r="DO253" s="399">
        <v>0</v>
      </c>
      <c r="DP253" s="399">
        <v>0</v>
      </c>
      <c r="DQ253" s="399">
        <v>0</v>
      </c>
      <c r="DR253" s="399">
        <v>0</v>
      </c>
      <c r="DS253" s="399"/>
      <c r="DT253" s="399"/>
      <c r="DU253" s="399">
        <v>22918.436748067012</v>
      </c>
      <c r="DV253" s="399"/>
      <c r="DW253" s="399">
        <v>0</v>
      </c>
      <c r="DX253" s="399">
        <v>0</v>
      </c>
      <c r="DY253" s="399">
        <v>-6440.8500000000022</v>
      </c>
      <c r="DZ253" s="399"/>
      <c r="EA253" s="399">
        <v>0</v>
      </c>
      <c r="EB253" s="399"/>
      <c r="EC253" s="399">
        <v>-7086.4018400641526</v>
      </c>
      <c r="ED253" s="399"/>
      <c r="EE253" s="399">
        <v>0</v>
      </c>
      <c r="EF253" s="399">
        <v>0</v>
      </c>
      <c r="EG253" s="399"/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/>
      <c r="EN253" s="399"/>
      <c r="EO253" s="399">
        <v>0</v>
      </c>
      <c r="EP253" s="399">
        <v>0</v>
      </c>
      <c r="EQ253" s="399"/>
      <c r="ER253" s="399">
        <v>0</v>
      </c>
      <c r="ES253" s="399"/>
      <c r="ET253" s="399">
        <v>0</v>
      </c>
      <c r="EU253" s="399"/>
      <c r="EV253" s="399">
        <v>230</v>
      </c>
      <c r="EW253" s="399"/>
      <c r="EX253" s="399"/>
      <c r="EY253" s="399"/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252</v>
      </c>
      <c r="B254" s="399" t="s">
        <v>956</v>
      </c>
      <c r="C254" s="399" t="s">
        <v>2328</v>
      </c>
      <c r="D254" s="399" t="s">
        <v>2340</v>
      </c>
      <c r="E254" s="399" t="s">
        <v>894</v>
      </c>
      <c r="F254" s="399" t="s">
        <v>1239</v>
      </c>
      <c r="G254" s="399" t="s">
        <v>1239</v>
      </c>
      <c r="H254" s="399" t="s">
        <v>1239</v>
      </c>
      <c r="I254" s="399" t="s">
        <v>1239</v>
      </c>
      <c r="J254" s="399" t="s">
        <v>2329</v>
      </c>
      <c r="K254" s="789">
        <v>44593</v>
      </c>
      <c r="L254" s="399">
        <v>0</v>
      </c>
      <c r="M254" s="399">
        <v>0</v>
      </c>
      <c r="N254" s="399">
        <v>1418.7260000000001</v>
      </c>
      <c r="O254" s="399">
        <v>1418.7260000000001</v>
      </c>
      <c r="P254" s="399">
        <v>1418.7260000000001</v>
      </c>
      <c r="Q254" s="399">
        <v>1418.7260000000001</v>
      </c>
      <c r="R254" s="399"/>
      <c r="S254" s="399">
        <v>333.61</v>
      </c>
      <c r="T254" s="399">
        <v>128.11000000000001</v>
      </c>
      <c r="U254" s="399"/>
      <c r="V254" s="399">
        <v>655054.16872000007</v>
      </c>
      <c r="W254" s="399">
        <v>655054.16872000007</v>
      </c>
      <c r="X254" s="399">
        <v>571789.13978000009</v>
      </c>
      <c r="Y254" s="399">
        <v>0</v>
      </c>
      <c r="Z254" s="399">
        <v>86848.802388430922</v>
      </c>
      <c r="AA254" s="399">
        <v>0</v>
      </c>
      <c r="AB254" s="399">
        <v>0</v>
      </c>
      <c r="AC254" s="399">
        <v>0</v>
      </c>
      <c r="AD254" s="399">
        <v>0</v>
      </c>
      <c r="AE254" s="399">
        <v>275936.81337874709</v>
      </c>
      <c r="AF254" s="399">
        <v>181754.47245061418</v>
      </c>
      <c r="AG254" s="399">
        <v>0</v>
      </c>
      <c r="AH254" s="399">
        <v>0</v>
      </c>
      <c r="AI254" s="399">
        <v>0</v>
      </c>
      <c r="AJ254" s="399">
        <v>0</v>
      </c>
      <c r="AK254" s="399">
        <v>0</v>
      </c>
      <c r="AL254" s="399">
        <v>13412.423381248876</v>
      </c>
      <c r="AM254" s="399"/>
      <c r="AN254" s="399">
        <v>1220.6546927028005</v>
      </c>
      <c r="AO254" s="399">
        <v>4931.520189457081</v>
      </c>
      <c r="AP254" s="399">
        <v>26306.919208385636</v>
      </c>
      <c r="AQ254" s="399">
        <v>0</v>
      </c>
      <c r="AR254" s="399">
        <v>0</v>
      </c>
      <c r="AS254" s="399">
        <v>0</v>
      </c>
      <c r="AT254" s="399">
        <v>0</v>
      </c>
      <c r="AU254" s="399">
        <v>0</v>
      </c>
      <c r="AV254" s="399">
        <v>0</v>
      </c>
      <c r="AW254" s="399">
        <v>0</v>
      </c>
      <c r="AX254" s="399">
        <v>0</v>
      </c>
      <c r="AY254" s="399">
        <v>0</v>
      </c>
      <c r="AZ254" s="399">
        <v>0</v>
      </c>
      <c r="BA254" s="399"/>
      <c r="BB254" s="399">
        <v>0</v>
      </c>
      <c r="BC254" s="399">
        <v>0</v>
      </c>
      <c r="BD254" s="399">
        <v>0</v>
      </c>
      <c r="BE254" s="399">
        <v>0</v>
      </c>
      <c r="BF254" s="399">
        <v>0</v>
      </c>
      <c r="BG254" s="399">
        <v>19249.80048404642</v>
      </c>
      <c r="BH254" s="399">
        <v>0</v>
      </c>
      <c r="BI254" s="399">
        <v>0</v>
      </c>
      <c r="BJ254" s="399">
        <v>0</v>
      </c>
      <c r="BK254" s="399">
        <v>157638.88</v>
      </c>
      <c r="BL254" s="399">
        <v>2364</v>
      </c>
      <c r="BM254" s="399"/>
      <c r="BN254" s="399"/>
      <c r="BO254" s="399"/>
      <c r="BP254" s="399"/>
      <c r="BQ254" s="399"/>
      <c r="BR254" s="399">
        <v>68623.77661999999</v>
      </c>
      <c r="BS254" s="399"/>
      <c r="BT254" s="399"/>
      <c r="BU254" s="399"/>
      <c r="BV254" s="399">
        <v>201004.27293466061</v>
      </c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>
        <v>503166.7818</v>
      </c>
      <c r="CJ254" s="399">
        <v>-73289.996520000044</v>
      </c>
      <c r="CK254" s="399"/>
      <c r="CL254" s="399"/>
      <c r="CM254" s="399"/>
      <c r="CN254" s="399"/>
      <c r="CO254" s="399">
        <v>-91578.763300000021</v>
      </c>
      <c r="CP254" s="399">
        <v>8313.7343599999804</v>
      </c>
      <c r="CQ254" s="399">
        <v>29</v>
      </c>
      <c r="CR254" s="399">
        <v>2044.5500082268263</v>
      </c>
      <c r="CS254" s="399">
        <v>359.98031144769175</v>
      </c>
      <c r="CT254" s="399">
        <v>1920.2948798850957</v>
      </c>
      <c r="CU254" s="399">
        <v>0</v>
      </c>
      <c r="CV254" s="399">
        <v>0</v>
      </c>
      <c r="CW254" s="399">
        <v>0</v>
      </c>
      <c r="CX254" s="399">
        <v>0</v>
      </c>
      <c r="CY254" s="399">
        <v>0</v>
      </c>
      <c r="CZ254" s="399">
        <v>0</v>
      </c>
      <c r="DA254" s="399">
        <v>0</v>
      </c>
      <c r="DB254" s="399">
        <v>0</v>
      </c>
      <c r="DC254" s="399">
        <v>8312.9317264698038</v>
      </c>
      <c r="DD254" s="399">
        <v>0</v>
      </c>
      <c r="DE254" s="399">
        <v>0</v>
      </c>
      <c r="DF254" s="399">
        <v>0</v>
      </c>
      <c r="DG254" s="399">
        <v>880.43102881825325</v>
      </c>
      <c r="DH254" s="399">
        <v>0</v>
      </c>
      <c r="DI254" s="399">
        <v>-8215.1309201458353</v>
      </c>
      <c r="DJ254" s="399"/>
      <c r="DK254" s="399">
        <v>0</v>
      </c>
      <c r="DL254" s="399">
        <v>0</v>
      </c>
      <c r="DM254" s="399">
        <v>0</v>
      </c>
      <c r="DN254" s="399">
        <v>0</v>
      </c>
      <c r="DO254" s="399">
        <v>-1070.9361481938286</v>
      </c>
      <c r="DP254" s="399">
        <v>-143.02087005423732</v>
      </c>
      <c r="DQ254" s="399">
        <v>0</v>
      </c>
      <c r="DR254" s="399">
        <v>0</v>
      </c>
      <c r="DS254" s="399"/>
      <c r="DT254" s="399"/>
      <c r="DU254" s="399"/>
      <c r="DV254" s="399">
        <v>275936.81337874709</v>
      </c>
      <c r="DW254" s="399">
        <v>0</v>
      </c>
      <c r="DX254" s="399">
        <v>0</v>
      </c>
      <c r="DY254" s="399">
        <v>-91578.76330000005</v>
      </c>
      <c r="DZ254" s="399">
        <v>8313.7343600000022</v>
      </c>
      <c r="EA254" s="399">
        <v>0</v>
      </c>
      <c r="EB254" s="399">
        <v>0</v>
      </c>
      <c r="EC254" s="399">
        <v>-85319.917914275371</v>
      </c>
      <c r="ED254" s="399">
        <v>0</v>
      </c>
      <c r="EE254" s="399">
        <v>0</v>
      </c>
      <c r="EF254" s="399">
        <v>0</v>
      </c>
      <c r="EG254" s="399">
        <v>0</v>
      </c>
      <c r="EH254" s="399">
        <v>0</v>
      </c>
      <c r="EI254" s="399">
        <v>0</v>
      </c>
      <c r="EJ254" s="399">
        <v>0</v>
      </c>
      <c r="EK254" s="399">
        <v>0</v>
      </c>
      <c r="EL254" s="399">
        <v>0</v>
      </c>
      <c r="EM254" s="399">
        <v>0</v>
      </c>
      <c r="EN254" s="399">
        <v>0</v>
      </c>
      <c r="EO254" s="399">
        <v>0</v>
      </c>
      <c r="EP254" s="399">
        <v>45397.124975871098</v>
      </c>
      <c r="EQ254" s="399">
        <v>0</v>
      </c>
      <c r="ER254" s="399">
        <v>0</v>
      </c>
      <c r="ES254" s="399">
        <v>0</v>
      </c>
      <c r="ET254" s="399">
        <v>0</v>
      </c>
      <c r="EU254" s="399">
        <v>0</v>
      </c>
      <c r="EV254" s="399">
        <v>230</v>
      </c>
      <c r="EW254" s="399">
        <v>0</v>
      </c>
      <c r="EX254" s="399">
        <v>0</v>
      </c>
      <c r="EY254" s="399">
        <v>0</v>
      </c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253</v>
      </c>
      <c r="B255" s="399" t="s">
        <v>2331</v>
      </c>
      <c r="C255" s="399" t="s">
        <v>2328</v>
      </c>
      <c r="D255" s="399" t="s">
        <v>2340</v>
      </c>
      <c r="E255" s="399" t="s">
        <v>894</v>
      </c>
      <c r="F255" s="399" t="s">
        <v>1239</v>
      </c>
      <c r="G255" s="399" t="s">
        <v>1239</v>
      </c>
      <c r="H255" s="399" t="s">
        <v>1239</v>
      </c>
      <c r="I255" s="399" t="s">
        <v>1239</v>
      </c>
      <c r="J255" s="399" t="s">
        <v>2329</v>
      </c>
      <c r="K255" s="789">
        <v>44593</v>
      </c>
      <c r="L255" s="399">
        <v>0</v>
      </c>
      <c r="M255" s="399">
        <v>0</v>
      </c>
      <c r="N255" s="399">
        <v>24.189</v>
      </c>
      <c r="O255" s="399">
        <v>24.189</v>
      </c>
      <c r="P255" s="399">
        <v>24.189</v>
      </c>
      <c r="Q255" s="399">
        <v>24.189</v>
      </c>
      <c r="R255" s="399"/>
      <c r="S255" s="399">
        <v>333.61</v>
      </c>
      <c r="T255" s="399">
        <v>128.11000000000001</v>
      </c>
      <c r="U255" s="399"/>
      <c r="V255" s="399">
        <v>11168.54508</v>
      </c>
      <c r="W255" s="399">
        <v>11168.54508</v>
      </c>
      <c r="X255" s="399">
        <v>9748.8926699999993</v>
      </c>
      <c r="Y255" s="399">
        <v>0</v>
      </c>
      <c r="Z255" s="399">
        <v>1480.7550442959073</v>
      </c>
      <c r="AA255" s="399">
        <v>0</v>
      </c>
      <c r="AB255" s="399">
        <v>0</v>
      </c>
      <c r="AC255" s="399">
        <v>0</v>
      </c>
      <c r="AD255" s="399">
        <v>0</v>
      </c>
      <c r="AE255" s="399">
        <v>4704.6685398156606</v>
      </c>
      <c r="AF255" s="399">
        <v>3098.8781019787516</v>
      </c>
      <c r="AG255" s="399">
        <v>0</v>
      </c>
      <c r="AH255" s="399">
        <v>0</v>
      </c>
      <c r="AI255" s="399">
        <v>0</v>
      </c>
      <c r="AJ255" s="399">
        <v>0</v>
      </c>
      <c r="AK255" s="399">
        <v>0</v>
      </c>
      <c r="AL255" s="399">
        <v>228.67918764372334</v>
      </c>
      <c r="AM255" s="399"/>
      <c r="AN255" s="399">
        <v>20.811923064628434</v>
      </c>
      <c r="AO255" s="399">
        <v>84.081451853830345</v>
      </c>
      <c r="AP255" s="399">
        <v>448.52781208749263</v>
      </c>
      <c r="AQ255" s="399">
        <v>0</v>
      </c>
      <c r="AR255" s="399">
        <v>0</v>
      </c>
      <c r="AS255" s="399">
        <v>0</v>
      </c>
      <c r="AT255" s="399">
        <v>0</v>
      </c>
      <c r="AU255" s="399">
        <v>0</v>
      </c>
      <c r="AV255" s="399">
        <v>0</v>
      </c>
      <c r="AW255" s="399">
        <v>0</v>
      </c>
      <c r="AX255" s="399">
        <v>0</v>
      </c>
      <c r="AY255" s="399">
        <v>0</v>
      </c>
      <c r="AZ255" s="399">
        <v>0</v>
      </c>
      <c r="BA255" s="399"/>
      <c r="BB255" s="399">
        <v>0</v>
      </c>
      <c r="BC255" s="399">
        <v>0</v>
      </c>
      <c r="BD255" s="399">
        <v>0</v>
      </c>
      <c r="BE255" s="399">
        <v>0</v>
      </c>
      <c r="BF255" s="399">
        <v>0</v>
      </c>
      <c r="BG255" s="399">
        <v>328.20532217538749</v>
      </c>
      <c r="BH255" s="399">
        <v>0</v>
      </c>
      <c r="BI255" s="399">
        <v>0</v>
      </c>
      <c r="BJ255" s="399">
        <v>0</v>
      </c>
      <c r="BK255" s="399">
        <v>6935.62</v>
      </c>
      <c r="BL255" s="399">
        <v>23</v>
      </c>
      <c r="BM255" s="399"/>
      <c r="BN255" s="399"/>
      <c r="BO255" s="399"/>
      <c r="BP255" s="399"/>
      <c r="BQ255" s="399"/>
      <c r="BR255" s="399">
        <v>1170.0219299999999</v>
      </c>
      <c r="BS255" s="399"/>
      <c r="BT255" s="399"/>
      <c r="BU255" s="399"/>
      <c r="BV255" s="399">
        <v>3427.0834241541393</v>
      </c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>
        <v>8579.2254000000012</v>
      </c>
      <c r="CJ255" s="399">
        <v>-1249.2790800000002</v>
      </c>
      <c r="CK255" s="399"/>
      <c r="CL255" s="399"/>
      <c r="CM255" s="399"/>
      <c r="CN255" s="399"/>
      <c r="CO255" s="399">
        <v>-1561.3999500000002</v>
      </c>
      <c r="CP255" s="399">
        <v>141.74753999999965</v>
      </c>
      <c r="CQ255" s="399">
        <v>29</v>
      </c>
      <c r="CR255" s="399">
        <v>34.85917657743903</v>
      </c>
      <c r="CS255" s="399">
        <v>6.1375936957581843</v>
      </c>
      <c r="CT255" s="399">
        <v>32.740651013332126</v>
      </c>
      <c r="CU255" s="399">
        <v>0</v>
      </c>
      <c r="CV255" s="399">
        <v>0</v>
      </c>
      <c r="CW255" s="399">
        <v>0</v>
      </c>
      <c r="CX255" s="399">
        <v>0</v>
      </c>
      <c r="CY255" s="399">
        <v>0</v>
      </c>
      <c r="CZ255" s="399">
        <v>0</v>
      </c>
      <c r="DA255" s="399">
        <v>0</v>
      </c>
      <c r="DB255" s="399">
        <v>0</v>
      </c>
      <c r="DC255" s="399">
        <v>141.73385525575623</v>
      </c>
      <c r="DD255" s="399">
        <v>0</v>
      </c>
      <c r="DE255" s="399">
        <v>0</v>
      </c>
      <c r="DF255" s="399">
        <v>0</v>
      </c>
      <c r="DG255" s="399">
        <v>15.011176334320226</v>
      </c>
      <c r="DH255" s="399">
        <v>0</v>
      </c>
      <c r="DI255" s="399">
        <v>-140.06637069272551</v>
      </c>
      <c r="DJ255" s="399"/>
      <c r="DK255" s="399">
        <v>0</v>
      </c>
      <c r="DL255" s="399">
        <v>0</v>
      </c>
      <c r="DM255" s="399">
        <v>0</v>
      </c>
      <c r="DN255" s="399">
        <v>0</v>
      </c>
      <c r="DO255" s="399">
        <v>-18.259251249825894</v>
      </c>
      <c r="DP255" s="399">
        <v>-2.4384777791779015</v>
      </c>
      <c r="DQ255" s="399">
        <v>0</v>
      </c>
      <c r="DR255" s="399">
        <v>0</v>
      </c>
      <c r="DS255" s="399"/>
      <c r="DT255" s="399"/>
      <c r="DU255" s="399"/>
      <c r="DV255" s="399">
        <v>4704.6685398156606</v>
      </c>
      <c r="DW255" s="399">
        <v>0</v>
      </c>
      <c r="DX255" s="399">
        <v>0</v>
      </c>
      <c r="DY255" s="399">
        <v>-1561.39995</v>
      </c>
      <c r="DZ255" s="399">
        <v>141.74753999999939</v>
      </c>
      <c r="EA255" s="399">
        <v>0</v>
      </c>
      <c r="EB255" s="399">
        <v>0</v>
      </c>
      <c r="EC255" s="399">
        <v>-1454.6878639204515</v>
      </c>
      <c r="ED255" s="399">
        <v>0</v>
      </c>
      <c r="EE255" s="399">
        <v>0</v>
      </c>
      <c r="EF255" s="399">
        <v>0</v>
      </c>
      <c r="EG255" s="399">
        <v>0</v>
      </c>
      <c r="EH255" s="399">
        <v>0</v>
      </c>
      <c r="EI255" s="399">
        <v>0</v>
      </c>
      <c r="EJ255" s="399">
        <v>0</v>
      </c>
      <c r="EK255" s="399">
        <v>0</v>
      </c>
      <c r="EL255" s="399">
        <v>0</v>
      </c>
      <c r="EM255" s="399">
        <v>0</v>
      </c>
      <c r="EN255" s="399">
        <v>0</v>
      </c>
      <c r="EO255" s="399">
        <v>0</v>
      </c>
      <c r="EP255" s="399">
        <v>774.01207565191999</v>
      </c>
      <c r="EQ255" s="399">
        <v>0</v>
      </c>
      <c r="ER255" s="399">
        <v>0</v>
      </c>
      <c r="ES255" s="399">
        <v>0</v>
      </c>
      <c r="ET255" s="399">
        <v>0</v>
      </c>
      <c r="EU255" s="399">
        <v>0</v>
      </c>
      <c r="EV255" s="399">
        <v>230</v>
      </c>
      <c r="EW255" s="399">
        <v>0</v>
      </c>
      <c r="EX255" s="399">
        <v>0</v>
      </c>
      <c r="EY255" s="399">
        <v>0</v>
      </c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254</v>
      </c>
      <c r="B256" s="399" t="s">
        <v>2331</v>
      </c>
      <c r="C256" s="399" t="s">
        <v>2328</v>
      </c>
      <c r="D256" s="399" t="s">
        <v>2340</v>
      </c>
      <c r="E256" s="399" t="s">
        <v>894</v>
      </c>
      <c r="F256" s="399" t="s">
        <v>1239</v>
      </c>
      <c r="G256" s="399" t="s">
        <v>1239</v>
      </c>
      <c r="H256" s="399" t="s">
        <v>1239</v>
      </c>
      <c r="I256" s="399" t="s">
        <v>1239</v>
      </c>
      <c r="J256" s="399" t="s">
        <v>2329</v>
      </c>
      <c r="K256" s="789">
        <v>44593</v>
      </c>
      <c r="L256" s="399">
        <v>0</v>
      </c>
      <c r="M256" s="399">
        <v>0</v>
      </c>
      <c r="N256" s="399">
        <v>0</v>
      </c>
      <c r="O256" s="399">
        <v>0</v>
      </c>
      <c r="P256" s="399">
        <v>0</v>
      </c>
      <c r="Q256" s="399">
        <v>0</v>
      </c>
      <c r="R256" s="399"/>
      <c r="S256" s="399"/>
      <c r="T256" s="399"/>
      <c r="U256" s="399"/>
      <c r="V256" s="399"/>
      <c r="W256" s="399"/>
      <c r="X256" s="399"/>
      <c r="Y256" s="399"/>
      <c r="Z256" s="399"/>
      <c r="AA256" s="399">
        <v>0</v>
      </c>
      <c r="AB256" s="399"/>
      <c r="AC256" s="399"/>
      <c r="AD256" s="399"/>
      <c r="AE256" s="399"/>
      <c r="AF256" s="399"/>
      <c r="AG256" s="399"/>
      <c r="AH256" s="399"/>
      <c r="AI256" s="399"/>
      <c r="AJ256" s="399"/>
      <c r="AK256" s="399"/>
      <c r="AL256" s="399"/>
      <c r="AM256" s="399"/>
      <c r="AN256" s="399"/>
      <c r="AO256" s="399"/>
      <c r="AP256" s="399"/>
      <c r="AQ256" s="399"/>
      <c r="AR256" s="399"/>
      <c r="AS256" s="399"/>
      <c r="AT256" s="399"/>
      <c r="AU256" s="399"/>
      <c r="AV256" s="399"/>
      <c r="AW256" s="399"/>
      <c r="AX256" s="399"/>
      <c r="AY256" s="399"/>
      <c r="AZ256" s="399">
        <v>0</v>
      </c>
      <c r="BA256" s="399"/>
      <c r="BB256" s="399"/>
      <c r="BC256" s="399"/>
      <c r="BD256" s="399"/>
      <c r="BE256" s="399"/>
      <c r="BF256" s="399"/>
      <c r="BG256" s="399"/>
      <c r="BH256" s="399"/>
      <c r="BI256" s="399">
        <v>0</v>
      </c>
      <c r="BJ256" s="399">
        <v>0</v>
      </c>
      <c r="BK256" s="399">
        <v>-464.56</v>
      </c>
      <c r="BL256" s="399">
        <v>2</v>
      </c>
      <c r="BM256" s="399"/>
      <c r="BN256" s="399"/>
      <c r="BO256" s="399"/>
      <c r="BP256" s="399"/>
      <c r="BQ256" s="399"/>
      <c r="BR256" s="399"/>
      <c r="BS256" s="399"/>
      <c r="BT256" s="399"/>
      <c r="BU256" s="399"/>
      <c r="BV256" s="399"/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/>
      <c r="CJ256" s="399">
        <v>-0.03</v>
      </c>
      <c r="CK256" s="399"/>
      <c r="CL256" s="399"/>
      <c r="CM256" s="399"/>
      <c r="CN256" s="399"/>
      <c r="CO256" s="399">
        <v>0</v>
      </c>
      <c r="CP256" s="399">
        <v>0</v>
      </c>
      <c r="CQ256" s="399">
        <v>29</v>
      </c>
      <c r="CR256" s="399"/>
      <c r="CS256" s="399"/>
      <c r="CT256" s="399"/>
      <c r="CU256" s="399"/>
      <c r="CV256" s="399"/>
      <c r="CW256" s="399"/>
      <c r="CX256" s="399"/>
      <c r="CY256" s="399"/>
      <c r="CZ256" s="399"/>
      <c r="DA256" s="399"/>
      <c r="DB256" s="399"/>
      <c r="DC256" s="399"/>
      <c r="DD256" s="399"/>
      <c r="DE256" s="399"/>
      <c r="DF256" s="399"/>
      <c r="DG256" s="399"/>
      <c r="DH256" s="399"/>
      <c r="DI256" s="399"/>
      <c r="DJ256" s="399"/>
      <c r="DK256" s="399">
        <v>0</v>
      </c>
      <c r="DL256" s="399"/>
      <c r="DM256" s="399"/>
      <c r="DN256" s="399"/>
      <c r="DO256" s="399"/>
      <c r="DP256" s="399"/>
      <c r="DQ256" s="399"/>
      <c r="DR256" s="399"/>
      <c r="DS256" s="399"/>
      <c r="DT256" s="399"/>
      <c r="DU256" s="399"/>
      <c r="DV256" s="399"/>
      <c r="DW256" s="399"/>
      <c r="DX256" s="399"/>
      <c r="DY256" s="399"/>
      <c r="DZ256" s="399"/>
      <c r="EA256" s="399"/>
      <c r="EB256" s="399"/>
      <c r="EC256" s="399"/>
      <c r="ED256" s="399"/>
      <c r="EE256" s="399"/>
      <c r="EF256" s="399"/>
      <c r="EG256" s="399"/>
      <c r="EH256" s="399"/>
      <c r="EI256" s="399"/>
      <c r="EJ256" s="399"/>
      <c r="EK256" s="399"/>
      <c r="EL256" s="399"/>
      <c r="EM256" s="399"/>
      <c r="EN256" s="399"/>
      <c r="EO256" s="399"/>
      <c r="EP256" s="399"/>
      <c r="EQ256" s="399"/>
      <c r="ER256" s="399"/>
      <c r="ES256" s="399"/>
      <c r="ET256" s="399"/>
      <c r="EU256" s="399"/>
      <c r="EV256" s="399">
        <v>230</v>
      </c>
      <c r="EW256" s="399"/>
      <c r="EX256" s="399"/>
      <c r="EY256" s="399"/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255</v>
      </c>
      <c r="B257" s="399" t="s">
        <v>956</v>
      </c>
      <c r="C257" s="399" t="s">
        <v>2328</v>
      </c>
      <c r="D257" s="399" t="s">
        <v>1826</v>
      </c>
      <c r="E257" s="399" t="s">
        <v>2341</v>
      </c>
      <c r="F257" s="399" t="s">
        <v>1239</v>
      </c>
      <c r="G257" s="399" t="s">
        <v>1239</v>
      </c>
      <c r="H257" s="399" t="s">
        <v>1239</v>
      </c>
      <c r="I257" s="399" t="s">
        <v>1239</v>
      </c>
      <c r="J257" s="399" t="s">
        <v>2329</v>
      </c>
      <c r="K257" s="789">
        <v>44593</v>
      </c>
      <c r="L257" s="399">
        <v>0</v>
      </c>
      <c r="M257" s="399">
        <v>0</v>
      </c>
      <c r="N257" s="399">
        <v>190.214</v>
      </c>
      <c r="O257" s="399">
        <v>190.214</v>
      </c>
      <c r="P257" s="399">
        <v>190.214</v>
      </c>
      <c r="Q257" s="399">
        <v>190.214</v>
      </c>
      <c r="R257" s="399"/>
      <c r="S257" s="399">
        <v>333.61</v>
      </c>
      <c r="T257" s="399">
        <v>128.11000000000001</v>
      </c>
      <c r="U257" s="399"/>
      <c r="V257" s="399">
        <v>87825.608080000005</v>
      </c>
      <c r="W257" s="399">
        <v>87825.608080000005</v>
      </c>
      <c r="X257" s="399">
        <v>76661.948420000001</v>
      </c>
      <c r="Y257" s="399">
        <v>0</v>
      </c>
      <c r="Z257" s="399">
        <v>11644.149819988495</v>
      </c>
      <c r="AA257" s="399">
        <v>0</v>
      </c>
      <c r="AB257" s="399">
        <v>0</v>
      </c>
      <c r="AC257" s="399">
        <v>0</v>
      </c>
      <c r="AD257" s="399">
        <v>0</v>
      </c>
      <c r="AE257" s="399">
        <v>36995.899856649557</v>
      </c>
      <c r="AF257" s="399">
        <v>24368.514584719756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1798.2547024872129</v>
      </c>
      <c r="AM257" s="399"/>
      <c r="AN257" s="399">
        <v>163.65782520216766</v>
      </c>
      <c r="AO257" s="399">
        <v>661.18770031520467</v>
      </c>
      <c r="AP257" s="399">
        <v>3527.0688845512555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2580.8940903827838</v>
      </c>
      <c r="BH257" s="399">
        <v>0</v>
      </c>
      <c r="BI257" s="399">
        <v>0</v>
      </c>
      <c r="BJ257" s="399">
        <v>0</v>
      </c>
      <c r="BK257" s="399">
        <v>29192.68</v>
      </c>
      <c r="BL257" s="399">
        <v>211</v>
      </c>
      <c r="BM257" s="399"/>
      <c r="BN257" s="399"/>
      <c r="BO257" s="399"/>
      <c r="BP257" s="399"/>
      <c r="BQ257" s="399"/>
      <c r="BR257" s="399"/>
      <c r="BS257" s="399"/>
      <c r="BT257" s="399"/>
      <c r="BU257" s="399"/>
      <c r="BV257" s="399">
        <v>26949.408675102539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76660.336299999995</v>
      </c>
      <c r="CJ257" s="399">
        <v>-11165.301780000009</v>
      </c>
      <c r="CK257" s="399"/>
      <c r="CL257" s="399"/>
      <c r="CM257" s="399"/>
      <c r="CN257" s="399"/>
      <c r="CO257" s="399">
        <v>-12278.313700000002</v>
      </c>
      <c r="CP257" s="399">
        <v>1114.6540399999972</v>
      </c>
      <c r="CQ257" s="399">
        <v>29</v>
      </c>
      <c r="CR257" s="399">
        <v>274.12060909921274</v>
      </c>
      <c r="CS257" s="399">
        <v>48.26393183864343</v>
      </c>
      <c r="CT257" s="399">
        <v>257.46125064491935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0</v>
      </c>
      <c r="DA257" s="399">
        <v>0</v>
      </c>
      <c r="DB257" s="399">
        <v>0</v>
      </c>
      <c r="DC257" s="399">
        <v>1114.5464278646687</v>
      </c>
      <c r="DD257" s="399">
        <v>0</v>
      </c>
      <c r="DE257" s="399">
        <v>0</v>
      </c>
      <c r="DF257" s="399">
        <v>0</v>
      </c>
      <c r="DG257" s="399">
        <v>118.04274237282971</v>
      </c>
      <c r="DH257" s="399">
        <v>0</v>
      </c>
      <c r="DI257" s="399">
        <v>-1101.4339011511875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-143.58448952971935</v>
      </c>
      <c r="DP257" s="399">
        <v>-19.175352940946141</v>
      </c>
      <c r="DQ257" s="399">
        <v>0</v>
      </c>
      <c r="DR257" s="399">
        <v>0</v>
      </c>
      <c r="DS257" s="399"/>
      <c r="DT257" s="399"/>
      <c r="DU257" s="399"/>
      <c r="DV257" s="399">
        <v>36995.899856649557</v>
      </c>
      <c r="DW257" s="399">
        <v>0</v>
      </c>
      <c r="DX257" s="399">
        <v>0</v>
      </c>
      <c r="DY257" s="399">
        <v>-12278.313699999999</v>
      </c>
      <c r="DZ257" s="399">
        <v>1114.6540399999976</v>
      </c>
      <c r="EA257" s="399">
        <v>0</v>
      </c>
      <c r="EB257" s="399">
        <v>0</v>
      </c>
      <c r="EC257" s="399">
        <v>-11439.166453667571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6086.5655032475215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230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256</v>
      </c>
      <c r="B258" s="399" t="s">
        <v>956</v>
      </c>
      <c r="C258" s="399" t="s">
        <v>2337</v>
      </c>
      <c r="D258" s="399" t="s">
        <v>533</v>
      </c>
      <c r="E258" s="399" t="s">
        <v>2341</v>
      </c>
      <c r="F258" s="399" t="s">
        <v>1239</v>
      </c>
      <c r="G258" s="399" t="s">
        <v>1239</v>
      </c>
      <c r="H258" s="399" t="s">
        <v>1239</v>
      </c>
      <c r="I258" s="399" t="s">
        <v>893</v>
      </c>
      <c r="J258" s="399" t="s">
        <v>2329</v>
      </c>
      <c r="K258" s="789">
        <v>44593</v>
      </c>
      <c r="L258" s="399">
        <v>0</v>
      </c>
      <c r="M258" s="399">
        <v>0</v>
      </c>
      <c r="N258" s="399">
        <v>2.0870000000000002</v>
      </c>
      <c r="O258" s="399">
        <v>2.0870000000000002</v>
      </c>
      <c r="P258" s="399">
        <v>2.0870000000000002</v>
      </c>
      <c r="Q258" s="399">
        <v>2.0870000000000002</v>
      </c>
      <c r="R258" s="399"/>
      <c r="S258" s="399">
        <v>1351.49</v>
      </c>
      <c r="T258" s="399">
        <v>128.11000000000001</v>
      </c>
      <c r="U258" s="399"/>
      <c r="V258" s="399">
        <v>3087.9252000000001</v>
      </c>
      <c r="W258" s="399">
        <v>3087.9252000000001</v>
      </c>
      <c r="X258" s="399">
        <v>2383.1661700000004</v>
      </c>
      <c r="Y258" s="399">
        <v>0</v>
      </c>
      <c r="Z258" s="399">
        <v>111.14937063862243</v>
      </c>
      <c r="AA258" s="399">
        <v>0</v>
      </c>
      <c r="AB258" s="399">
        <v>0</v>
      </c>
      <c r="AC258" s="399">
        <v>0</v>
      </c>
      <c r="AD258" s="399">
        <v>0</v>
      </c>
      <c r="AE258" s="399">
        <v>2345.6724447753281</v>
      </c>
      <c r="AF258" s="399">
        <v>267.36775388935695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19.730185812247331</v>
      </c>
      <c r="AM258" s="399"/>
      <c r="AN258" s="399">
        <v>1.0259705621684838</v>
      </c>
      <c r="AO258" s="399">
        <v>43.352268258201569</v>
      </c>
      <c r="AP258" s="399">
        <v>230.59696575282442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10.932990160769419</v>
      </c>
      <c r="BH258" s="399">
        <v>0</v>
      </c>
      <c r="BI258" s="399">
        <v>0</v>
      </c>
      <c r="BJ258" s="399">
        <v>0</v>
      </c>
      <c r="BK258" s="399">
        <v>0</v>
      </c>
      <c r="BL258" s="399">
        <v>0</v>
      </c>
      <c r="BM258" s="399"/>
      <c r="BN258" s="399"/>
      <c r="BO258" s="399"/>
      <c r="BP258" s="399"/>
      <c r="BQ258" s="399"/>
      <c r="BR258" s="399"/>
      <c r="BS258" s="399"/>
      <c r="BT258" s="399"/>
      <c r="BU258" s="399"/>
      <c r="BV258" s="399">
        <v>278.30074405012635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2386.5918999999999</v>
      </c>
      <c r="CJ258" s="399">
        <v>-701.36330000000089</v>
      </c>
      <c r="CK258" s="399"/>
      <c r="CL258" s="399"/>
      <c r="CM258" s="399"/>
      <c r="CN258" s="399"/>
      <c r="CO258" s="399">
        <v>-716.98884999999996</v>
      </c>
      <c r="CP258" s="399">
        <v>12.22981999999997</v>
      </c>
      <c r="CQ258" s="399">
        <v>29</v>
      </c>
      <c r="CR258" s="399">
        <v>20.51648085785132</v>
      </c>
      <c r="CS258" s="399">
        <v>3.1645339428832315</v>
      </c>
      <c r="CT258" s="399">
        <v>16.832612330789885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0</v>
      </c>
      <c r="DA258" s="399">
        <v>0</v>
      </c>
      <c r="DB258" s="399">
        <v>0</v>
      </c>
      <c r="DC258" s="399">
        <v>12.228639295496407</v>
      </c>
      <c r="DD258" s="399">
        <v>0</v>
      </c>
      <c r="DE258" s="399">
        <v>0</v>
      </c>
      <c r="DF258" s="399">
        <v>0</v>
      </c>
      <c r="DG258" s="399">
        <v>0.50004382036502548</v>
      </c>
      <c r="DH258" s="399">
        <v>0</v>
      </c>
      <c r="DI258" s="399">
        <v>-10.513750407337184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-1.5753878770675378</v>
      </c>
      <c r="DP258" s="399">
        <v>-0.12021024727842278</v>
      </c>
      <c r="DQ258" s="399">
        <v>0</v>
      </c>
      <c r="DR258" s="399">
        <v>0</v>
      </c>
      <c r="DS258" s="399"/>
      <c r="DT258" s="399"/>
      <c r="DU258" s="399"/>
      <c r="DV258" s="399">
        <v>2345.6724447753281</v>
      </c>
      <c r="DW258" s="399">
        <v>0</v>
      </c>
      <c r="DX258" s="399">
        <v>0</v>
      </c>
      <c r="DY258" s="399">
        <v>-716.98884999999973</v>
      </c>
      <c r="DZ258" s="399">
        <v>12.229819999999961</v>
      </c>
      <c r="EA258" s="399">
        <v>0</v>
      </c>
      <c r="EB258" s="399">
        <v>0</v>
      </c>
      <c r="EC258" s="399">
        <v>-725.28408946764239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58.099383423888249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230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257</v>
      </c>
      <c r="B259" s="399" t="s">
        <v>956</v>
      </c>
      <c r="C259" s="399" t="s">
        <v>2337</v>
      </c>
      <c r="D259" s="399" t="s">
        <v>533</v>
      </c>
      <c r="E259" s="399" t="s">
        <v>2341</v>
      </c>
      <c r="F259" s="399" t="s">
        <v>1239</v>
      </c>
      <c r="G259" s="399" t="s">
        <v>1239</v>
      </c>
      <c r="H259" s="399" t="s">
        <v>1239</v>
      </c>
      <c r="I259" s="399" t="s">
        <v>2326</v>
      </c>
      <c r="J259" s="399" t="s">
        <v>2329</v>
      </c>
      <c r="K259" s="789">
        <v>44593</v>
      </c>
      <c r="L259" s="399">
        <v>0</v>
      </c>
      <c r="M259" s="399">
        <v>0</v>
      </c>
      <c r="N259" s="399">
        <v>28.829000000000001</v>
      </c>
      <c r="O259" s="399">
        <v>28.829000000000001</v>
      </c>
      <c r="P259" s="399">
        <v>28.829000000000001</v>
      </c>
      <c r="Q259" s="399">
        <v>28.829000000000001</v>
      </c>
      <c r="R259" s="399"/>
      <c r="S259" s="399">
        <v>96.28</v>
      </c>
      <c r="T259" s="399">
        <v>128.11000000000001</v>
      </c>
      <c r="U259" s="399"/>
      <c r="V259" s="399">
        <v>6468.9393100000007</v>
      </c>
      <c r="W259" s="399">
        <v>6468.9393100000007</v>
      </c>
      <c r="X259" s="399">
        <v>6476.1465600000001</v>
      </c>
      <c r="Y259" s="399">
        <v>0</v>
      </c>
      <c r="Z259" s="399">
        <v>1535.3738409874682</v>
      </c>
      <c r="AA259" s="399">
        <v>0</v>
      </c>
      <c r="AB259" s="399">
        <v>0</v>
      </c>
      <c r="AC259" s="399">
        <v>0</v>
      </c>
      <c r="AD259" s="399">
        <v>0</v>
      </c>
      <c r="AE259" s="399">
        <v>0</v>
      </c>
      <c r="AF259" s="399">
        <v>3693.3133573916007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272.54505356074662</v>
      </c>
      <c r="AM259" s="399"/>
      <c r="AN259" s="399">
        <v>14.172355216461531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151.02404089354172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/>
      <c r="BS259" s="399"/>
      <c r="BT259" s="399"/>
      <c r="BU259" s="399"/>
      <c r="BV259" s="399">
        <v>3844.3373982851426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6476.3711999999996</v>
      </c>
      <c r="CJ259" s="399">
        <v>7.401889999998275</v>
      </c>
      <c r="CK259" s="399"/>
      <c r="CL259" s="399"/>
      <c r="CM259" s="399"/>
      <c r="CN259" s="399"/>
      <c r="CO259" s="399">
        <v>-161.73068999999998</v>
      </c>
      <c r="CP259" s="399">
        <v>168.93793999999957</v>
      </c>
      <c r="CQ259" s="399">
        <v>29</v>
      </c>
      <c r="CR259" s="399">
        <v>7.1738843925622859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0</v>
      </c>
      <c r="DA259" s="399">
        <v>0</v>
      </c>
      <c r="DB259" s="399">
        <v>0</v>
      </c>
      <c r="DC259" s="399">
        <v>168.92163021076522</v>
      </c>
      <c r="DD259" s="399">
        <v>0</v>
      </c>
      <c r="DE259" s="399">
        <v>0</v>
      </c>
      <c r="DF259" s="399">
        <v>0</v>
      </c>
      <c r="DG259" s="399">
        <v>6.9074093422632075</v>
      </c>
      <c r="DH259" s="399">
        <v>0</v>
      </c>
      <c r="DI259" s="399">
        <v>-145.23282726072057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-21.761790660268332</v>
      </c>
      <c r="DP259" s="399">
        <v>-1.6605372394775504</v>
      </c>
      <c r="DQ259" s="399">
        <v>0</v>
      </c>
      <c r="DR259" s="399">
        <v>0</v>
      </c>
      <c r="DS259" s="399"/>
      <c r="DT259" s="399"/>
      <c r="DU259" s="399"/>
      <c r="DV259" s="399">
        <v>0</v>
      </c>
      <c r="DW259" s="399">
        <v>0</v>
      </c>
      <c r="DX259" s="399">
        <v>0</v>
      </c>
      <c r="DY259" s="399">
        <v>-161.73068999999987</v>
      </c>
      <c r="DZ259" s="399">
        <v>168.93793999999934</v>
      </c>
      <c r="EA259" s="399">
        <v>0</v>
      </c>
      <c r="EB259" s="399">
        <v>0</v>
      </c>
      <c r="EC259" s="399">
        <v>0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802.5621105545157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230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258</v>
      </c>
      <c r="B260" s="399" t="s">
        <v>956</v>
      </c>
      <c r="C260" s="399" t="s">
        <v>2337</v>
      </c>
      <c r="D260" s="399" t="s">
        <v>533</v>
      </c>
      <c r="E260" s="399" t="s">
        <v>2341</v>
      </c>
      <c r="F260" s="399" t="s">
        <v>1239</v>
      </c>
      <c r="G260" s="399" t="s">
        <v>1239</v>
      </c>
      <c r="H260" s="399" t="s">
        <v>1239</v>
      </c>
      <c r="I260" s="399" t="s">
        <v>1239</v>
      </c>
      <c r="J260" s="399" t="s">
        <v>2329</v>
      </c>
      <c r="K260" s="789">
        <v>44593</v>
      </c>
      <c r="L260" s="399">
        <v>320</v>
      </c>
      <c r="M260" s="399">
        <v>320</v>
      </c>
      <c r="N260" s="399">
        <v>0</v>
      </c>
      <c r="O260" s="399">
        <v>0</v>
      </c>
      <c r="P260" s="399">
        <v>0</v>
      </c>
      <c r="Q260" s="399">
        <v>0</v>
      </c>
      <c r="R260" s="399">
        <v>18.12</v>
      </c>
      <c r="S260" s="399"/>
      <c r="T260" s="399"/>
      <c r="U260" s="399">
        <v>5798.4000000000005</v>
      </c>
      <c r="V260" s="399"/>
      <c r="W260" s="399">
        <v>5798.4000000000005</v>
      </c>
      <c r="X260" s="399">
        <v>4624</v>
      </c>
      <c r="Y260" s="399">
        <v>0</v>
      </c>
      <c r="Z260" s="399">
        <v>0</v>
      </c>
      <c r="AA260" s="399">
        <v>0</v>
      </c>
      <c r="AB260" s="399">
        <v>0</v>
      </c>
      <c r="AC260" s="399">
        <v>0</v>
      </c>
      <c r="AD260" s="399">
        <v>0</v>
      </c>
      <c r="AE260" s="399">
        <v>4178.8602617558081</v>
      </c>
      <c r="AF260" s="399"/>
      <c r="AG260" s="399"/>
      <c r="AH260" s="399"/>
      <c r="AI260" s="399">
        <v>0</v>
      </c>
      <c r="AJ260" s="399">
        <v>0</v>
      </c>
      <c r="AK260" s="399">
        <v>0</v>
      </c>
      <c r="AL260" s="399">
        <v>0</v>
      </c>
      <c r="AM260" s="399"/>
      <c r="AN260" s="399">
        <v>0</v>
      </c>
      <c r="AO260" s="399">
        <v>254.35853183039231</v>
      </c>
      <c r="AP260" s="399">
        <v>1363.6227327519455</v>
      </c>
      <c r="AQ260" s="399">
        <v>0</v>
      </c>
      <c r="AR260" s="399">
        <v>0</v>
      </c>
      <c r="AS260" s="399"/>
      <c r="AT260" s="399"/>
      <c r="AU260" s="399">
        <v>0</v>
      </c>
      <c r="AV260" s="399">
        <v>0</v>
      </c>
      <c r="AW260" s="399">
        <v>0</v>
      </c>
      <c r="AX260" s="399"/>
      <c r="AY260" s="399"/>
      <c r="AZ260" s="399">
        <v>0</v>
      </c>
      <c r="BA260" s="399"/>
      <c r="BB260" s="399">
        <v>0</v>
      </c>
      <c r="BC260" s="399">
        <v>0</v>
      </c>
      <c r="BD260" s="399">
        <v>0</v>
      </c>
      <c r="BE260" s="399">
        <v>0</v>
      </c>
      <c r="BF260" s="399"/>
      <c r="BG260" s="399">
        <v>0</v>
      </c>
      <c r="BH260" s="399">
        <v>0</v>
      </c>
      <c r="BI260" s="399">
        <v>0</v>
      </c>
      <c r="BJ260" s="399">
        <v>0</v>
      </c>
      <c r="BK260" s="399">
        <v>5374.94</v>
      </c>
      <c r="BL260" s="399">
        <v>3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>
        <v>0</v>
      </c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>
        <v>4624</v>
      </c>
      <c r="CJ260" s="399">
        <v>-1174.4300000000012</v>
      </c>
      <c r="CK260" s="399"/>
      <c r="CL260" s="399"/>
      <c r="CM260" s="399"/>
      <c r="CN260" s="399"/>
      <c r="CO260" s="399">
        <v>-1174.4000000000005</v>
      </c>
      <c r="CP260" s="399">
        <v>0</v>
      </c>
      <c r="CQ260" s="399">
        <v>29</v>
      </c>
      <c r="CR260" s="399">
        <v>118.1058531983806</v>
      </c>
      <c r="CS260" s="399">
        <v>18.567107096799731</v>
      </c>
      <c r="CT260" s="399">
        <v>99.538746101580955</v>
      </c>
      <c r="CU260" s="399">
        <v>0</v>
      </c>
      <c r="CV260" s="399">
        <v>0</v>
      </c>
      <c r="CW260" s="399"/>
      <c r="CX260" s="399"/>
      <c r="CY260" s="399"/>
      <c r="CZ260" s="399">
        <v>0</v>
      </c>
      <c r="DA260" s="399">
        <v>0</v>
      </c>
      <c r="DB260" s="399">
        <v>0</v>
      </c>
      <c r="DC260" s="399"/>
      <c r="DD260" s="399"/>
      <c r="DE260" s="399">
        <v>0</v>
      </c>
      <c r="DF260" s="399">
        <v>0</v>
      </c>
      <c r="DG260" s="399">
        <v>0</v>
      </c>
      <c r="DH260" s="399">
        <v>0</v>
      </c>
      <c r="DI260" s="399">
        <v>0</v>
      </c>
      <c r="DJ260" s="399"/>
      <c r="DK260" s="399">
        <v>0</v>
      </c>
      <c r="DL260" s="399">
        <v>0</v>
      </c>
      <c r="DM260" s="399"/>
      <c r="DN260" s="399">
        <v>0</v>
      </c>
      <c r="DO260" s="399">
        <v>0</v>
      </c>
      <c r="DP260" s="399">
        <v>0</v>
      </c>
      <c r="DQ260" s="399">
        <v>0</v>
      </c>
      <c r="DR260" s="399">
        <v>0</v>
      </c>
      <c r="DS260" s="399"/>
      <c r="DT260" s="399"/>
      <c r="DU260" s="399">
        <v>4178.8602617558081</v>
      </c>
      <c r="DV260" s="399"/>
      <c r="DW260" s="399">
        <v>0</v>
      </c>
      <c r="DX260" s="399">
        <v>0</v>
      </c>
      <c r="DY260" s="399">
        <v>-1174.4000000000005</v>
      </c>
      <c r="DZ260" s="399"/>
      <c r="EA260" s="399">
        <v>0</v>
      </c>
      <c r="EB260" s="399"/>
      <c r="EC260" s="399">
        <v>-1292.1074580173949</v>
      </c>
      <c r="ED260" s="399"/>
      <c r="EE260" s="399">
        <v>0</v>
      </c>
      <c r="EF260" s="399">
        <v>0</v>
      </c>
      <c r="EG260" s="399"/>
      <c r="EH260" s="399">
        <v>0</v>
      </c>
      <c r="EI260" s="399">
        <v>0</v>
      </c>
      <c r="EJ260" s="399">
        <v>0</v>
      </c>
      <c r="EK260" s="399">
        <v>0</v>
      </c>
      <c r="EL260" s="399">
        <v>0</v>
      </c>
      <c r="EM260" s="399"/>
      <c r="EN260" s="399"/>
      <c r="EO260" s="399">
        <v>0</v>
      </c>
      <c r="EP260" s="399">
        <v>0</v>
      </c>
      <c r="EQ260" s="399"/>
      <c r="ER260" s="399">
        <v>0</v>
      </c>
      <c r="ES260" s="399"/>
      <c r="ET260" s="399">
        <v>0</v>
      </c>
      <c r="EU260" s="399"/>
      <c r="EV260" s="399">
        <v>230</v>
      </c>
      <c r="EW260" s="399"/>
      <c r="EX260" s="399"/>
      <c r="EY260" s="399"/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259</v>
      </c>
      <c r="B261" s="399" t="s">
        <v>956</v>
      </c>
      <c r="C261" s="399" t="s">
        <v>2328</v>
      </c>
      <c r="D261" s="399" t="s">
        <v>2342</v>
      </c>
      <c r="E261" s="399" t="s">
        <v>2343</v>
      </c>
      <c r="F261" s="399" t="s">
        <v>2344</v>
      </c>
      <c r="G261" s="399" t="s">
        <v>1239</v>
      </c>
      <c r="H261" s="399" t="s">
        <v>1239</v>
      </c>
      <c r="I261" s="399" t="s">
        <v>1239</v>
      </c>
      <c r="J261" s="399" t="s">
        <v>2329</v>
      </c>
      <c r="K261" s="789">
        <v>44593</v>
      </c>
      <c r="L261" s="399">
        <v>0</v>
      </c>
      <c r="M261" s="399">
        <v>0</v>
      </c>
      <c r="N261" s="399">
        <v>738.93299999999999</v>
      </c>
      <c r="O261" s="399">
        <v>738.93299999999999</v>
      </c>
      <c r="P261" s="399">
        <v>738.93299999999999</v>
      </c>
      <c r="Q261" s="399">
        <v>738.93299999999999</v>
      </c>
      <c r="R261" s="399"/>
      <c r="S261" s="399">
        <v>183.49</v>
      </c>
      <c r="T261" s="399">
        <v>70.459999999999994</v>
      </c>
      <c r="U261" s="399"/>
      <c r="V261" s="399">
        <v>187652.03534999999</v>
      </c>
      <c r="W261" s="399">
        <v>187652.03534999999</v>
      </c>
      <c r="X261" s="399">
        <v>163791.88877999998</v>
      </c>
      <c r="Y261" s="399">
        <v>0</v>
      </c>
      <c r="Z261" s="399">
        <v>24879.007893285765</v>
      </c>
      <c r="AA261" s="399">
        <v>0</v>
      </c>
      <c r="AB261" s="399">
        <v>0</v>
      </c>
      <c r="AC261" s="399">
        <v>0</v>
      </c>
      <c r="AD261" s="399">
        <v>0</v>
      </c>
      <c r="AE261" s="399">
        <v>79045.812599627563</v>
      </c>
      <c r="AF261" s="399">
        <v>52066.013927455046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3842.1691260377283</v>
      </c>
      <c r="AM261" s="399"/>
      <c r="AN261" s="399">
        <v>349.67295920680033</v>
      </c>
      <c r="AO261" s="399">
        <v>1412.700306109743</v>
      </c>
      <c r="AP261" s="399">
        <v>7535.9709360901888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5514.3643322197549</v>
      </c>
      <c r="BH261" s="399">
        <v>0</v>
      </c>
      <c r="BI261" s="399">
        <v>0</v>
      </c>
      <c r="BJ261" s="399">
        <v>0</v>
      </c>
      <c r="BK261" s="399">
        <v>89573.35</v>
      </c>
      <c r="BL261" s="399">
        <v>13</v>
      </c>
      <c r="BM261" s="399"/>
      <c r="BN261" s="399"/>
      <c r="BO261" s="399"/>
      <c r="BP261" s="399"/>
      <c r="BQ261" s="399"/>
      <c r="BR261" s="399"/>
      <c r="BS261" s="399"/>
      <c r="BT261" s="399"/>
      <c r="BU261" s="399"/>
      <c r="BV261" s="399">
        <v>57580.378259674799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163791.22379999998</v>
      </c>
      <c r="CJ261" s="399">
        <v>-23860.841550000041</v>
      </c>
      <c r="CK261" s="399"/>
      <c r="CL261" s="399"/>
      <c r="CM261" s="399"/>
      <c r="CN261" s="399"/>
      <c r="CO261" s="399">
        <v>-26239.510830000014</v>
      </c>
      <c r="CP261" s="399">
        <v>2379.3642600000098</v>
      </c>
      <c r="CQ261" s="399">
        <v>29</v>
      </c>
      <c r="CR261" s="399">
        <v>585.68885688704904</v>
      </c>
      <c r="CS261" s="399">
        <v>103.12120332850623</v>
      </c>
      <c r="CT261" s="399">
        <v>550.09430366611741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0</v>
      </c>
      <c r="DA261" s="399">
        <v>0</v>
      </c>
      <c r="DB261" s="399">
        <v>0</v>
      </c>
      <c r="DC261" s="399">
        <v>2381.351133826669</v>
      </c>
      <c r="DD261" s="399">
        <v>0</v>
      </c>
      <c r="DE261" s="399">
        <v>0</v>
      </c>
      <c r="DF261" s="399">
        <v>0</v>
      </c>
      <c r="DG261" s="399">
        <v>252.21131337539373</v>
      </c>
      <c r="DH261" s="399">
        <v>0</v>
      </c>
      <c r="DI261" s="399">
        <v>-2353.3347770597866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-306.78406784418621</v>
      </c>
      <c r="DP261" s="399">
        <v>-40.970252405667736</v>
      </c>
      <c r="DQ261" s="399">
        <v>0</v>
      </c>
      <c r="DR261" s="399">
        <v>0</v>
      </c>
      <c r="DS261" s="399"/>
      <c r="DT261" s="399"/>
      <c r="DU261" s="399"/>
      <c r="DV261" s="399">
        <v>79045.812599627563</v>
      </c>
      <c r="DW261" s="399">
        <v>0</v>
      </c>
      <c r="DX261" s="399">
        <v>0</v>
      </c>
      <c r="DY261" s="399">
        <v>-26239.510830000014</v>
      </c>
      <c r="DZ261" s="399">
        <v>2379.3642600000094</v>
      </c>
      <c r="EA261" s="399">
        <v>0</v>
      </c>
      <c r="EB261" s="399">
        <v>0</v>
      </c>
      <c r="EC261" s="399">
        <v>-24441.038366310575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13004.617214590749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230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260</v>
      </c>
      <c r="B262" s="399" t="s">
        <v>956</v>
      </c>
      <c r="C262" s="399" t="s">
        <v>2328</v>
      </c>
      <c r="D262" s="399" t="s">
        <v>1826</v>
      </c>
      <c r="E262" s="399" t="s">
        <v>921</v>
      </c>
      <c r="F262" s="399" t="s">
        <v>2345</v>
      </c>
      <c r="G262" s="399" t="s">
        <v>1239</v>
      </c>
      <c r="H262" s="399" t="s">
        <v>1239</v>
      </c>
      <c r="I262" s="399" t="s">
        <v>1239</v>
      </c>
      <c r="J262" s="399" t="s">
        <v>2329</v>
      </c>
      <c r="K262" s="789">
        <v>44593</v>
      </c>
      <c r="L262" s="399">
        <v>0</v>
      </c>
      <c r="M262" s="399">
        <v>0</v>
      </c>
      <c r="N262" s="399">
        <v>70.441000000000003</v>
      </c>
      <c r="O262" s="399">
        <v>66.21454</v>
      </c>
      <c r="P262" s="399">
        <v>70.441000000000003</v>
      </c>
      <c r="Q262" s="399">
        <v>66.21454</v>
      </c>
      <c r="R262" s="399"/>
      <c r="S262" s="399">
        <v>333.61</v>
      </c>
      <c r="T262" s="399">
        <v>128.11000000000001</v>
      </c>
      <c r="U262" s="399"/>
      <c r="V262" s="399">
        <v>32524.018520000005</v>
      </c>
      <c r="W262" s="399">
        <v>32524.018520000005</v>
      </c>
      <c r="X262" s="399">
        <v>28389.836230000001</v>
      </c>
      <c r="Y262" s="399">
        <v>0</v>
      </c>
      <c r="Z262" s="399">
        <v>4312.1198096344624</v>
      </c>
      <c r="AA262" s="399">
        <v>0</v>
      </c>
      <c r="AB262" s="399">
        <v>0</v>
      </c>
      <c r="AC262" s="399">
        <v>0</v>
      </c>
      <c r="AD262" s="399">
        <v>0</v>
      </c>
      <c r="AE262" s="399">
        <v>13700.506701937036</v>
      </c>
      <c r="AF262" s="399">
        <v>9024.2702212363147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665.93867695280983</v>
      </c>
      <c r="AM262" s="399"/>
      <c r="AN262" s="399">
        <v>60.606584505167291</v>
      </c>
      <c r="AO262" s="399">
        <v>244.85433668343725</v>
      </c>
      <c r="AP262" s="399">
        <v>1306.1617930156299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955.76961012677134</v>
      </c>
      <c r="BH262" s="399">
        <v>0</v>
      </c>
      <c r="BI262" s="399">
        <v>0</v>
      </c>
      <c r="BJ262" s="399">
        <v>0</v>
      </c>
      <c r="BK262" s="399">
        <v>12229.46</v>
      </c>
      <c r="BL262" s="399">
        <v>28</v>
      </c>
      <c r="BM262" s="399"/>
      <c r="BN262" s="399"/>
      <c r="BO262" s="399"/>
      <c r="BP262" s="399"/>
      <c r="BQ262" s="399">
        <v>1703.3901738000011</v>
      </c>
      <c r="BR262" s="399"/>
      <c r="BS262" s="399"/>
      <c r="BT262" s="399"/>
      <c r="BU262" s="399"/>
      <c r="BV262" s="399">
        <v>9980.0398313630867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26684.616299999998</v>
      </c>
      <c r="CJ262" s="399">
        <v>-3887.9911088000008</v>
      </c>
      <c r="CK262" s="399"/>
      <c r="CL262" s="399"/>
      <c r="CM262" s="399"/>
      <c r="CN262" s="399"/>
      <c r="CO262" s="399">
        <v>-4546.966550000001</v>
      </c>
      <c r="CP262" s="399">
        <v>412.78425999999899</v>
      </c>
      <c r="CQ262" s="399">
        <v>29</v>
      </c>
      <c r="CR262" s="399">
        <v>101.51371521316833</v>
      </c>
      <c r="CS262" s="399">
        <v>17.87334067232635</v>
      </c>
      <c r="CT262" s="399">
        <v>95.344338254170225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0</v>
      </c>
      <c r="DA262" s="399">
        <v>0</v>
      </c>
      <c r="DB262" s="399">
        <v>0</v>
      </c>
      <c r="DC262" s="399">
        <v>412.74440853572924</v>
      </c>
      <c r="DD262" s="399">
        <v>0</v>
      </c>
      <c r="DE262" s="399">
        <v>0</v>
      </c>
      <c r="DF262" s="399">
        <v>0</v>
      </c>
      <c r="DG262" s="399">
        <v>43.714178848478582</v>
      </c>
      <c r="DH262" s="399">
        <v>0</v>
      </c>
      <c r="DI262" s="399">
        <v>-407.88851204953789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-53.172926424779348</v>
      </c>
      <c r="DP262" s="399">
        <v>-7.1011126232200894</v>
      </c>
      <c r="DQ262" s="399">
        <v>0</v>
      </c>
      <c r="DR262" s="399">
        <v>0</v>
      </c>
      <c r="DS262" s="399"/>
      <c r="DT262" s="399"/>
      <c r="DU262" s="399"/>
      <c r="DV262" s="399">
        <v>13700.506701937036</v>
      </c>
      <c r="DW262" s="399">
        <v>0</v>
      </c>
      <c r="DX262" s="399">
        <v>0</v>
      </c>
      <c r="DY262" s="399">
        <v>-4546.966550000001</v>
      </c>
      <c r="DZ262" s="399">
        <v>412.78425999999854</v>
      </c>
      <c r="EA262" s="399">
        <v>0</v>
      </c>
      <c r="EB262" s="399">
        <v>0</v>
      </c>
      <c r="EC262" s="399">
        <v>-4236.2093440167246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2254.0073843894702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230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261</v>
      </c>
      <c r="B263" s="399" t="s">
        <v>956</v>
      </c>
      <c r="C263" s="399" t="s">
        <v>2336</v>
      </c>
      <c r="D263" s="399" t="s">
        <v>533</v>
      </c>
      <c r="E263" s="399" t="s">
        <v>921</v>
      </c>
      <c r="F263" s="399" t="s">
        <v>2345</v>
      </c>
      <c r="G263" s="399" t="s">
        <v>1239</v>
      </c>
      <c r="H263" s="399" t="s">
        <v>1239</v>
      </c>
      <c r="I263" s="399" t="s">
        <v>893</v>
      </c>
      <c r="J263" s="399" t="s">
        <v>2329</v>
      </c>
      <c r="K263" s="789">
        <v>44593</v>
      </c>
      <c r="L263" s="399">
        <v>405</v>
      </c>
      <c r="M263" s="399">
        <v>380.7</v>
      </c>
      <c r="N263" s="399">
        <v>17.995000000000001</v>
      </c>
      <c r="O263" s="399">
        <v>16.915299999999998</v>
      </c>
      <c r="P263" s="399">
        <v>17.995000000000001</v>
      </c>
      <c r="Q263" s="399">
        <v>16.915299999999998</v>
      </c>
      <c r="R263" s="399">
        <v>52.19</v>
      </c>
      <c r="S263" s="399">
        <v>96.28</v>
      </c>
      <c r="T263" s="399">
        <v>128.11000000000001</v>
      </c>
      <c r="U263" s="399">
        <v>21136.95</v>
      </c>
      <c r="V263" s="399">
        <v>4037.8980500000007</v>
      </c>
      <c r="W263" s="399">
        <v>25174.848050000001</v>
      </c>
      <c r="X263" s="399">
        <v>19489.096800000003</v>
      </c>
      <c r="Y263" s="399">
        <v>0</v>
      </c>
      <c r="Z263" s="399">
        <v>958.37706020220912</v>
      </c>
      <c r="AA263" s="399">
        <v>0</v>
      </c>
      <c r="AB263" s="399">
        <v>0</v>
      </c>
      <c r="AC263" s="399">
        <v>0</v>
      </c>
      <c r="AD263" s="399">
        <v>0</v>
      </c>
      <c r="AE263" s="399">
        <v>18927.126844077855</v>
      </c>
      <c r="AF263" s="399">
        <v>2305.3582804211683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170.12203818466253</v>
      </c>
      <c r="AM263" s="399"/>
      <c r="AN263" s="399">
        <v>8.8463537451949517</v>
      </c>
      <c r="AO263" s="399">
        <v>349.77000203155308</v>
      </c>
      <c r="AP263" s="399">
        <v>1860.6850464161371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94.268882579322323</v>
      </c>
      <c r="BH263" s="399">
        <v>0</v>
      </c>
      <c r="BI263" s="399">
        <v>0</v>
      </c>
      <c r="BJ263" s="399">
        <v>0</v>
      </c>
      <c r="BK263" s="399">
        <v>0</v>
      </c>
      <c r="BL263" s="399">
        <v>0</v>
      </c>
      <c r="BM263" s="399"/>
      <c r="BN263" s="399"/>
      <c r="BO263" s="399"/>
      <c r="BP263" s="399"/>
      <c r="BQ263" s="399">
        <v>1169.3458080000009</v>
      </c>
      <c r="BR263" s="399"/>
      <c r="BS263" s="399"/>
      <c r="BT263" s="399"/>
      <c r="BU263" s="399"/>
      <c r="BV263" s="399">
        <v>2399.6271630004908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18320.806799999998</v>
      </c>
      <c r="CJ263" s="399">
        <v>-5343.580366999995</v>
      </c>
      <c r="CK263" s="399"/>
      <c r="CL263" s="399"/>
      <c r="CM263" s="399"/>
      <c r="CN263" s="399"/>
      <c r="CO263" s="399">
        <v>-5791.2019499999988</v>
      </c>
      <c r="CP263" s="399">
        <v>105.45069999999974</v>
      </c>
      <c r="CQ263" s="399">
        <v>29</v>
      </c>
      <c r="CR263" s="399">
        <v>165.83188029728535</v>
      </c>
      <c r="CS263" s="399">
        <v>25.53174466071431</v>
      </c>
      <c r="CT263" s="399">
        <v>135.82221237720773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0</v>
      </c>
      <c r="DA263" s="399">
        <v>0</v>
      </c>
      <c r="DB263" s="399">
        <v>0</v>
      </c>
      <c r="DC263" s="399">
        <v>105.44051946452237</v>
      </c>
      <c r="DD263" s="399">
        <v>0</v>
      </c>
      <c r="DE263" s="399">
        <v>0</v>
      </c>
      <c r="DF263" s="399">
        <v>0</v>
      </c>
      <c r="DG263" s="399">
        <v>4.3115901042015565</v>
      </c>
      <c r="DH263" s="399">
        <v>0</v>
      </c>
      <c r="DI263" s="399">
        <v>-90.654019444193864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-13.583663079937878</v>
      </c>
      <c r="DP263" s="399">
        <v>-1.0365037852300993</v>
      </c>
      <c r="DQ263" s="399">
        <v>0</v>
      </c>
      <c r="DR263" s="399">
        <v>0</v>
      </c>
      <c r="DS263" s="399"/>
      <c r="DT263" s="399"/>
      <c r="DU263" s="399">
        <v>18927.126844077855</v>
      </c>
      <c r="DV263" s="399">
        <v>0</v>
      </c>
      <c r="DW263" s="399">
        <v>0</v>
      </c>
      <c r="DX263" s="399">
        <v>0</v>
      </c>
      <c r="DY263" s="399">
        <v>-5791.2019499999988</v>
      </c>
      <c r="DZ263" s="399">
        <v>105.45069999999987</v>
      </c>
      <c r="EA263" s="399">
        <v>0</v>
      </c>
      <c r="EB263" s="399">
        <v>0</v>
      </c>
      <c r="EC263" s="399">
        <v>-5852.2851261359592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500.95754897597936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230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262</v>
      </c>
      <c r="B264" s="399" t="s">
        <v>956</v>
      </c>
      <c r="C264" s="399" t="s">
        <v>2336</v>
      </c>
      <c r="D264" s="399" t="s">
        <v>533</v>
      </c>
      <c r="E264" s="399" t="s">
        <v>921</v>
      </c>
      <c r="F264" s="399" t="s">
        <v>2345</v>
      </c>
      <c r="G264" s="399" t="s">
        <v>1239</v>
      </c>
      <c r="H264" s="399" t="s">
        <v>1239</v>
      </c>
      <c r="I264" s="399" t="s">
        <v>2326</v>
      </c>
      <c r="J264" s="399" t="s">
        <v>2329</v>
      </c>
      <c r="K264" s="789">
        <v>44593</v>
      </c>
      <c r="L264" s="399">
        <v>447</v>
      </c>
      <c r="M264" s="399">
        <v>420.18</v>
      </c>
      <c r="N264" s="399">
        <v>148.161</v>
      </c>
      <c r="O264" s="399">
        <v>139.27134000000001</v>
      </c>
      <c r="P264" s="399">
        <v>148.161</v>
      </c>
      <c r="Q264" s="399">
        <v>139.27134000000001</v>
      </c>
      <c r="R264" s="399">
        <v>18.12</v>
      </c>
      <c r="S264" s="399">
        <v>96.28</v>
      </c>
      <c r="T264" s="399">
        <v>128.11000000000001</v>
      </c>
      <c r="U264" s="399">
        <v>8099.64</v>
      </c>
      <c r="V264" s="399">
        <v>33245.846790000003</v>
      </c>
      <c r="W264" s="399">
        <v>41345.486790000003</v>
      </c>
      <c r="X264" s="399">
        <v>39742.037040000003</v>
      </c>
      <c r="Y264" s="399">
        <v>0</v>
      </c>
      <c r="Z264" s="399">
        <v>7890.7531879199505</v>
      </c>
      <c r="AA264" s="399">
        <v>0</v>
      </c>
      <c r="AB264" s="399">
        <v>0</v>
      </c>
      <c r="AC264" s="399">
        <v>0</v>
      </c>
      <c r="AD264" s="399">
        <v>0</v>
      </c>
      <c r="AE264" s="399">
        <v>5837.3454281401446</v>
      </c>
      <c r="AF264" s="399">
        <v>18981.060749401538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1400.6919310629498</v>
      </c>
      <c r="AM264" s="399"/>
      <c r="AN264" s="399">
        <v>72.836044303519259</v>
      </c>
      <c r="AO264" s="399">
        <v>355.30707415057924</v>
      </c>
      <c r="AP264" s="399">
        <v>1904.8105048128739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776.15848356960123</v>
      </c>
      <c r="BH264" s="399">
        <v>0</v>
      </c>
      <c r="BI264" s="399">
        <v>0</v>
      </c>
      <c r="BJ264" s="399">
        <v>0</v>
      </c>
      <c r="BK264" s="399">
        <v>0</v>
      </c>
      <c r="BL264" s="399">
        <v>0</v>
      </c>
      <c r="BM264" s="399"/>
      <c r="BN264" s="399"/>
      <c r="BO264" s="399"/>
      <c r="BP264" s="399"/>
      <c r="BQ264" s="399">
        <v>2384.5222223999981</v>
      </c>
      <c r="BR264" s="399"/>
      <c r="BS264" s="399"/>
      <c r="BT264" s="399"/>
      <c r="BU264" s="399"/>
      <c r="BV264" s="399">
        <v>19757.21923297114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37357.213800000005</v>
      </c>
      <c r="CJ264" s="399">
        <v>-1507.5737825999968</v>
      </c>
      <c r="CK264" s="399"/>
      <c r="CL264" s="399"/>
      <c r="CM264" s="399"/>
      <c r="CN264" s="399"/>
      <c r="CO264" s="399">
        <v>-2471.6732100000008</v>
      </c>
      <c r="CP264" s="399">
        <v>868.22345999999777</v>
      </c>
      <c r="CQ264" s="399">
        <v>29</v>
      </c>
      <c r="CR264" s="399">
        <v>201.84788768095314</v>
      </c>
      <c r="CS264" s="399">
        <v>25.935927725842078</v>
      </c>
      <c r="CT264" s="399">
        <v>139.04318596064581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0</v>
      </c>
      <c r="DA264" s="399">
        <v>0</v>
      </c>
      <c r="DB264" s="399">
        <v>0</v>
      </c>
      <c r="DC264" s="399">
        <v>868.13963903212789</v>
      </c>
      <c r="DD264" s="399">
        <v>0</v>
      </c>
      <c r="DE264" s="399">
        <v>0</v>
      </c>
      <c r="DF264" s="399">
        <v>0</v>
      </c>
      <c r="DG264" s="399">
        <v>35.499277656493859</v>
      </c>
      <c r="DH264" s="399">
        <v>0</v>
      </c>
      <c r="DI264" s="399">
        <v>-746.3956751803953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-111.84046154969019</v>
      </c>
      <c r="DP264" s="399">
        <v>-8.5340059640720511</v>
      </c>
      <c r="DQ264" s="399">
        <v>0</v>
      </c>
      <c r="DR264" s="399">
        <v>0</v>
      </c>
      <c r="DS264" s="399"/>
      <c r="DT264" s="399"/>
      <c r="DU264" s="399">
        <v>5837.3454281401446</v>
      </c>
      <c r="DV264" s="399">
        <v>0</v>
      </c>
      <c r="DW264" s="399">
        <v>0</v>
      </c>
      <c r="DX264" s="399">
        <v>0</v>
      </c>
      <c r="DY264" s="399">
        <v>-2471.6732099999972</v>
      </c>
      <c r="DZ264" s="399">
        <v>868.22345999999743</v>
      </c>
      <c r="EA264" s="399">
        <v>0</v>
      </c>
      <c r="EB264" s="399">
        <v>0</v>
      </c>
      <c r="EC264" s="399">
        <v>-1804.9126054180488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4124.6108037693848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230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263</v>
      </c>
      <c r="B265" s="399" t="s">
        <v>956</v>
      </c>
      <c r="C265" s="399" t="s">
        <v>2336</v>
      </c>
      <c r="D265" s="399" t="s">
        <v>533</v>
      </c>
      <c r="E265" s="399" t="s">
        <v>921</v>
      </c>
      <c r="F265" s="399" t="s">
        <v>2345</v>
      </c>
      <c r="G265" s="399" t="s">
        <v>1239</v>
      </c>
      <c r="H265" s="399" t="s">
        <v>1239</v>
      </c>
      <c r="I265" s="399" t="s">
        <v>1239</v>
      </c>
      <c r="J265" s="399" t="s">
        <v>2329</v>
      </c>
      <c r="K265" s="789">
        <v>44593</v>
      </c>
      <c r="L265" s="399">
        <v>0</v>
      </c>
      <c r="M265" s="399">
        <v>0</v>
      </c>
      <c r="N265" s="399">
        <v>0</v>
      </c>
      <c r="O265" s="399">
        <v>0</v>
      </c>
      <c r="P265" s="399">
        <v>0</v>
      </c>
      <c r="Q265" s="399">
        <v>0</v>
      </c>
      <c r="R265" s="399"/>
      <c r="S265" s="399"/>
      <c r="T265" s="399"/>
      <c r="U265" s="399"/>
      <c r="V265" s="399"/>
      <c r="W265" s="399"/>
      <c r="X265" s="399"/>
      <c r="Y265" s="399"/>
      <c r="Z265" s="399"/>
      <c r="AA265" s="399">
        <v>0</v>
      </c>
      <c r="AB265" s="399"/>
      <c r="AC265" s="399"/>
      <c r="AD265" s="399"/>
      <c r="AE265" s="399"/>
      <c r="AF265" s="399"/>
      <c r="AG265" s="399"/>
      <c r="AH265" s="399"/>
      <c r="AI265" s="399"/>
      <c r="AJ265" s="399"/>
      <c r="AK265" s="399"/>
      <c r="AL265" s="399"/>
      <c r="AM265" s="399"/>
      <c r="AN265" s="399"/>
      <c r="AO265" s="399"/>
      <c r="AP265" s="399"/>
      <c r="AQ265" s="399"/>
      <c r="AR265" s="399"/>
      <c r="AS265" s="399"/>
      <c r="AT265" s="399"/>
      <c r="AU265" s="399"/>
      <c r="AV265" s="399"/>
      <c r="AW265" s="399"/>
      <c r="AX265" s="399"/>
      <c r="AY265" s="399"/>
      <c r="AZ265" s="399">
        <v>0</v>
      </c>
      <c r="BA265" s="399"/>
      <c r="BB265" s="399"/>
      <c r="BC265" s="399"/>
      <c r="BD265" s="399"/>
      <c r="BE265" s="399"/>
      <c r="BF265" s="399"/>
      <c r="BG265" s="399"/>
      <c r="BH265" s="399"/>
      <c r="BI265" s="399">
        <v>0</v>
      </c>
      <c r="BJ265" s="399">
        <v>0</v>
      </c>
      <c r="BK265" s="399">
        <v>26007.72</v>
      </c>
      <c r="BL265" s="399">
        <v>2</v>
      </c>
      <c r="BM265" s="399"/>
      <c r="BN265" s="399"/>
      <c r="BO265" s="399"/>
      <c r="BP265" s="399"/>
      <c r="BQ265" s="399"/>
      <c r="BR265" s="399"/>
      <c r="BS265" s="399"/>
      <c r="BT265" s="399"/>
      <c r="BU265" s="399"/>
      <c r="BV265" s="399"/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/>
      <c r="CJ265" s="399">
        <v>-0.03</v>
      </c>
      <c r="CK265" s="399"/>
      <c r="CL265" s="399"/>
      <c r="CM265" s="399"/>
      <c r="CN265" s="399"/>
      <c r="CO265" s="399">
        <v>0</v>
      </c>
      <c r="CP265" s="399">
        <v>0</v>
      </c>
      <c r="CQ265" s="399">
        <v>29</v>
      </c>
      <c r="CR265" s="399"/>
      <c r="CS265" s="399"/>
      <c r="CT265" s="399"/>
      <c r="CU265" s="399"/>
      <c r="CV265" s="399"/>
      <c r="CW265" s="399"/>
      <c r="CX265" s="399"/>
      <c r="CY265" s="399"/>
      <c r="CZ265" s="399"/>
      <c r="DA265" s="399"/>
      <c r="DB265" s="399"/>
      <c r="DC265" s="399"/>
      <c r="DD265" s="399"/>
      <c r="DE265" s="399"/>
      <c r="DF265" s="399"/>
      <c r="DG265" s="399"/>
      <c r="DH265" s="399"/>
      <c r="DI265" s="399"/>
      <c r="DJ265" s="399"/>
      <c r="DK265" s="399">
        <v>0</v>
      </c>
      <c r="DL265" s="399"/>
      <c r="DM265" s="399"/>
      <c r="DN265" s="399"/>
      <c r="DO265" s="399"/>
      <c r="DP265" s="399"/>
      <c r="DQ265" s="399"/>
      <c r="DR265" s="399"/>
      <c r="DS265" s="399"/>
      <c r="DT265" s="399"/>
      <c r="DU265" s="399"/>
      <c r="DV265" s="399"/>
      <c r="DW265" s="399"/>
      <c r="DX265" s="399"/>
      <c r="DY265" s="399"/>
      <c r="DZ265" s="399"/>
      <c r="EA265" s="399"/>
      <c r="EB265" s="399"/>
      <c r="EC265" s="399"/>
      <c r="ED265" s="399"/>
      <c r="EE265" s="399"/>
      <c r="EF265" s="399"/>
      <c r="EG265" s="399"/>
      <c r="EH265" s="399"/>
      <c r="EI265" s="399"/>
      <c r="EJ265" s="399"/>
      <c r="EK265" s="399"/>
      <c r="EL265" s="399"/>
      <c r="EM265" s="399"/>
      <c r="EN265" s="399"/>
      <c r="EO265" s="399"/>
      <c r="EP265" s="399"/>
      <c r="EQ265" s="399"/>
      <c r="ER265" s="399"/>
      <c r="ES265" s="399"/>
      <c r="ET265" s="399"/>
      <c r="EU265" s="399"/>
      <c r="EV265" s="399">
        <v>230</v>
      </c>
      <c r="EW265" s="399"/>
      <c r="EX265" s="399"/>
      <c r="EY265" s="399"/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264</v>
      </c>
      <c r="B266" s="399" t="s">
        <v>956</v>
      </c>
      <c r="C266" s="399" t="s">
        <v>2328</v>
      </c>
      <c r="D266" s="399" t="s">
        <v>1826</v>
      </c>
      <c r="E266" s="399" t="s">
        <v>2346</v>
      </c>
      <c r="F266" s="399" t="s">
        <v>1239</v>
      </c>
      <c r="G266" s="399" t="s">
        <v>1239</v>
      </c>
      <c r="H266" s="399" t="s">
        <v>1239</v>
      </c>
      <c r="I266" s="399" t="s">
        <v>1239</v>
      </c>
      <c r="J266" s="399" t="s">
        <v>2329</v>
      </c>
      <c r="K266" s="789">
        <v>44593</v>
      </c>
      <c r="L266" s="399">
        <v>0</v>
      </c>
      <c r="M266" s="399">
        <v>0</v>
      </c>
      <c r="N266" s="399">
        <v>0.88100000000000001</v>
      </c>
      <c r="O266" s="399">
        <v>0.88100000000000001</v>
      </c>
      <c r="P266" s="399">
        <v>0.88100000000000001</v>
      </c>
      <c r="Q266" s="399">
        <v>0.88100000000000001</v>
      </c>
      <c r="R266" s="399"/>
      <c r="S266" s="399">
        <v>333.61</v>
      </c>
      <c r="T266" s="399">
        <v>128.11000000000001</v>
      </c>
      <c r="U266" s="399"/>
      <c r="V266" s="399">
        <v>406.77532000000002</v>
      </c>
      <c r="W266" s="399">
        <v>406.77532000000002</v>
      </c>
      <c r="X266" s="399">
        <v>355.06943000000001</v>
      </c>
      <c r="Y266" s="399">
        <v>0</v>
      </c>
      <c r="Z266" s="399">
        <v>53.931340445024368</v>
      </c>
      <c r="AA266" s="399">
        <v>0</v>
      </c>
      <c r="AB266" s="399">
        <v>0</v>
      </c>
      <c r="AC266" s="399">
        <v>0</v>
      </c>
      <c r="AD266" s="399">
        <v>0</v>
      </c>
      <c r="AE266" s="399">
        <v>171.35115067086682</v>
      </c>
      <c r="AF266" s="399">
        <v>112.86583190058622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8.3288422139865332</v>
      </c>
      <c r="AM266" s="399"/>
      <c r="AN266" s="399">
        <v>0.75800174541889498</v>
      </c>
      <c r="AO266" s="399">
        <v>3.0623737683750689</v>
      </c>
      <c r="AP266" s="399">
        <v>16.336061947541484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11.953734707367662</v>
      </c>
      <c r="BH266" s="399">
        <v>0</v>
      </c>
      <c r="BI266" s="399">
        <v>0</v>
      </c>
      <c r="BJ266" s="399">
        <v>0</v>
      </c>
      <c r="BK266" s="399">
        <v>160.04</v>
      </c>
      <c r="BL266" s="399">
        <v>2</v>
      </c>
      <c r="BM266" s="399"/>
      <c r="BN266" s="399"/>
      <c r="BO266" s="399"/>
      <c r="BP266" s="399"/>
      <c r="BQ266" s="399"/>
      <c r="BR266" s="399"/>
      <c r="BS266" s="399"/>
      <c r="BT266" s="399"/>
      <c r="BU266" s="399"/>
      <c r="BV266" s="399">
        <v>124.81956660795387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354.66640000000001</v>
      </c>
      <c r="CJ266" s="399">
        <v>-52.138919999999985</v>
      </c>
      <c r="CK266" s="399"/>
      <c r="CL266" s="399"/>
      <c r="CM266" s="399"/>
      <c r="CN266" s="399"/>
      <c r="CO266" s="399">
        <v>-56.868550000000013</v>
      </c>
      <c r="CP266" s="399">
        <v>5.1626599999999874</v>
      </c>
      <c r="CQ266" s="399">
        <v>29</v>
      </c>
      <c r="CR266" s="399">
        <v>1.2696239846509627</v>
      </c>
      <c r="CS266" s="399">
        <v>0.22354045417185286</v>
      </c>
      <c r="CT266" s="399">
        <v>1.1924640763465071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0</v>
      </c>
      <c r="DA266" s="399">
        <v>0</v>
      </c>
      <c r="DB266" s="399">
        <v>0</v>
      </c>
      <c r="DC266" s="399">
        <v>5.1621615808971626</v>
      </c>
      <c r="DD266" s="399">
        <v>0</v>
      </c>
      <c r="DE266" s="399">
        <v>0</v>
      </c>
      <c r="DF266" s="399">
        <v>0</v>
      </c>
      <c r="DG266" s="399">
        <v>0.54672976768515014</v>
      </c>
      <c r="DH266" s="399">
        <v>0</v>
      </c>
      <c r="DI266" s="399">
        <v>-5.1014292686878875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-0.66502957340512658</v>
      </c>
      <c r="DP266" s="399">
        <v>-8.8813052356680022E-2</v>
      </c>
      <c r="DQ266" s="399">
        <v>0</v>
      </c>
      <c r="DR266" s="399">
        <v>0</v>
      </c>
      <c r="DS266" s="399"/>
      <c r="DT266" s="399"/>
      <c r="DU266" s="399"/>
      <c r="DV266" s="399">
        <v>171.35115067086682</v>
      </c>
      <c r="DW266" s="399">
        <v>0</v>
      </c>
      <c r="DX266" s="399">
        <v>0</v>
      </c>
      <c r="DY266" s="399">
        <v>-56.868549999999999</v>
      </c>
      <c r="DZ266" s="399">
        <v>5.1626599999999883</v>
      </c>
      <c r="EA266" s="399">
        <v>0</v>
      </c>
      <c r="EB266" s="399">
        <v>0</v>
      </c>
      <c r="EC266" s="399">
        <v>-52.981934272351822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28.190691580856651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230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265</v>
      </c>
      <c r="B267" s="399" t="s">
        <v>956</v>
      </c>
      <c r="C267" s="399" t="s">
        <v>2337</v>
      </c>
      <c r="D267" s="399" t="s">
        <v>533</v>
      </c>
      <c r="E267" s="399" t="s">
        <v>2346</v>
      </c>
      <c r="F267" s="399" t="s">
        <v>1239</v>
      </c>
      <c r="G267" s="399" t="s">
        <v>1239</v>
      </c>
      <c r="H267" s="399" t="s">
        <v>1239</v>
      </c>
      <c r="I267" s="399" t="s">
        <v>893</v>
      </c>
      <c r="J267" s="399" t="s">
        <v>2329</v>
      </c>
      <c r="K267" s="789">
        <v>44593</v>
      </c>
      <c r="L267" s="399">
        <v>0</v>
      </c>
      <c r="M267" s="399">
        <v>0</v>
      </c>
      <c r="N267" s="399">
        <v>1.1040000000000001</v>
      </c>
      <c r="O267" s="399">
        <v>1.1040000000000001</v>
      </c>
      <c r="P267" s="399">
        <v>1.1040000000000001</v>
      </c>
      <c r="Q267" s="399">
        <v>1.1040000000000001</v>
      </c>
      <c r="R267" s="399"/>
      <c r="S267" s="399">
        <v>1351.49</v>
      </c>
      <c r="T267" s="399">
        <v>128.11000000000001</v>
      </c>
      <c r="U267" s="399"/>
      <c r="V267" s="399">
        <v>1633.4784000000002</v>
      </c>
      <c r="W267" s="399">
        <v>1633.4784000000002</v>
      </c>
      <c r="X267" s="399">
        <v>1260.6686400000003</v>
      </c>
      <c r="Y267" s="399">
        <v>0</v>
      </c>
      <c r="Z267" s="399">
        <v>58.796792134661793</v>
      </c>
      <c r="AA267" s="399">
        <v>0</v>
      </c>
      <c r="AB267" s="399">
        <v>0</v>
      </c>
      <c r="AC267" s="399">
        <v>0</v>
      </c>
      <c r="AD267" s="399">
        <v>0</v>
      </c>
      <c r="AE267" s="399">
        <v>1240.834872559637</v>
      </c>
      <c r="AF267" s="399">
        <v>141.43459525340202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10.437050856119335</v>
      </c>
      <c r="AM267" s="399"/>
      <c r="AN267" s="399">
        <v>0.54272712057211592</v>
      </c>
      <c r="AO267" s="399">
        <v>22.932872140419036</v>
      </c>
      <c r="AP267" s="399">
        <v>121.98325356546151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5.783431306894796</v>
      </c>
      <c r="BH267" s="399">
        <v>0</v>
      </c>
      <c r="BI267" s="399">
        <v>0</v>
      </c>
      <c r="BJ267" s="399">
        <v>0</v>
      </c>
      <c r="BK267" s="399">
        <v>0</v>
      </c>
      <c r="BL267" s="399">
        <v>0</v>
      </c>
      <c r="BM267" s="399"/>
      <c r="BN267" s="399"/>
      <c r="BO267" s="399"/>
      <c r="BP267" s="399"/>
      <c r="BQ267" s="399"/>
      <c r="BR267" s="399"/>
      <c r="BS267" s="399"/>
      <c r="BT267" s="399"/>
      <c r="BU267" s="399"/>
      <c r="BV267" s="399">
        <v>147.21802656029681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1256.1010000000001</v>
      </c>
      <c r="CJ267" s="399">
        <v>-377.40740000000005</v>
      </c>
      <c r="CK267" s="399"/>
      <c r="CL267" s="399"/>
      <c r="CM267" s="399"/>
      <c r="CN267" s="399"/>
      <c r="CO267" s="399">
        <v>-379.2792</v>
      </c>
      <c r="CP267" s="399">
        <v>6.4694399999999845</v>
      </c>
      <c r="CQ267" s="399">
        <v>29</v>
      </c>
      <c r="CR267" s="399">
        <v>10.852992269797824</v>
      </c>
      <c r="CS267" s="399">
        <v>1.6740035807106324</v>
      </c>
      <c r="CT267" s="399">
        <v>8.9042664174374835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0</v>
      </c>
      <c r="DA267" s="399">
        <v>0</v>
      </c>
      <c r="DB267" s="399">
        <v>0</v>
      </c>
      <c r="DC267" s="399">
        <v>6.4688154203297188</v>
      </c>
      <c r="DD267" s="399">
        <v>0</v>
      </c>
      <c r="DE267" s="399">
        <v>0</v>
      </c>
      <c r="DF267" s="399">
        <v>0</v>
      </c>
      <c r="DG267" s="399">
        <v>0.26451767018830274</v>
      </c>
      <c r="DH267" s="399">
        <v>0</v>
      </c>
      <c r="DI267" s="399">
        <v>-5.5616580976043366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-0.83336282524320104</v>
      </c>
      <c r="DP267" s="399">
        <v>-6.358989602078513E-2</v>
      </c>
      <c r="DQ267" s="399">
        <v>0</v>
      </c>
      <c r="DR267" s="399">
        <v>0</v>
      </c>
      <c r="DS267" s="399"/>
      <c r="DT267" s="399"/>
      <c r="DU267" s="399"/>
      <c r="DV267" s="399">
        <v>1240.834872559637</v>
      </c>
      <c r="DW267" s="399">
        <v>0</v>
      </c>
      <c r="DX267" s="399">
        <v>0</v>
      </c>
      <c r="DY267" s="399">
        <v>-379.27919999999995</v>
      </c>
      <c r="DZ267" s="399">
        <v>6.4694399999999916</v>
      </c>
      <c r="EA267" s="399">
        <v>0</v>
      </c>
      <c r="EB267" s="399">
        <v>0</v>
      </c>
      <c r="EC267" s="399">
        <v>-383.6672902598358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30.73393354095478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230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266</v>
      </c>
      <c r="B268" s="399" t="s">
        <v>956</v>
      </c>
      <c r="C268" s="399" t="s">
        <v>2337</v>
      </c>
      <c r="D268" s="399" t="s">
        <v>533</v>
      </c>
      <c r="E268" s="399" t="s">
        <v>2346</v>
      </c>
      <c r="F268" s="399" t="s">
        <v>1239</v>
      </c>
      <c r="G268" s="399" t="s">
        <v>1239</v>
      </c>
      <c r="H268" s="399" t="s">
        <v>1239</v>
      </c>
      <c r="I268" s="399" t="s">
        <v>2326</v>
      </c>
      <c r="J268" s="399" t="s">
        <v>2329</v>
      </c>
      <c r="K268" s="789">
        <v>44593</v>
      </c>
      <c r="L268" s="399">
        <v>0</v>
      </c>
      <c r="M268" s="399">
        <v>0</v>
      </c>
      <c r="N268" s="399">
        <v>15.8</v>
      </c>
      <c r="O268" s="399">
        <v>15.8</v>
      </c>
      <c r="P268" s="399">
        <v>15.8</v>
      </c>
      <c r="Q268" s="399">
        <v>15.8</v>
      </c>
      <c r="R268" s="399"/>
      <c r="S268" s="399">
        <v>96.28</v>
      </c>
      <c r="T268" s="399">
        <v>128.11000000000001</v>
      </c>
      <c r="U268" s="399"/>
      <c r="V268" s="399">
        <v>3545.3620000000005</v>
      </c>
      <c r="W268" s="399">
        <v>3545.3620000000005</v>
      </c>
      <c r="X268" s="399">
        <v>3549.3119999999999</v>
      </c>
      <c r="Y268" s="399">
        <v>0</v>
      </c>
      <c r="Z268" s="399">
        <v>841.47582946345676</v>
      </c>
      <c r="AA268" s="399">
        <v>0</v>
      </c>
      <c r="AB268" s="399">
        <v>0</v>
      </c>
      <c r="AC268" s="399">
        <v>0</v>
      </c>
      <c r="AD268" s="399">
        <v>0</v>
      </c>
      <c r="AE268" s="399">
        <v>0</v>
      </c>
      <c r="AF268" s="399">
        <v>2024.1545335178914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149.37083652779484</v>
      </c>
      <c r="AM268" s="399"/>
      <c r="AN268" s="399">
        <v>7.7672903125357173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82.770121964617545</v>
      </c>
      <c r="BH268" s="399">
        <v>0</v>
      </c>
      <c r="BI268" s="399">
        <v>0</v>
      </c>
      <c r="BJ268" s="399">
        <v>0</v>
      </c>
      <c r="BK268" s="399">
        <v>0</v>
      </c>
      <c r="BL268" s="399">
        <v>0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2106.924655482509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3549.3119999999999</v>
      </c>
      <c r="CJ268" s="399">
        <v>3.9199999999991633</v>
      </c>
      <c r="CK268" s="399"/>
      <c r="CL268" s="399"/>
      <c r="CM268" s="399"/>
      <c r="CN268" s="399"/>
      <c r="CO268" s="399">
        <v>-88.637999999999991</v>
      </c>
      <c r="CP268" s="399">
        <v>92.587999999999766</v>
      </c>
      <c r="CQ268" s="399">
        <v>29</v>
      </c>
      <c r="CR268" s="399">
        <v>3.9317136703475626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0</v>
      </c>
      <c r="DA268" s="399">
        <v>0</v>
      </c>
      <c r="DB268" s="399">
        <v>0</v>
      </c>
      <c r="DC268" s="399">
        <v>92.579061269211024</v>
      </c>
      <c r="DD268" s="399">
        <v>0</v>
      </c>
      <c r="DE268" s="399">
        <v>0</v>
      </c>
      <c r="DF268" s="399">
        <v>0</v>
      </c>
      <c r="DG268" s="399">
        <v>3.7856695552311521</v>
      </c>
      <c r="DH268" s="399">
        <v>0</v>
      </c>
      <c r="DI268" s="399">
        <v>-79.59619378817797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-11.926750578661768</v>
      </c>
      <c r="DP268" s="399">
        <v>-0.91007278725399043</v>
      </c>
      <c r="DQ268" s="399">
        <v>0</v>
      </c>
      <c r="DR268" s="399">
        <v>0</v>
      </c>
      <c r="DS268" s="399"/>
      <c r="DT268" s="399"/>
      <c r="DU268" s="399"/>
      <c r="DV268" s="399">
        <v>0</v>
      </c>
      <c r="DW268" s="399">
        <v>0</v>
      </c>
      <c r="DX268" s="399">
        <v>0</v>
      </c>
      <c r="DY268" s="399">
        <v>-88.638000000000147</v>
      </c>
      <c r="DZ268" s="399">
        <v>92.587999999999738</v>
      </c>
      <c r="EA268" s="399">
        <v>0</v>
      </c>
      <c r="EB268" s="399">
        <v>0</v>
      </c>
      <c r="EC268" s="399">
        <v>0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439.85158509699772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230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267</v>
      </c>
      <c r="B269" s="399" t="s">
        <v>956</v>
      </c>
      <c r="C269" s="399" t="s">
        <v>2337</v>
      </c>
      <c r="D269" s="399" t="s">
        <v>533</v>
      </c>
      <c r="E269" s="399" t="s">
        <v>2346</v>
      </c>
      <c r="F269" s="399" t="s">
        <v>1239</v>
      </c>
      <c r="G269" s="399" t="s">
        <v>1239</v>
      </c>
      <c r="H269" s="399" t="s">
        <v>1239</v>
      </c>
      <c r="I269" s="399" t="s">
        <v>1239</v>
      </c>
      <c r="J269" s="399" t="s">
        <v>2329</v>
      </c>
      <c r="K269" s="789">
        <v>44593</v>
      </c>
      <c r="L269" s="399">
        <v>97</v>
      </c>
      <c r="M269" s="399">
        <v>97</v>
      </c>
      <c r="N269" s="399">
        <v>0</v>
      </c>
      <c r="O269" s="399">
        <v>0</v>
      </c>
      <c r="P269" s="399">
        <v>0</v>
      </c>
      <c r="Q269" s="399">
        <v>0</v>
      </c>
      <c r="R269" s="399">
        <v>18.12</v>
      </c>
      <c r="S269" s="399"/>
      <c r="T269" s="399"/>
      <c r="U269" s="399">
        <v>1757.64</v>
      </c>
      <c r="V269" s="399"/>
      <c r="W269" s="399">
        <v>1757.64</v>
      </c>
      <c r="X269" s="399">
        <v>1401.6499999999999</v>
      </c>
      <c r="Y269" s="399">
        <v>0</v>
      </c>
      <c r="Z269" s="399">
        <v>0</v>
      </c>
      <c r="AA269" s="399">
        <v>0</v>
      </c>
      <c r="AB269" s="399">
        <v>0</v>
      </c>
      <c r="AC269" s="399">
        <v>0</v>
      </c>
      <c r="AD269" s="399">
        <v>0</v>
      </c>
      <c r="AE269" s="399">
        <v>1266.7170168447294</v>
      </c>
      <c r="AF269" s="399"/>
      <c r="AG269" s="399"/>
      <c r="AH269" s="399"/>
      <c r="AI269" s="399">
        <v>0</v>
      </c>
      <c r="AJ269" s="399">
        <v>0</v>
      </c>
      <c r="AK269" s="399">
        <v>0</v>
      </c>
      <c r="AL269" s="399">
        <v>0</v>
      </c>
      <c r="AM269" s="399"/>
      <c r="AN269" s="399">
        <v>0</v>
      </c>
      <c r="AO269" s="399">
        <v>77.102429961087665</v>
      </c>
      <c r="AP269" s="399">
        <v>413.34814086543349</v>
      </c>
      <c r="AQ269" s="399">
        <v>0</v>
      </c>
      <c r="AR269" s="399">
        <v>0</v>
      </c>
      <c r="AS269" s="399"/>
      <c r="AT269" s="399"/>
      <c r="AU269" s="399">
        <v>0</v>
      </c>
      <c r="AV269" s="399">
        <v>0</v>
      </c>
      <c r="AW269" s="399">
        <v>0</v>
      </c>
      <c r="AX269" s="399"/>
      <c r="AY269" s="399"/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/>
      <c r="BG269" s="399">
        <v>0</v>
      </c>
      <c r="BH269" s="399">
        <v>0</v>
      </c>
      <c r="BI269" s="399">
        <v>0</v>
      </c>
      <c r="BJ269" s="399">
        <v>0</v>
      </c>
      <c r="BK269" s="399">
        <v>2870.65</v>
      </c>
      <c r="BL269" s="399">
        <v>1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0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1401.6499999999999</v>
      </c>
      <c r="CJ269" s="399">
        <v>-356.02000000000021</v>
      </c>
      <c r="CK269" s="399"/>
      <c r="CL269" s="399"/>
      <c r="CM269" s="399"/>
      <c r="CN269" s="399"/>
      <c r="CO269" s="399">
        <v>-355.99000000000018</v>
      </c>
      <c r="CP269" s="399">
        <v>0</v>
      </c>
      <c r="CQ269" s="399">
        <v>29</v>
      </c>
      <c r="CR269" s="399">
        <v>35.800836750759231</v>
      </c>
      <c r="CS269" s="399">
        <v>5.6281543387174082</v>
      </c>
      <c r="CT269" s="399">
        <v>30.172682412041752</v>
      </c>
      <c r="CU269" s="399">
        <v>0</v>
      </c>
      <c r="CV269" s="399">
        <v>0</v>
      </c>
      <c r="CW269" s="399"/>
      <c r="CX269" s="399"/>
      <c r="CY269" s="399"/>
      <c r="CZ269" s="399">
        <v>0</v>
      </c>
      <c r="DA269" s="399">
        <v>0</v>
      </c>
      <c r="DB269" s="399">
        <v>0</v>
      </c>
      <c r="DC269" s="399"/>
      <c r="DD269" s="399"/>
      <c r="DE269" s="399">
        <v>0</v>
      </c>
      <c r="DF269" s="399">
        <v>0</v>
      </c>
      <c r="DG269" s="399">
        <v>0</v>
      </c>
      <c r="DH269" s="399">
        <v>0</v>
      </c>
      <c r="DI269" s="399">
        <v>0</v>
      </c>
      <c r="DJ269" s="399"/>
      <c r="DK269" s="399">
        <v>0</v>
      </c>
      <c r="DL269" s="399">
        <v>0</v>
      </c>
      <c r="DM269" s="399"/>
      <c r="DN269" s="399">
        <v>0</v>
      </c>
      <c r="DO269" s="399">
        <v>0</v>
      </c>
      <c r="DP269" s="399">
        <v>0</v>
      </c>
      <c r="DQ269" s="399">
        <v>0</v>
      </c>
      <c r="DR269" s="399">
        <v>0</v>
      </c>
      <c r="DS269" s="399"/>
      <c r="DT269" s="399"/>
      <c r="DU269" s="399">
        <v>1266.7170168447294</v>
      </c>
      <c r="DV269" s="399"/>
      <c r="DW269" s="399">
        <v>0</v>
      </c>
      <c r="DX269" s="399">
        <v>0</v>
      </c>
      <c r="DY269" s="399">
        <v>-355.99000000000024</v>
      </c>
      <c r="DZ269" s="399"/>
      <c r="EA269" s="399">
        <v>0</v>
      </c>
      <c r="EB269" s="399"/>
      <c r="EC269" s="399">
        <v>-391.670073211523</v>
      </c>
      <c r="ED269" s="399"/>
      <c r="EE269" s="399">
        <v>0</v>
      </c>
      <c r="EF269" s="399">
        <v>0</v>
      </c>
      <c r="EG269" s="399"/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/>
      <c r="EN269" s="399"/>
      <c r="EO269" s="399">
        <v>0</v>
      </c>
      <c r="EP269" s="399">
        <v>0</v>
      </c>
      <c r="EQ269" s="399"/>
      <c r="ER269" s="399">
        <v>0</v>
      </c>
      <c r="ES269" s="399"/>
      <c r="ET269" s="399">
        <v>0</v>
      </c>
      <c r="EU269" s="399"/>
      <c r="EV269" s="399">
        <v>230</v>
      </c>
      <c r="EW269" s="399"/>
      <c r="EX269" s="399"/>
      <c r="EY269" s="399"/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268</v>
      </c>
      <c r="B270" s="399" t="s">
        <v>956</v>
      </c>
      <c r="C270" s="399" t="s">
        <v>2328</v>
      </c>
      <c r="D270" s="399" t="s">
        <v>2340</v>
      </c>
      <c r="E270" s="399" t="s">
        <v>894</v>
      </c>
      <c r="F270" s="399" t="s">
        <v>2347</v>
      </c>
      <c r="G270" s="399" t="s">
        <v>2348</v>
      </c>
      <c r="H270" s="399" t="s">
        <v>1239</v>
      </c>
      <c r="I270" s="399" t="s">
        <v>1239</v>
      </c>
      <c r="J270" s="399" t="s">
        <v>2329</v>
      </c>
      <c r="K270" s="789">
        <v>44593</v>
      </c>
      <c r="L270" s="399">
        <v>0</v>
      </c>
      <c r="M270" s="399">
        <v>0</v>
      </c>
      <c r="N270" s="399">
        <v>0</v>
      </c>
      <c r="O270" s="399">
        <v>0</v>
      </c>
      <c r="P270" s="399">
        <v>0</v>
      </c>
      <c r="Q270" s="399">
        <v>0</v>
      </c>
      <c r="R270" s="399"/>
      <c r="S270" s="399"/>
      <c r="T270" s="399"/>
      <c r="U270" s="399"/>
      <c r="V270" s="399"/>
      <c r="W270" s="399"/>
      <c r="X270" s="399"/>
      <c r="Y270" s="399"/>
      <c r="Z270" s="399"/>
      <c r="AA270" s="399">
        <v>0</v>
      </c>
      <c r="AB270" s="399"/>
      <c r="AC270" s="399"/>
      <c r="AD270" s="399"/>
      <c r="AE270" s="399"/>
      <c r="AF270" s="399"/>
      <c r="AG270" s="399"/>
      <c r="AH270" s="399"/>
      <c r="AI270" s="399"/>
      <c r="AJ270" s="399"/>
      <c r="AK270" s="399"/>
      <c r="AL270" s="399"/>
      <c r="AM270" s="399"/>
      <c r="AN270" s="399"/>
      <c r="AO270" s="399"/>
      <c r="AP270" s="399"/>
      <c r="AQ270" s="399"/>
      <c r="AR270" s="399"/>
      <c r="AS270" s="399"/>
      <c r="AT270" s="399"/>
      <c r="AU270" s="399"/>
      <c r="AV270" s="399"/>
      <c r="AW270" s="399"/>
      <c r="AX270" s="399"/>
      <c r="AY270" s="399"/>
      <c r="AZ270" s="399">
        <v>0</v>
      </c>
      <c r="BA270" s="399"/>
      <c r="BB270" s="399"/>
      <c r="BC270" s="399"/>
      <c r="BD270" s="399"/>
      <c r="BE270" s="399"/>
      <c r="BF270" s="399"/>
      <c r="BG270" s="399"/>
      <c r="BH270" s="399"/>
      <c r="BI270" s="399">
        <v>0</v>
      </c>
      <c r="BJ270" s="399">
        <v>0</v>
      </c>
      <c r="BK270" s="399">
        <v>7815.02</v>
      </c>
      <c r="BL270" s="399">
        <v>150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/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/>
      <c r="CJ270" s="399">
        <v>-0.03</v>
      </c>
      <c r="CK270" s="399"/>
      <c r="CL270" s="399"/>
      <c r="CM270" s="399"/>
      <c r="CN270" s="399"/>
      <c r="CO270" s="399">
        <v>0</v>
      </c>
      <c r="CP270" s="399">
        <v>0</v>
      </c>
      <c r="CQ270" s="399">
        <v>29</v>
      </c>
      <c r="CR270" s="399"/>
      <c r="CS270" s="399"/>
      <c r="CT270" s="399"/>
      <c r="CU270" s="399"/>
      <c r="CV270" s="399"/>
      <c r="CW270" s="399"/>
      <c r="CX270" s="399"/>
      <c r="CY270" s="399"/>
      <c r="CZ270" s="399"/>
      <c r="DA270" s="399"/>
      <c r="DB270" s="399"/>
      <c r="DC270" s="399"/>
      <c r="DD270" s="399"/>
      <c r="DE270" s="399"/>
      <c r="DF270" s="399"/>
      <c r="DG270" s="399"/>
      <c r="DH270" s="399"/>
      <c r="DI270" s="399"/>
      <c r="DJ270" s="399"/>
      <c r="DK270" s="399">
        <v>0</v>
      </c>
      <c r="DL270" s="399"/>
      <c r="DM270" s="399"/>
      <c r="DN270" s="399"/>
      <c r="DO270" s="399"/>
      <c r="DP270" s="399"/>
      <c r="DQ270" s="399"/>
      <c r="DR270" s="399"/>
      <c r="DS270" s="399"/>
      <c r="DT270" s="399"/>
      <c r="DU270" s="399"/>
      <c r="DV270" s="399"/>
      <c r="DW270" s="399"/>
      <c r="DX270" s="399"/>
      <c r="DY270" s="399"/>
      <c r="DZ270" s="399"/>
      <c r="EA270" s="399"/>
      <c r="EB270" s="399"/>
      <c r="EC270" s="399"/>
      <c r="ED270" s="399"/>
      <c r="EE270" s="399"/>
      <c r="EF270" s="399"/>
      <c r="EG270" s="399"/>
      <c r="EH270" s="399"/>
      <c r="EI270" s="399"/>
      <c r="EJ270" s="399"/>
      <c r="EK270" s="399"/>
      <c r="EL270" s="399"/>
      <c r="EM270" s="399"/>
      <c r="EN270" s="399"/>
      <c r="EO270" s="399"/>
      <c r="EP270" s="399"/>
      <c r="EQ270" s="399"/>
      <c r="ER270" s="399"/>
      <c r="ES270" s="399"/>
      <c r="ET270" s="399"/>
      <c r="EU270" s="399"/>
      <c r="EV270" s="399">
        <v>230</v>
      </c>
      <c r="EW270" s="399"/>
      <c r="EX270" s="399"/>
      <c r="EY270" s="399"/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269</v>
      </c>
      <c r="B271" s="399" t="s">
        <v>2331</v>
      </c>
      <c r="C271" s="399" t="s">
        <v>2328</v>
      </c>
      <c r="D271" s="399" t="s">
        <v>2340</v>
      </c>
      <c r="E271" s="399" t="s">
        <v>894</v>
      </c>
      <c r="F271" s="399" t="s">
        <v>2347</v>
      </c>
      <c r="G271" s="399" t="s">
        <v>2348</v>
      </c>
      <c r="H271" s="399" t="s">
        <v>1239</v>
      </c>
      <c r="I271" s="399" t="s">
        <v>1239</v>
      </c>
      <c r="J271" s="399" t="s">
        <v>2329</v>
      </c>
      <c r="K271" s="789">
        <v>44593</v>
      </c>
      <c r="L271" s="399">
        <v>0</v>
      </c>
      <c r="M271" s="399">
        <v>0</v>
      </c>
      <c r="N271" s="399">
        <v>0</v>
      </c>
      <c r="O271" s="399">
        <v>0</v>
      </c>
      <c r="P271" s="399">
        <v>0</v>
      </c>
      <c r="Q271" s="399">
        <v>0</v>
      </c>
      <c r="R271" s="399"/>
      <c r="S271" s="399"/>
      <c r="T271" s="399"/>
      <c r="U271" s="399"/>
      <c r="V271" s="399"/>
      <c r="W271" s="399"/>
      <c r="X271" s="399"/>
      <c r="Y271" s="399"/>
      <c r="Z271" s="399"/>
      <c r="AA271" s="399">
        <v>0</v>
      </c>
      <c r="AB271" s="399"/>
      <c r="AC271" s="399"/>
      <c r="AD271" s="399"/>
      <c r="AE271" s="399"/>
      <c r="AF271" s="399"/>
      <c r="AG271" s="399"/>
      <c r="AH271" s="399"/>
      <c r="AI271" s="399"/>
      <c r="AJ271" s="399"/>
      <c r="AK271" s="399"/>
      <c r="AL271" s="399"/>
      <c r="AM271" s="399"/>
      <c r="AN271" s="399"/>
      <c r="AO271" s="399"/>
      <c r="AP271" s="399"/>
      <c r="AQ271" s="399"/>
      <c r="AR271" s="399"/>
      <c r="AS271" s="399"/>
      <c r="AT271" s="399"/>
      <c r="AU271" s="399"/>
      <c r="AV271" s="399"/>
      <c r="AW271" s="399"/>
      <c r="AX271" s="399"/>
      <c r="AY271" s="399"/>
      <c r="AZ271" s="399">
        <v>0</v>
      </c>
      <c r="BA271" s="399"/>
      <c r="BB271" s="399"/>
      <c r="BC271" s="399"/>
      <c r="BD271" s="399"/>
      <c r="BE271" s="399"/>
      <c r="BF271" s="399"/>
      <c r="BG271" s="399"/>
      <c r="BH271" s="399"/>
      <c r="BI271" s="399">
        <v>0</v>
      </c>
      <c r="BJ271" s="399">
        <v>0</v>
      </c>
      <c r="BK271" s="399">
        <v>11.92</v>
      </c>
      <c r="BL271" s="399">
        <v>1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/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/>
      <c r="CJ271" s="399">
        <v>-0.03</v>
      </c>
      <c r="CK271" s="399"/>
      <c r="CL271" s="399"/>
      <c r="CM271" s="399"/>
      <c r="CN271" s="399"/>
      <c r="CO271" s="399">
        <v>0</v>
      </c>
      <c r="CP271" s="399">
        <v>0</v>
      </c>
      <c r="CQ271" s="399">
        <v>29</v>
      </c>
      <c r="CR271" s="399"/>
      <c r="CS271" s="399"/>
      <c r="CT271" s="399"/>
      <c r="CU271" s="399"/>
      <c r="CV271" s="399"/>
      <c r="CW271" s="399"/>
      <c r="CX271" s="399"/>
      <c r="CY271" s="399"/>
      <c r="CZ271" s="399"/>
      <c r="DA271" s="399"/>
      <c r="DB271" s="399"/>
      <c r="DC271" s="399"/>
      <c r="DD271" s="399"/>
      <c r="DE271" s="399"/>
      <c r="DF271" s="399"/>
      <c r="DG271" s="399"/>
      <c r="DH271" s="399"/>
      <c r="DI271" s="399"/>
      <c r="DJ271" s="399"/>
      <c r="DK271" s="399">
        <v>0</v>
      </c>
      <c r="DL271" s="399"/>
      <c r="DM271" s="399"/>
      <c r="DN271" s="399"/>
      <c r="DO271" s="399"/>
      <c r="DP271" s="399"/>
      <c r="DQ271" s="399"/>
      <c r="DR271" s="399"/>
      <c r="DS271" s="399"/>
      <c r="DT271" s="399"/>
      <c r="DU271" s="399"/>
      <c r="DV271" s="399"/>
      <c r="DW271" s="399"/>
      <c r="DX271" s="399"/>
      <c r="DY271" s="399"/>
      <c r="DZ271" s="399"/>
      <c r="EA271" s="399"/>
      <c r="EB271" s="399"/>
      <c r="EC271" s="399"/>
      <c r="ED271" s="399"/>
      <c r="EE271" s="399"/>
      <c r="EF271" s="399"/>
      <c r="EG271" s="399"/>
      <c r="EH271" s="399"/>
      <c r="EI271" s="399"/>
      <c r="EJ271" s="399"/>
      <c r="EK271" s="399"/>
      <c r="EL271" s="399"/>
      <c r="EM271" s="399"/>
      <c r="EN271" s="399"/>
      <c r="EO271" s="399"/>
      <c r="EP271" s="399"/>
      <c r="EQ271" s="399"/>
      <c r="ER271" s="399"/>
      <c r="ES271" s="399"/>
      <c r="ET271" s="399"/>
      <c r="EU271" s="399"/>
      <c r="EV271" s="399">
        <v>230</v>
      </c>
      <c r="EW271" s="399"/>
      <c r="EX271" s="399"/>
      <c r="EY271" s="399"/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270</v>
      </c>
      <c r="B272" s="399" t="s">
        <v>956</v>
      </c>
      <c r="C272" s="399" t="s">
        <v>2328</v>
      </c>
      <c r="D272" s="399" t="s">
        <v>2340</v>
      </c>
      <c r="E272" s="399" t="s">
        <v>894</v>
      </c>
      <c r="F272" s="399" t="s">
        <v>2347</v>
      </c>
      <c r="G272" s="399" t="s">
        <v>2348</v>
      </c>
      <c r="H272" s="399" t="s">
        <v>1239</v>
      </c>
      <c r="I272" s="399" t="s">
        <v>1239</v>
      </c>
      <c r="J272" s="399" t="s">
        <v>2329</v>
      </c>
      <c r="K272" s="789">
        <v>44593</v>
      </c>
      <c r="L272" s="399">
        <v>0</v>
      </c>
      <c r="M272" s="399">
        <v>0</v>
      </c>
      <c r="N272" s="399">
        <v>50.792999999999999</v>
      </c>
      <c r="O272" s="399">
        <v>50.792999999999999</v>
      </c>
      <c r="P272" s="399">
        <v>50.792999999999999</v>
      </c>
      <c r="Q272" s="399">
        <v>50.792999999999999</v>
      </c>
      <c r="R272" s="399"/>
      <c r="S272" s="399">
        <v>333.61</v>
      </c>
      <c r="T272" s="399">
        <v>128.11000000000001</v>
      </c>
      <c r="U272" s="399"/>
      <c r="V272" s="399">
        <v>23452.143960000001</v>
      </c>
      <c r="W272" s="399">
        <v>23452.143960000001</v>
      </c>
      <c r="X272" s="399">
        <v>20471.102789999997</v>
      </c>
      <c r="Y272" s="399">
        <v>0</v>
      </c>
      <c r="Z272" s="399">
        <v>3109.3468504246566</v>
      </c>
      <c r="AA272" s="399">
        <v>0</v>
      </c>
      <c r="AB272" s="399">
        <v>0</v>
      </c>
      <c r="AC272" s="399">
        <v>0</v>
      </c>
      <c r="AD272" s="399">
        <v>0</v>
      </c>
      <c r="AE272" s="399">
        <v>9879.0453984396572</v>
      </c>
      <c r="AF272" s="399">
        <v>6507.1443810743194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480.18942403520771</v>
      </c>
      <c r="AM272" s="399"/>
      <c r="AN272" s="399">
        <v>43.701682922885283</v>
      </c>
      <c r="AO272" s="399">
        <v>176.5574924143869</v>
      </c>
      <c r="AP272" s="399">
        <v>941.83608910496559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689.17825992204962</v>
      </c>
      <c r="BH272" s="399">
        <v>0</v>
      </c>
      <c r="BI272" s="399">
        <v>0</v>
      </c>
      <c r="BJ272" s="399">
        <v>0</v>
      </c>
      <c r="BK272" s="399">
        <v>0</v>
      </c>
      <c r="BL272" s="399">
        <v>0</v>
      </c>
      <c r="BM272" s="399"/>
      <c r="BN272" s="399"/>
      <c r="BO272" s="399"/>
      <c r="BP272" s="399"/>
      <c r="BQ272" s="399"/>
      <c r="BR272" s="399">
        <v>2456.8574099999996</v>
      </c>
      <c r="BS272" s="399"/>
      <c r="BT272" s="399"/>
      <c r="BU272" s="399"/>
      <c r="BV272" s="399">
        <v>7196.322640996369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18013.181400000001</v>
      </c>
      <c r="CJ272" s="399">
        <v>-2625.0603599999959</v>
      </c>
      <c r="CK272" s="399"/>
      <c r="CL272" s="399"/>
      <c r="CM272" s="399"/>
      <c r="CN272" s="399"/>
      <c r="CO272" s="399">
        <v>-3278.6881500000004</v>
      </c>
      <c r="CP272" s="399">
        <v>297.64697999999925</v>
      </c>
      <c r="CQ272" s="399">
        <v>29</v>
      </c>
      <c r="CR272" s="399">
        <v>73.198650456728501</v>
      </c>
      <c r="CS272" s="399">
        <v>12.88795719494999</v>
      </c>
      <c r="CT272" s="399">
        <v>68.750088342642471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0</v>
      </c>
      <c r="DA272" s="399">
        <v>0</v>
      </c>
      <c r="DB272" s="399">
        <v>0</v>
      </c>
      <c r="DC272" s="399">
        <v>297.6182442434847</v>
      </c>
      <c r="DD272" s="399">
        <v>0</v>
      </c>
      <c r="DE272" s="399">
        <v>0</v>
      </c>
      <c r="DF272" s="399">
        <v>0</v>
      </c>
      <c r="DG272" s="399">
        <v>31.521050045438983</v>
      </c>
      <c r="DH272" s="399">
        <v>0</v>
      </c>
      <c r="DI272" s="399">
        <v>-294.11679551017414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-38.34148367987126</v>
      </c>
      <c r="DP272" s="399">
        <v>-5.1204101797421657</v>
      </c>
      <c r="DQ272" s="399">
        <v>0</v>
      </c>
      <c r="DR272" s="399">
        <v>0</v>
      </c>
      <c r="DS272" s="399"/>
      <c r="DT272" s="399"/>
      <c r="DU272" s="399"/>
      <c r="DV272" s="399">
        <v>9879.0453984396572</v>
      </c>
      <c r="DW272" s="399">
        <v>0</v>
      </c>
      <c r="DX272" s="399">
        <v>0</v>
      </c>
      <c r="DY272" s="399">
        <v>-3278.68815</v>
      </c>
      <c r="DZ272" s="399">
        <v>297.64697999999862</v>
      </c>
      <c r="EA272" s="399">
        <v>0</v>
      </c>
      <c r="EB272" s="399">
        <v>0</v>
      </c>
      <c r="EC272" s="399">
        <v>-3054.6099744558078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1625.3005646611257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230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271</v>
      </c>
      <c r="B273" s="399" t="s">
        <v>2331</v>
      </c>
      <c r="C273" s="399" t="s">
        <v>2328</v>
      </c>
      <c r="D273" s="399" t="s">
        <v>2340</v>
      </c>
      <c r="E273" s="399" t="s">
        <v>894</v>
      </c>
      <c r="F273" s="399" t="s">
        <v>2347</v>
      </c>
      <c r="G273" s="399" t="s">
        <v>2348</v>
      </c>
      <c r="H273" s="399" t="s">
        <v>1239</v>
      </c>
      <c r="I273" s="399" t="s">
        <v>1239</v>
      </c>
      <c r="J273" s="399" t="s">
        <v>2329</v>
      </c>
      <c r="K273" s="789">
        <v>44593</v>
      </c>
      <c r="L273" s="399">
        <v>0</v>
      </c>
      <c r="M273" s="399">
        <v>0</v>
      </c>
      <c r="N273" s="399">
        <v>0.1</v>
      </c>
      <c r="O273" s="399">
        <v>0.1</v>
      </c>
      <c r="P273" s="399">
        <v>0.1</v>
      </c>
      <c r="Q273" s="399">
        <v>0.1</v>
      </c>
      <c r="R273" s="399"/>
      <c r="S273" s="399">
        <v>333.61</v>
      </c>
      <c r="T273" s="399">
        <v>128.11000000000001</v>
      </c>
      <c r="U273" s="399"/>
      <c r="V273" s="399">
        <v>46.172000000000004</v>
      </c>
      <c r="W273" s="399">
        <v>46.172000000000004</v>
      </c>
      <c r="X273" s="399">
        <v>40.303000000000004</v>
      </c>
      <c r="Y273" s="399">
        <v>0</v>
      </c>
      <c r="Z273" s="399">
        <v>6.12160504483818</v>
      </c>
      <c r="AA273" s="399">
        <v>0</v>
      </c>
      <c r="AB273" s="399">
        <v>0</v>
      </c>
      <c r="AC273" s="399">
        <v>0</v>
      </c>
      <c r="AD273" s="399">
        <v>0</v>
      </c>
      <c r="AE273" s="399">
        <v>19.449619826432102</v>
      </c>
      <c r="AF273" s="399">
        <v>12.8111046425183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0.9453850413151571</v>
      </c>
      <c r="AM273" s="399"/>
      <c r="AN273" s="399">
        <v>8.603879062643531E-2</v>
      </c>
      <c r="AO273" s="399">
        <v>0.34760201684166503</v>
      </c>
      <c r="AP273" s="399">
        <v>1.8542635581772402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1.3568370836966701</v>
      </c>
      <c r="BH273" s="399">
        <v>0</v>
      </c>
      <c r="BI273" s="399">
        <v>0</v>
      </c>
      <c r="BJ273" s="399">
        <v>0</v>
      </c>
      <c r="BK273" s="399">
        <v>0</v>
      </c>
      <c r="BL273" s="399">
        <v>0</v>
      </c>
      <c r="BM273" s="399"/>
      <c r="BN273" s="399"/>
      <c r="BO273" s="399"/>
      <c r="BP273" s="399"/>
      <c r="BQ273" s="399"/>
      <c r="BR273" s="399">
        <v>4.8369999999999989</v>
      </c>
      <c r="BS273" s="399"/>
      <c r="BT273" s="399"/>
      <c r="BU273" s="399"/>
      <c r="BV273" s="399">
        <v>14.16794172621497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35.466000000000008</v>
      </c>
      <c r="CJ273" s="399">
        <v>-5.1959999999999908</v>
      </c>
      <c r="CK273" s="399"/>
      <c r="CL273" s="399"/>
      <c r="CM273" s="399"/>
      <c r="CN273" s="399"/>
      <c r="CO273" s="399">
        <v>-6.4550000000000018</v>
      </c>
      <c r="CP273" s="399">
        <v>0.58599999999999852</v>
      </c>
      <c r="CQ273" s="399">
        <v>29</v>
      </c>
      <c r="CR273" s="399">
        <v>0.14411168951771458</v>
      </c>
      <c r="CS273" s="399">
        <v>2.5373490825408962E-2</v>
      </c>
      <c r="CT273" s="399">
        <v>0.13535347064092007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0</v>
      </c>
      <c r="DA273" s="399">
        <v>0</v>
      </c>
      <c r="DB273" s="399">
        <v>0</v>
      </c>
      <c r="DC273" s="399">
        <v>0.5859434257545022</v>
      </c>
      <c r="DD273" s="399">
        <v>0</v>
      </c>
      <c r="DE273" s="399">
        <v>0</v>
      </c>
      <c r="DF273" s="399">
        <v>0</v>
      </c>
      <c r="DG273" s="399">
        <v>6.2057862393320118E-2</v>
      </c>
      <c r="DH273" s="399">
        <v>0</v>
      </c>
      <c r="DI273" s="399">
        <v>-0.57904986023698957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-7.5485763156087016E-2</v>
      </c>
      <c r="DP273" s="399">
        <v>-1.0080936703368903E-2</v>
      </c>
      <c r="DQ273" s="399">
        <v>0</v>
      </c>
      <c r="DR273" s="399">
        <v>0</v>
      </c>
      <c r="DS273" s="399"/>
      <c r="DT273" s="399"/>
      <c r="DU273" s="399"/>
      <c r="DV273" s="399">
        <v>19.449619826432102</v>
      </c>
      <c r="DW273" s="399">
        <v>0</v>
      </c>
      <c r="DX273" s="399">
        <v>0</v>
      </c>
      <c r="DY273" s="399">
        <v>-6.4550000000000018</v>
      </c>
      <c r="DZ273" s="399">
        <v>0.58599999999999852</v>
      </c>
      <c r="EA273" s="399">
        <v>0</v>
      </c>
      <c r="EB273" s="399">
        <v>0</v>
      </c>
      <c r="EC273" s="399">
        <v>-6.0138404395405018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3.19985148477374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230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272</v>
      </c>
      <c r="B274" s="399" t="s">
        <v>956</v>
      </c>
      <c r="C274" s="399" t="s">
        <v>2328</v>
      </c>
      <c r="D274" s="399" t="s">
        <v>2340</v>
      </c>
      <c r="E274" s="399" t="s">
        <v>894</v>
      </c>
      <c r="F274" s="399" t="s">
        <v>2347</v>
      </c>
      <c r="G274" s="399" t="s">
        <v>2349</v>
      </c>
      <c r="H274" s="399" t="s">
        <v>1239</v>
      </c>
      <c r="I274" s="399" t="s">
        <v>1239</v>
      </c>
      <c r="J274" s="399" t="s">
        <v>2329</v>
      </c>
      <c r="K274" s="789">
        <v>44593</v>
      </c>
      <c r="L274" s="399">
        <v>0</v>
      </c>
      <c r="M274" s="399">
        <v>0</v>
      </c>
      <c r="N274" s="399">
        <v>41.22</v>
      </c>
      <c r="O274" s="399">
        <v>16.488</v>
      </c>
      <c r="P274" s="399">
        <v>41.22</v>
      </c>
      <c r="Q274" s="399">
        <v>16.488</v>
      </c>
      <c r="R274" s="399"/>
      <c r="S274" s="399">
        <v>333.61</v>
      </c>
      <c r="T274" s="399">
        <v>128.11000000000001</v>
      </c>
      <c r="U274" s="399"/>
      <c r="V274" s="399">
        <v>19032.098400000003</v>
      </c>
      <c r="W274" s="399">
        <v>19032.098400000003</v>
      </c>
      <c r="X274" s="399">
        <v>16612.8966</v>
      </c>
      <c r="Y274" s="399">
        <v>0</v>
      </c>
      <c r="Z274" s="399">
        <v>2523.3255994822975</v>
      </c>
      <c r="AA274" s="399">
        <v>0</v>
      </c>
      <c r="AB274" s="399">
        <v>0</v>
      </c>
      <c r="AC274" s="399">
        <v>0</v>
      </c>
      <c r="AD274" s="399">
        <v>0</v>
      </c>
      <c r="AE274" s="399">
        <v>8017.1332924553117</v>
      </c>
      <c r="AF274" s="399">
        <v>5280.7373336460423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389.68771403010771</v>
      </c>
      <c r="AM274" s="399"/>
      <c r="AN274" s="399">
        <v>35.465189496216631</v>
      </c>
      <c r="AO274" s="399">
        <v>143.28155134213432</v>
      </c>
      <c r="AP274" s="399">
        <v>764.32743868065836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559.28824589976739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/>
      <c r="BS274" s="399">
        <v>10765.26252</v>
      </c>
      <c r="BT274" s="399"/>
      <c r="BU274" s="399"/>
      <c r="BV274" s="399">
        <v>5840.0255795458097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5848.3433999999997</v>
      </c>
      <c r="CJ274" s="399">
        <v>-851.09076000000005</v>
      </c>
      <c r="CK274" s="399"/>
      <c r="CL274" s="399"/>
      <c r="CM274" s="399"/>
      <c r="CN274" s="399"/>
      <c r="CO274" s="399">
        <v>-2660.7510000000002</v>
      </c>
      <c r="CP274" s="399">
        <v>241.54919999999939</v>
      </c>
      <c r="CQ274" s="399">
        <v>29</v>
      </c>
      <c r="CR274" s="399">
        <v>59.402838419196996</v>
      </c>
      <c r="CS274" s="399">
        <v>10.458952918233564</v>
      </c>
      <c r="CT274" s="399">
        <v>55.792700598187253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0</v>
      </c>
      <c r="DA274" s="399">
        <v>0</v>
      </c>
      <c r="DB274" s="399">
        <v>0</v>
      </c>
      <c r="DC274" s="399">
        <v>241.5258800960064</v>
      </c>
      <c r="DD274" s="399">
        <v>0</v>
      </c>
      <c r="DE274" s="399">
        <v>0</v>
      </c>
      <c r="DF274" s="399">
        <v>0</v>
      </c>
      <c r="DG274" s="399">
        <v>25.580250878526499</v>
      </c>
      <c r="DH274" s="399">
        <v>0</v>
      </c>
      <c r="DI274" s="399">
        <v>-238.68435238968732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-31.115231572939081</v>
      </c>
      <c r="DP274" s="399">
        <v>-4.1553621091286637</v>
      </c>
      <c r="DQ274" s="399">
        <v>0</v>
      </c>
      <c r="DR274" s="399">
        <v>0</v>
      </c>
      <c r="DS274" s="399"/>
      <c r="DT274" s="399"/>
      <c r="DU274" s="399"/>
      <c r="DV274" s="399">
        <v>8017.1332924553117</v>
      </c>
      <c r="DW274" s="399">
        <v>0</v>
      </c>
      <c r="DX274" s="399">
        <v>0</v>
      </c>
      <c r="DY274" s="399">
        <v>-2660.7510000000002</v>
      </c>
      <c r="DZ274" s="399">
        <v>241.54919999999856</v>
      </c>
      <c r="EA274" s="399">
        <v>0</v>
      </c>
      <c r="EB274" s="399">
        <v>0</v>
      </c>
      <c r="EC274" s="399">
        <v>-2478.9050291785943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1318.9787820237357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230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273</v>
      </c>
      <c r="B275" s="399" t="s">
        <v>956</v>
      </c>
      <c r="C275" s="399" t="s">
        <v>2328</v>
      </c>
      <c r="D275" s="399" t="s">
        <v>2340</v>
      </c>
      <c r="E275" s="399" t="s">
        <v>894</v>
      </c>
      <c r="F275" s="399" t="s">
        <v>2350</v>
      </c>
      <c r="G275" s="399" t="s">
        <v>2348</v>
      </c>
      <c r="H275" s="399" t="s">
        <v>1239</v>
      </c>
      <c r="I275" s="399" t="s">
        <v>1239</v>
      </c>
      <c r="J275" s="399" t="s">
        <v>2329</v>
      </c>
      <c r="K275" s="789">
        <v>44593</v>
      </c>
      <c r="L275" s="399">
        <v>0</v>
      </c>
      <c r="M275" s="399">
        <v>0</v>
      </c>
      <c r="N275" s="399">
        <v>0</v>
      </c>
      <c r="O275" s="399">
        <v>0</v>
      </c>
      <c r="P275" s="399">
        <v>0</v>
      </c>
      <c r="Q275" s="399">
        <v>0</v>
      </c>
      <c r="R275" s="399"/>
      <c r="S275" s="399"/>
      <c r="T275" s="399"/>
      <c r="U275" s="399"/>
      <c r="V275" s="399"/>
      <c r="W275" s="399"/>
      <c r="X275" s="399"/>
      <c r="Y275" s="399"/>
      <c r="Z275" s="399"/>
      <c r="AA275" s="399">
        <v>0</v>
      </c>
      <c r="AB275" s="399"/>
      <c r="AC275" s="399"/>
      <c r="AD275" s="399"/>
      <c r="AE275" s="399"/>
      <c r="AF275" s="399"/>
      <c r="AG275" s="399"/>
      <c r="AH275" s="399"/>
      <c r="AI275" s="399"/>
      <c r="AJ275" s="399"/>
      <c r="AK275" s="399"/>
      <c r="AL275" s="399"/>
      <c r="AM275" s="399"/>
      <c r="AN275" s="399"/>
      <c r="AO275" s="399"/>
      <c r="AP275" s="399"/>
      <c r="AQ275" s="399"/>
      <c r="AR275" s="399"/>
      <c r="AS275" s="399"/>
      <c r="AT275" s="399"/>
      <c r="AU275" s="399"/>
      <c r="AV275" s="399"/>
      <c r="AW275" s="399"/>
      <c r="AX275" s="399"/>
      <c r="AY275" s="399"/>
      <c r="AZ275" s="399">
        <v>0</v>
      </c>
      <c r="BA275" s="399"/>
      <c r="BB275" s="399"/>
      <c r="BC275" s="399"/>
      <c r="BD275" s="399"/>
      <c r="BE275" s="399"/>
      <c r="BF275" s="399"/>
      <c r="BG275" s="399"/>
      <c r="BH275" s="399"/>
      <c r="BI275" s="399">
        <v>0</v>
      </c>
      <c r="BJ275" s="399">
        <v>0</v>
      </c>
      <c r="BK275" s="399">
        <v>292.77999999999997</v>
      </c>
      <c r="BL275" s="399">
        <v>1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/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/>
      <c r="CJ275" s="399">
        <v>-0.03</v>
      </c>
      <c r="CK275" s="399"/>
      <c r="CL275" s="399"/>
      <c r="CM275" s="399"/>
      <c r="CN275" s="399"/>
      <c r="CO275" s="399">
        <v>0</v>
      </c>
      <c r="CP275" s="399">
        <v>0</v>
      </c>
      <c r="CQ275" s="399">
        <v>29</v>
      </c>
      <c r="CR275" s="399"/>
      <c r="CS275" s="399"/>
      <c r="CT275" s="399"/>
      <c r="CU275" s="399"/>
      <c r="CV275" s="399"/>
      <c r="CW275" s="399"/>
      <c r="CX275" s="399"/>
      <c r="CY275" s="399"/>
      <c r="CZ275" s="399"/>
      <c r="DA275" s="399"/>
      <c r="DB275" s="399"/>
      <c r="DC275" s="399"/>
      <c r="DD275" s="399"/>
      <c r="DE275" s="399"/>
      <c r="DF275" s="399"/>
      <c r="DG275" s="399"/>
      <c r="DH275" s="399"/>
      <c r="DI275" s="399"/>
      <c r="DJ275" s="399"/>
      <c r="DK275" s="399">
        <v>0</v>
      </c>
      <c r="DL275" s="399"/>
      <c r="DM275" s="399"/>
      <c r="DN275" s="399"/>
      <c r="DO275" s="399"/>
      <c r="DP275" s="399"/>
      <c r="DQ275" s="399"/>
      <c r="DR275" s="399"/>
      <c r="DS275" s="399"/>
      <c r="DT275" s="399"/>
      <c r="DU275" s="399"/>
      <c r="DV275" s="399"/>
      <c r="DW275" s="399"/>
      <c r="DX275" s="399"/>
      <c r="DY275" s="399"/>
      <c r="DZ275" s="399"/>
      <c r="EA275" s="399"/>
      <c r="EB275" s="399"/>
      <c r="EC275" s="399"/>
      <c r="ED275" s="399"/>
      <c r="EE275" s="399"/>
      <c r="EF275" s="399"/>
      <c r="EG275" s="399"/>
      <c r="EH275" s="399"/>
      <c r="EI275" s="399"/>
      <c r="EJ275" s="399"/>
      <c r="EK275" s="399"/>
      <c r="EL275" s="399"/>
      <c r="EM275" s="399"/>
      <c r="EN275" s="399"/>
      <c r="EO275" s="399"/>
      <c r="EP275" s="399"/>
      <c r="EQ275" s="399"/>
      <c r="ER275" s="399"/>
      <c r="ES275" s="399"/>
      <c r="ET275" s="399"/>
      <c r="EU275" s="399"/>
      <c r="EV275" s="399">
        <v>230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274</v>
      </c>
      <c r="B276" s="399" t="s">
        <v>956</v>
      </c>
      <c r="C276" s="399" t="s">
        <v>2328</v>
      </c>
      <c r="D276" s="399" t="s">
        <v>2340</v>
      </c>
      <c r="E276" s="399" t="s">
        <v>894</v>
      </c>
      <c r="F276" s="399" t="s">
        <v>2350</v>
      </c>
      <c r="G276" s="399" t="s">
        <v>2348</v>
      </c>
      <c r="H276" s="399" t="s">
        <v>1239</v>
      </c>
      <c r="I276" s="399" t="s">
        <v>1239</v>
      </c>
      <c r="J276" s="399" t="s">
        <v>2329</v>
      </c>
      <c r="K276" s="789">
        <v>44593</v>
      </c>
      <c r="L276" s="399">
        <v>0</v>
      </c>
      <c r="M276" s="399">
        <v>0</v>
      </c>
      <c r="N276" s="399">
        <v>1.0489999999999999</v>
      </c>
      <c r="O276" s="399">
        <v>1.0489999999999999</v>
      </c>
      <c r="P276" s="399">
        <v>1.0489999999999999</v>
      </c>
      <c r="Q276" s="399">
        <v>1.0489999999999999</v>
      </c>
      <c r="R276" s="399"/>
      <c r="S276" s="399">
        <v>333.61</v>
      </c>
      <c r="T276" s="399">
        <v>128.11000000000001</v>
      </c>
      <c r="U276" s="399"/>
      <c r="V276" s="399">
        <v>484.34428000000003</v>
      </c>
      <c r="W276" s="399">
        <v>484.34428000000003</v>
      </c>
      <c r="X276" s="399">
        <v>422.77846999999997</v>
      </c>
      <c r="Y276" s="399">
        <v>0</v>
      </c>
      <c r="Z276" s="399">
        <v>64.215636920352509</v>
      </c>
      <c r="AA276" s="399">
        <v>0</v>
      </c>
      <c r="AB276" s="399">
        <v>0</v>
      </c>
      <c r="AC276" s="399">
        <v>0</v>
      </c>
      <c r="AD276" s="399">
        <v>0</v>
      </c>
      <c r="AE276" s="399">
        <v>204.02651197927273</v>
      </c>
      <c r="AF276" s="399">
        <v>134.38848770001695</v>
      </c>
      <c r="AG276" s="399">
        <v>0</v>
      </c>
      <c r="AH276" s="399">
        <v>0</v>
      </c>
      <c r="AI276" s="399">
        <v>0</v>
      </c>
      <c r="AJ276" s="399">
        <v>0</v>
      </c>
      <c r="AK276" s="399">
        <v>0</v>
      </c>
      <c r="AL276" s="399">
        <v>9.9170890833959966</v>
      </c>
      <c r="AM276" s="399"/>
      <c r="AN276" s="399">
        <v>0.90254691367130624</v>
      </c>
      <c r="AO276" s="399">
        <v>3.6463451566690659</v>
      </c>
      <c r="AP276" s="399">
        <v>19.451224725279246</v>
      </c>
      <c r="AQ276" s="399">
        <v>0</v>
      </c>
      <c r="AR276" s="399">
        <v>0</v>
      </c>
      <c r="AS276" s="399">
        <v>0</v>
      </c>
      <c r="AT276" s="399">
        <v>0</v>
      </c>
      <c r="AU276" s="399">
        <v>0</v>
      </c>
      <c r="AV276" s="399">
        <v>0</v>
      </c>
      <c r="AW276" s="399">
        <v>0</v>
      </c>
      <c r="AX276" s="399">
        <v>0</v>
      </c>
      <c r="AY276" s="399">
        <v>0</v>
      </c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>
        <v>0</v>
      </c>
      <c r="BG276" s="399">
        <v>14.233221007978068</v>
      </c>
      <c r="BH276" s="399">
        <v>0</v>
      </c>
      <c r="BI276" s="399">
        <v>0</v>
      </c>
      <c r="BJ276" s="399">
        <v>0</v>
      </c>
      <c r="BK276" s="399">
        <v>0</v>
      </c>
      <c r="BL276" s="399">
        <v>0</v>
      </c>
      <c r="BM276" s="399"/>
      <c r="BN276" s="399"/>
      <c r="BO276" s="399"/>
      <c r="BP276" s="399"/>
      <c r="BQ276" s="399"/>
      <c r="BR276" s="399">
        <v>50.740129999999986</v>
      </c>
      <c r="BS276" s="399"/>
      <c r="BT276" s="399"/>
      <c r="BU276" s="399"/>
      <c r="BV276" s="399">
        <v>148.62170870799503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372.39300000000003</v>
      </c>
      <c r="CJ276" s="399">
        <v>-53.86667999999986</v>
      </c>
      <c r="CK276" s="399"/>
      <c r="CL276" s="399"/>
      <c r="CM276" s="399"/>
      <c r="CN276" s="399"/>
      <c r="CO276" s="399">
        <v>-67.712950000000006</v>
      </c>
      <c r="CP276" s="399">
        <v>6.1471399999999843</v>
      </c>
      <c r="CQ276" s="399">
        <v>29</v>
      </c>
      <c r="CR276" s="399">
        <v>1.5117316230407027</v>
      </c>
      <c r="CS276" s="399">
        <v>0.26616791875854018</v>
      </c>
      <c r="CT276" s="399">
        <v>1.4198579070232533</v>
      </c>
      <c r="CU276" s="399">
        <v>0</v>
      </c>
      <c r="CV276" s="399">
        <v>0</v>
      </c>
      <c r="CW276" s="399">
        <v>0</v>
      </c>
      <c r="CX276" s="399">
        <v>0</v>
      </c>
      <c r="CY276" s="399">
        <v>0</v>
      </c>
      <c r="CZ276" s="399">
        <v>0</v>
      </c>
      <c r="DA276" s="399">
        <v>0</v>
      </c>
      <c r="DB276" s="399">
        <v>0</v>
      </c>
      <c r="DC276" s="399">
        <v>6.1465465361647205</v>
      </c>
      <c r="DD276" s="399">
        <v>0</v>
      </c>
      <c r="DE276" s="399">
        <v>0</v>
      </c>
      <c r="DF276" s="399">
        <v>0</v>
      </c>
      <c r="DG276" s="399">
        <v>0.65098697650592641</v>
      </c>
      <c r="DH276" s="399">
        <v>0</v>
      </c>
      <c r="DI276" s="399">
        <v>-6.0742330338860313</v>
      </c>
      <c r="DJ276" s="399"/>
      <c r="DK276" s="399">
        <v>0</v>
      </c>
      <c r="DL276" s="399">
        <v>0</v>
      </c>
      <c r="DM276" s="399">
        <v>0</v>
      </c>
      <c r="DN276" s="399">
        <v>0</v>
      </c>
      <c r="DO276" s="399">
        <v>-0.79184565550735186</v>
      </c>
      <c r="DP276" s="399">
        <v>-0.1057490260183398</v>
      </c>
      <c r="DQ276" s="399">
        <v>0</v>
      </c>
      <c r="DR276" s="399">
        <v>0</v>
      </c>
      <c r="DS276" s="399"/>
      <c r="DT276" s="399"/>
      <c r="DU276" s="399"/>
      <c r="DV276" s="399">
        <v>204.02651197927273</v>
      </c>
      <c r="DW276" s="399">
        <v>0</v>
      </c>
      <c r="DX276" s="399">
        <v>0</v>
      </c>
      <c r="DY276" s="399">
        <v>-67.712949999999978</v>
      </c>
      <c r="DZ276" s="399">
        <v>6.147139999999979</v>
      </c>
      <c r="EA276" s="399">
        <v>0</v>
      </c>
      <c r="EB276" s="399">
        <v>0</v>
      </c>
      <c r="EC276" s="399">
        <v>-63.085186210779852</v>
      </c>
      <c r="ED276" s="399">
        <v>0</v>
      </c>
      <c r="EE276" s="399">
        <v>0</v>
      </c>
      <c r="EF276" s="399">
        <v>0</v>
      </c>
      <c r="EG276" s="399">
        <v>0</v>
      </c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>
        <v>0</v>
      </c>
      <c r="EN276" s="399">
        <v>0</v>
      </c>
      <c r="EO276" s="399">
        <v>0</v>
      </c>
      <c r="EP276" s="399">
        <v>33.566442075276534</v>
      </c>
      <c r="EQ276" s="399">
        <v>0</v>
      </c>
      <c r="ER276" s="399">
        <v>0</v>
      </c>
      <c r="ES276" s="399">
        <v>0</v>
      </c>
      <c r="ET276" s="399">
        <v>0</v>
      </c>
      <c r="EU276" s="399">
        <v>0</v>
      </c>
      <c r="EV276" s="399">
        <v>230</v>
      </c>
      <c r="EW276" s="399">
        <v>0</v>
      </c>
      <c r="EX276" s="399">
        <v>0</v>
      </c>
      <c r="EY276" s="399">
        <v>0</v>
      </c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275</v>
      </c>
      <c r="B277" s="399" t="s">
        <v>956</v>
      </c>
      <c r="C277" s="399" t="s">
        <v>2328</v>
      </c>
      <c r="D277" s="399" t="s">
        <v>2340</v>
      </c>
      <c r="E277" s="399" t="s">
        <v>894</v>
      </c>
      <c r="F277" s="399" t="s">
        <v>2350</v>
      </c>
      <c r="G277" s="399" t="s">
        <v>2349</v>
      </c>
      <c r="H277" s="399" t="s">
        <v>1239</v>
      </c>
      <c r="I277" s="399" t="s">
        <v>1239</v>
      </c>
      <c r="J277" s="399" t="s">
        <v>2329</v>
      </c>
      <c r="K277" s="789">
        <v>44593</v>
      </c>
      <c r="L277" s="399">
        <v>0</v>
      </c>
      <c r="M277" s="399">
        <v>0</v>
      </c>
      <c r="N277" s="399">
        <v>2.4489999999999998</v>
      </c>
      <c r="O277" s="399">
        <v>0.97960000000000003</v>
      </c>
      <c r="P277" s="399">
        <v>2.4489999999999998</v>
      </c>
      <c r="Q277" s="399">
        <v>0.97960000000000003</v>
      </c>
      <c r="R277" s="399"/>
      <c r="S277" s="399">
        <v>333.61</v>
      </c>
      <c r="T277" s="399">
        <v>128.11000000000001</v>
      </c>
      <c r="U277" s="399"/>
      <c r="V277" s="399">
        <v>1130.7522800000002</v>
      </c>
      <c r="W277" s="399">
        <v>1130.7522800000002</v>
      </c>
      <c r="X277" s="399">
        <v>987.02046999999993</v>
      </c>
      <c r="Y277" s="399">
        <v>0</v>
      </c>
      <c r="Z277" s="399">
        <v>149.91810754808702</v>
      </c>
      <c r="AA277" s="399">
        <v>0</v>
      </c>
      <c r="AB277" s="399">
        <v>0</v>
      </c>
      <c r="AC277" s="399">
        <v>0</v>
      </c>
      <c r="AD277" s="399">
        <v>0</v>
      </c>
      <c r="AE277" s="399">
        <v>476.32118954932213</v>
      </c>
      <c r="AF277" s="399">
        <v>313.74395269527315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23.152479661808197</v>
      </c>
      <c r="AM277" s="399"/>
      <c r="AN277" s="399">
        <v>2.1070899824414004</v>
      </c>
      <c r="AO277" s="399">
        <v>8.5127733924523756</v>
      </c>
      <c r="AP277" s="399">
        <v>45.410914539760611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33.228940179731445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/>
      <c r="BO277" s="399"/>
      <c r="BP277" s="399"/>
      <c r="BQ277" s="399"/>
      <c r="BR277" s="399"/>
      <c r="BS277" s="399">
        <v>639.59553399999993</v>
      </c>
      <c r="BT277" s="399"/>
      <c r="BU277" s="399"/>
      <c r="BV277" s="399">
        <v>346.97289287500462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347.5668</v>
      </c>
      <c r="CJ277" s="399">
        <v>-50.494271999999967</v>
      </c>
      <c r="CK277" s="399"/>
      <c r="CL277" s="399"/>
      <c r="CM277" s="399"/>
      <c r="CN277" s="399"/>
      <c r="CO277" s="399">
        <v>-158.08295000000001</v>
      </c>
      <c r="CP277" s="399">
        <v>14.351139999999964</v>
      </c>
      <c r="CQ277" s="399">
        <v>29</v>
      </c>
      <c r="CR277" s="399">
        <v>3.5292952762885079</v>
      </c>
      <c r="CS277" s="399">
        <v>0.62139679031426631</v>
      </c>
      <c r="CT277" s="399">
        <v>3.3148064959961232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0</v>
      </c>
      <c r="DA277" s="399">
        <v>0</v>
      </c>
      <c r="DB277" s="399">
        <v>0</v>
      </c>
      <c r="DC277" s="399">
        <v>14.349754496727712</v>
      </c>
      <c r="DD277" s="399">
        <v>0</v>
      </c>
      <c r="DE277" s="399">
        <v>0</v>
      </c>
      <c r="DF277" s="399">
        <v>0</v>
      </c>
      <c r="DG277" s="399">
        <v>1.5197970500124072</v>
      </c>
      <c r="DH277" s="399">
        <v>0</v>
      </c>
      <c r="DI277" s="399">
        <v>-14.180931077203894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-1.848646339692575</v>
      </c>
      <c r="DP277" s="399">
        <v>-0.24688213986550456</v>
      </c>
      <c r="DQ277" s="399">
        <v>0</v>
      </c>
      <c r="DR277" s="399">
        <v>0</v>
      </c>
      <c r="DS277" s="399"/>
      <c r="DT277" s="399"/>
      <c r="DU277" s="399"/>
      <c r="DV277" s="399">
        <v>476.32118954932213</v>
      </c>
      <c r="DW277" s="399">
        <v>0</v>
      </c>
      <c r="DX277" s="399">
        <v>0</v>
      </c>
      <c r="DY277" s="399">
        <v>-158.0829500000001</v>
      </c>
      <c r="DZ277" s="399">
        <v>14.35113999999993</v>
      </c>
      <c r="EA277" s="399">
        <v>0</v>
      </c>
      <c r="EB277" s="399">
        <v>0</v>
      </c>
      <c r="EC277" s="399">
        <v>-147.27895236434688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78.364362862108891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230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276</v>
      </c>
      <c r="B278" s="399" t="s">
        <v>956</v>
      </c>
      <c r="C278" s="399" t="s">
        <v>2328</v>
      </c>
      <c r="D278" s="399" t="s">
        <v>1823</v>
      </c>
      <c r="E278" s="399" t="s">
        <v>889</v>
      </c>
      <c r="F278" s="399" t="s">
        <v>889</v>
      </c>
      <c r="G278" s="399" t="s">
        <v>1239</v>
      </c>
      <c r="H278" s="399" t="s">
        <v>1239</v>
      </c>
      <c r="I278" s="399" t="s">
        <v>1239</v>
      </c>
      <c r="J278" s="399" t="s">
        <v>2329</v>
      </c>
      <c r="K278" s="789">
        <v>44621</v>
      </c>
      <c r="L278" s="399">
        <v>0</v>
      </c>
      <c r="M278" s="399">
        <v>0</v>
      </c>
      <c r="N278" s="399">
        <v>5625.98</v>
      </c>
      <c r="O278" s="399">
        <v>5625.98</v>
      </c>
      <c r="P278" s="399">
        <v>5625.98</v>
      </c>
      <c r="Q278" s="399">
        <v>5625.98</v>
      </c>
      <c r="R278" s="399"/>
      <c r="S278" s="399">
        <v>333.61</v>
      </c>
      <c r="T278" s="399">
        <v>128.11000000000001</v>
      </c>
      <c r="U278" s="399"/>
      <c r="V278" s="399">
        <v>2597627.4856000002</v>
      </c>
      <c r="W278" s="399">
        <v>2597627.4856000002</v>
      </c>
      <c r="X278" s="399">
        <v>2267438.7193999998</v>
      </c>
      <c r="Y278" s="399">
        <v>0</v>
      </c>
      <c r="Z278" s="399">
        <v>344400.27550158702</v>
      </c>
      <c r="AA278" s="399">
        <v>0</v>
      </c>
      <c r="AB278" s="399">
        <v>0</v>
      </c>
      <c r="AC278" s="399">
        <v>0</v>
      </c>
      <c r="AD278" s="399">
        <v>0</v>
      </c>
      <c r="AE278" s="399">
        <v>1094231.7215111046</v>
      </c>
      <c r="AF278" s="399">
        <v>720750.18496715091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53187.173347382472</v>
      </c>
      <c r="AM278" s="399"/>
      <c r="AN278" s="399">
        <v>4840.525152885124</v>
      </c>
      <c r="AO278" s="399">
        <v>19556.019947108703</v>
      </c>
      <c r="AP278" s="399">
        <v>104320.49693033988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76335.382961357915</v>
      </c>
      <c r="BH278" s="399">
        <v>0</v>
      </c>
      <c r="BI278" s="399">
        <v>0</v>
      </c>
      <c r="BJ278" s="399">
        <v>0</v>
      </c>
      <c r="BK278" s="399">
        <v>723138.29</v>
      </c>
      <c r="BL278" s="399">
        <v>20619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797085.56792850886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2267438.7193999998</v>
      </c>
      <c r="CJ278" s="399">
        <v>-330188.79619999975</v>
      </c>
      <c r="CK278" s="399"/>
      <c r="CL278" s="399"/>
      <c r="CM278" s="399"/>
      <c r="CN278" s="399"/>
      <c r="CO278" s="399">
        <v>-363157.00900000002</v>
      </c>
      <c r="CP278" s="399">
        <v>32968.242799999913</v>
      </c>
      <c r="CQ278" s="399">
        <v>31</v>
      </c>
      <c r="CR278" s="399">
        <v>8107.6948299279902</v>
      </c>
      <c r="CS278" s="399">
        <v>1427.5075191393444</v>
      </c>
      <c r="CT278" s="399">
        <v>7614.9591875640326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0</v>
      </c>
      <c r="DA278" s="399">
        <v>0</v>
      </c>
      <c r="DB278" s="399">
        <v>0</v>
      </c>
      <c r="DC278" s="399">
        <v>32965.059944263194</v>
      </c>
      <c r="DD278" s="399">
        <v>0</v>
      </c>
      <c r="DE278" s="399">
        <v>0</v>
      </c>
      <c r="DF278" s="399">
        <v>0</v>
      </c>
      <c r="DG278" s="399">
        <v>3491.3629266757052</v>
      </c>
      <c r="DH278" s="399">
        <v>0</v>
      </c>
      <c r="DI278" s="399">
        <v>-32577.229326961038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-4246.8139380088251</v>
      </c>
      <c r="DP278" s="399">
        <v>-567.15148274419334</v>
      </c>
      <c r="DQ278" s="399">
        <v>0</v>
      </c>
      <c r="DR278" s="399">
        <v>0</v>
      </c>
      <c r="DS278" s="399"/>
      <c r="DT278" s="399"/>
      <c r="DU278" s="399"/>
      <c r="DV278" s="399">
        <v>1094231.7215111046</v>
      </c>
      <c r="DW278" s="399">
        <v>0</v>
      </c>
      <c r="DX278" s="399">
        <v>0</v>
      </c>
      <c r="DY278" s="399">
        <v>-363157.00900000008</v>
      </c>
      <c r="DZ278" s="399">
        <v>32968.242799999891</v>
      </c>
      <c r="EA278" s="399">
        <v>0</v>
      </c>
      <c r="EB278" s="399">
        <v>0</v>
      </c>
      <c r="EC278" s="399">
        <v>-338337.46036046068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180023.00456307366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230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277</v>
      </c>
      <c r="B279" s="399" t="s">
        <v>2330</v>
      </c>
      <c r="C279" s="399" t="s">
        <v>2328</v>
      </c>
      <c r="D279" s="399" t="s">
        <v>1823</v>
      </c>
      <c r="E279" s="399" t="s">
        <v>889</v>
      </c>
      <c r="F279" s="399" t="s">
        <v>889</v>
      </c>
      <c r="G279" s="399" t="s">
        <v>1239</v>
      </c>
      <c r="H279" s="399" t="s">
        <v>1239</v>
      </c>
      <c r="I279" s="399" t="s">
        <v>1239</v>
      </c>
      <c r="J279" s="399" t="s">
        <v>2329</v>
      </c>
      <c r="K279" s="789">
        <v>44621</v>
      </c>
      <c r="L279" s="399">
        <v>0</v>
      </c>
      <c r="M279" s="399">
        <v>0</v>
      </c>
      <c r="N279" s="399">
        <v>-2.2839999999999998</v>
      </c>
      <c r="O279" s="399">
        <v>-2.2839999999999998</v>
      </c>
      <c r="P279" s="399">
        <v>-2.2839999999999998</v>
      </c>
      <c r="Q279" s="399">
        <v>-2.2839999999999998</v>
      </c>
      <c r="R279" s="399"/>
      <c r="S279" s="399">
        <v>333.61</v>
      </c>
      <c r="T279" s="399">
        <v>128.11000000000001</v>
      </c>
      <c r="U279" s="399"/>
      <c r="V279" s="399">
        <v>-1054.5684799999999</v>
      </c>
      <c r="W279" s="399">
        <v>-1054.5684799999999</v>
      </c>
      <c r="X279" s="399">
        <v>-920.52051999999981</v>
      </c>
      <c r="Y279" s="399">
        <v>0</v>
      </c>
      <c r="Z279" s="399">
        <v>-139.81745922410403</v>
      </c>
      <c r="AA279" s="399">
        <v>0</v>
      </c>
      <c r="AB279" s="399">
        <v>0</v>
      </c>
      <c r="AC279" s="399">
        <v>0</v>
      </c>
      <c r="AD279" s="399">
        <v>0</v>
      </c>
      <c r="AE279" s="399">
        <v>-444.22931683570914</v>
      </c>
      <c r="AF279" s="399">
        <v>-292.60563003511794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-21.592594343638186</v>
      </c>
      <c r="AM279" s="399"/>
      <c r="AN279" s="399">
        <v>-1.9651259779077821</v>
      </c>
      <c r="AO279" s="399">
        <v>-7.9392300646636285</v>
      </c>
      <c r="AP279" s="399">
        <v>-42.351379668768161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-30.99015899163194</v>
      </c>
      <c r="BH279" s="399">
        <v>0</v>
      </c>
      <c r="BI279" s="399">
        <v>0</v>
      </c>
      <c r="BJ279" s="399">
        <v>0</v>
      </c>
      <c r="BK279" s="399">
        <v>-411.63</v>
      </c>
      <c r="BL279" s="399">
        <v>0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-323.59578902674986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-918.90839999999992</v>
      </c>
      <c r="CJ279" s="399">
        <v>135.63008000000002</v>
      </c>
      <c r="CK279" s="399"/>
      <c r="CL279" s="399"/>
      <c r="CM279" s="399"/>
      <c r="CN279" s="399"/>
      <c r="CO279" s="399">
        <v>147.43220000000002</v>
      </c>
      <c r="CP279" s="399">
        <v>-13.384239999999965</v>
      </c>
      <c r="CQ279" s="399">
        <v>31</v>
      </c>
      <c r="CR279" s="399">
        <v>-3.2915109885843776</v>
      </c>
      <c r="CS279" s="399">
        <v>-0.57953053045234082</v>
      </c>
      <c r="CT279" s="399">
        <v>-3.0914732694386089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0</v>
      </c>
      <c r="DA279" s="399">
        <v>0</v>
      </c>
      <c r="DB279" s="399">
        <v>0</v>
      </c>
      <c r="DC279" s="399">
        <v>-13.382947844232831</v>
      </c>
      <c r="DD279" s="399">
        <v>0</v>
      </c>
      <c r="DE279" s="399">
        <v>0</v>
      </c>
      <c r="DF279" s="399">
        <v>0</v>
      </c>
      <c r="DG279" s="399">
        <v>-1.4174015770634263</v>
      </c>
      <c r="DH279" s="399">
        <v>0</v>
      </c>
      <c r="DI279" s="399">
        <v>13.225498807812855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1.7240948304850292</v>
      </c>
      <c r="DP279" s="399">
        <v>0.23024859430494571</v>
      </c>
      <c r="DQ279" s="399">
        <v>0</v>
      </c>
      <c r="DR279" s="399">
        <v>0</v>
      </c>
      <c r="DS279" s="399"/>
      <c r="DT279" s="399"/>
      <c r="DU279" s="399"/>
      <c r="DV279" s="399">
        <v>-444.22931683570914</v>
      </c>
      <c r="DW279" s="399">
        <v>0</v>
      </c>
      <c r="DX279" s="399">
        <v>0</v>
      </c>
      <c r="DY279" s="399">
        <v>147.43220000000008</v>
      </c>
      <c r="DZ279" s="399">
        <v>-13.38423999999992</v>
      </c>
      <c r="EA279" s="399">
        <v>0</v>
      </c>
      <c r="EB279" s="399">
        <v>0</v>
      </c>
      <c r="EC279" s="399">
        <v>137.35611563910504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-73.084607912232215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230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278</v>
      </c>
      <c r="B280" s="399" t="s">
        <v>2331</v>
      </c>
      <c r="C280" s="399" t="s">
        <v>2328</v>
      </c>
      <c r="D280" s="399" t="s">
        <v>1823</v>
      </c>
      <c r="E280" s="399" t="s">
        <v>889</v>
      </c>
      <c r="F280" s="399" t="s">
        <v>889</v>
      </c>
      <c r="G280" s="399" t="s">
        <v>1239</v>
      </c>
      <c r="H280" s="399" t="s">
        <v>1239</v>
      </c>
      <c r="I280" s="399" t="s">
        <v>1239</v>
      </c>
      <c r="J280" s="399" t="s">
        <v>2329</v>
      </c>
      <c r="K280" s="789">
        <v>44621</v>
      </c>
      <c r="L280" s="399">
        <v>0</v>
      </c>
      <c r="M280" s="399">
        <v>0</v>
      </c>
      <c r="N280" s="399">
        <v>18.248999999999999</v>
      </c>
      <c r="O280" s="399">
        <v>18.248999999999999</v>
      </c>
      <c r="P280" s="399">
        <v>18.248999999999999</v>
      </c>
      <c r="Q280" s="399">
        <v>18.248999999999999</v>
      </c>
      <c r="R280" s="399"/>
      <c r="S280" s="399">
        <v>333.61</v>
      </c>
      <c r="T280" s="399">
        <v>128.11000000000001</v>
      </c>
      <c r="U280" s="399"/>
      <c r="V280" s="399">
        <v>8425.9282800000001</v>
      </c>
      <c r="W280" s="399">
        <v>8425.9282800000001</v>
      </c>
      <c r="X280" s="399">
        <v>7354.8944699999993</v>
      </c>
      <c r="Y280" s="399">
        <v>0</v>
      </c>
      <c r="Z280" s="399">
        <v>1117.1317046325194</v>
      </c>
      <c r="AA280" s="399">
        <v>0</v>
      </c>
      <c r="AB280" s="399">
        <v>0</v>
      </c>
      <c r="AC280" s="399">
        <v>0</v>
      </c>
      <c r="AD280" s="399">
        <v>0</v>
      </c>
      <c r="AE280" s="399">
        <v>3549.3611221255937</v>
      </c>
      <c r="AF280" s="399">
        <v>2337.8984862131642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172.52331618960301</v>
      </c>
      <c r="AM280" s="399"/>
      <c r="AN280" s="399">
        <v>15.701218901418176</v>
      </c>
      <c r="AO280" s="399">
        <v>63.433892053435443</v>
      </c>
      <c r="AP280" s="399">
        <v>338.38455673176452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247.60919940380529</v>
      </c>
      <c r="BH280" s="399">
        <v>0</v>
      </c>
      <c r="BI280" s="399">
        <v>0</v>
      </c>
      <c r="BJ280" s="399">
        <v>0</v>
      </c>
      <c r="BK280" s="399">
        <v>4996.26</v>
      </c>
      <c r="BL280" s="399">
        <v>59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2585.5076856169694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7355.2975000000006</v>
      </c>
      <c r="CJ280" s="399">
        <v>-1070.6607800000002</v>
      </c>
      <c r="CK280" s="399"/>
      <c r="CL280" s="399"/>
      <c r="CM280" s="399"/>
      <c r="CN280" s="399"/>
      <c r="CO280" s="399">
        <v>-1177.9729500000001</v>
      </c>
      <c r="CP280" s="399">
        <v>106.93913999999972</v>
      </c>
      <c r="CQ280" s="399">
        <v>31</v>
      </c>
      <c r="CR280" s="399">
        <v>26.298942220086246</v>
      </c>
      <c r="CS280" s="399">
        <v>4.6304083407288914</v>
      </c>
      <c r="CT280" s="399">
        <v>24.700654857261497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0</v>
      </c>
      <c r="DA280" s="399">
        <v>0</v>
      </c>
      <c r="DB280" s="399">
        <v>0</v>
      </c>
      <c r="DC280" s="399">
        <v>106.92881576593891</v>
      </c>
      <c r="DD280" s="399">
        <v>0</v>
      </c>
      <c r="DE280" s="399">
        <v>0</v>
      </c>
      <c r="DF280" s="399">
        <v>0</v>
      </c>
      <c r="DG280" s="399">
        <v>11.324939308156956</v>
      </c>
      <c r="DH280" s="399">
        <v>0</v>
      </c>
      <c r="DI280" s="399">
        <v>-105.67080899464827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-13.775396918354318</v>
      </c>
      <c r="DP280" s="399">
        <v>-1.839670138997791</v>
      </c>
      <c r="DQ280" s="399">
        <v>0</v>
      </c>
      <c r="DR280" s="399">
        <v>0</v>
      </c>
      <c r="DS280" s="399"/>
      <c r="DT280" s="399"/>
      <c r="DU280" s="399"/>
      <c r="DV280" s="399">
        <v>3549.3611221255937</v>
      </c>
      <c r="DW280" s="399">
        <v>0</v>
      </c>
      <c r="DX280" s="399">
        <v>0</v>
      </c>
      <c r="DY280" s="399">
        <v>-1177.9729500000003</v>
      </c>
      <c r="DZ280" s="399">
        <v>106.93913999999995</v>
      </c>
      <c r="EA280" s="399">
        <v>0</v>
      </c>
      <c r="EB280" s="399">
        <v>0</v>
      </c>
      <c r="EC280" s="399">
        <v>-1097.4657418117458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583.94089745635983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230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279</v>
      </c>
      <c r="B281" s="399" t="s">
        <v>2331</v>
      </c>
      <c r="C281" s="399" t="s">
        <v>2328</v>
      </c>
      <c r="D281" s="399" t="s">
        <v>1823</v>
      </c>
      <c r="E281" s="399" t="s">
        <v>889</v>
      </c>
      <c r="F281" s="399" t="s">
        <v>889</v>
      </c>
      <c r="G281" s="399" t="s">
        <v>1239</v>
      </c>
      <c r="H281" s="399" t="s">
        <v>1239</v>
      </c>
      <c r="I281" s="399" t="s">
        <v>1239</v>
      </c>
      <c r="J281" s="399" t="s">
        <v>2329</v>
      </c>
      <c r="K281" s="789">
        <v>44621</v>
      </c>
      <c r="L281" s="399">
        <v>0</v>
      </c>
      <c r="M281" s="399">
        <v>0</v>
      </c>
      <c r="N281" s="399">
        <v>-9.1999999999999998E-2</v>
      </c>
      <c r="O281" s="399">
        <v>-9.1999999999999998E-2</v>
      </c>
      <c r="P281" s="399">
        <v>-9.1999999999999998E-2</v>
      </c>
      <c r="Q281" s="399">
        <v>-9.1999999999999998E-2</v>
      </c>
      <c r="R281" s="399"/>
      <c r="S281" s="399">
        <v>333.61</v>
      </c>
      <c r="T281" s="399">
        <v>128.11000000000001</v>
      </c>
      <c r="U281" s="399"/>
      <c r="V281" s="399">
        <v>-42.47824</v>
      </c>
      <c r="W281" s="399">
        <v>-42.47824</v>
      </c>
      <c r="X281" s="399">
        <v>-37.078759999999996</v>
      </c>
      <c r="Y281" s="399">
        <v>0</v>
      </c>
      <c r="Z281" s="399">
        <v>-5.6318766412511252</v>
      </c>
      <c r="AA281" s="399">
        <v>0</v>
      </c>
      <c r="AB281" s="399">
        <v>0</v>
      </c>
      <c r="AC281" s="399">
        <v>0</v>
      </c>
      <c r="AD281" s="399">
        <v>0</v>
      </c>
      <c r="AE281" s="399">
        <v>-17.893650240317534</v>
      </c>
      <c r="AF281" s="399">
        <v>-11.786216271116835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-0.86975423800994445</v>
      </c>
      <c r="AM281" s="399"/>
      <c r="AN281" s="399">
        <v>-7.9155687376320477E-2</v>
      </c>
      <c r="AO281" s="399">
        <v>-0.31979385549433181</v>
      </c>
      <c r="AP281" s="399">
        <v>-1.7059224735230609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-1.2482901170009364</v>
      </c>
      <c r="BH281" s="399">
        <v>0</v>
      </c>
      <c r="BI281" s="399">
        <v>0</v>
      </c>
      <c r="BJ281" s="399">
        <v>0</v>
      </c>
      <c r="BK281" s="399">
        <v>-20.149999999999999</v>
      </c>
      <c r="BL281" s="399">
        <v>2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-13.034506388117771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-36.2727</v>
      </c>
      <c r="CJ281" s="399">
        <v>6.175539999999998</v>
      </c>
      <c r="CK281" s="399"/>
      <c r="CL281" s="399"/>
      <c r="CM281" s="399"/>
      <c r="CN281" s="399"/>
      <c r="CO281" s="399">
        <v>5.938600000000001</v>
      </c>
      <c r="CP281" s="399">
        <v>-0.5391199999999986</v>
      </c>
      <c r="CQ281" s="399">
        <v>31</v>
      </c>
      <c r="CR281" s="399">
        <v>-0.1325827543562923</v>
      </c>
      <c r="CS281" s="399">
        <v>-2.3343611559376254E-2</v>
      </c>
      <c r="CT281" s="399">
        <v>-0.12452519298964626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0</v>
      </c>
      <c r="DA281" s="399">
        <v>0</v>
      </c>
      <c r="DB281" s="399">
        <v>0</v>
      </c>
      <c r="DC281" s="399">
        <v>-0.53906795169414146</v>
      </c>
      <c r="DD281" s="399">
        <v>0</v>
      </c>
      <c r="DE281" s="399">
        <v>0</v>
      </c>
      <c r="DF281" s="399">
        <v>0</v>
      </c>
      <c r="DG281" s="399">
        <v>-5.7093233401854349E-2</v>
      </c>
      <c r="DH281" s="399">
        <v>0</v>
      </c>
      <c r="DI281" s="399">
        <v>0.53272587141803029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6.944690210360005E-2</v>
      </c>
      <c r="DP281" s="399">
        <v>9.2744617670993956E-3</v>
      </c>
      <c r="DQ281" s="399">
        <v>0</v>
      </c>
      <c r="DR281" s="399">
        <v>0</v>
      </c>
      <c r="DS281" s="399"/>
      <c r="DT281" s="399"/>
      <c r="DU281" s="399"/>
      <c r="DV281" s="399">
        <v>-17.893650240317534</v>
      </c>
      <c r="DW281" s="399">
        <v>0</v>
      </c>
      <c r="DX281" s="399">
        <v>0</v>
      </c>
      <c r="DY281" s="399">
        <v>5.938600000000001</v>
      </c>
      <c r="DZ281" s="399">
        <v>-0.53911999999999871</v>
      </c>
      <c r="EA281" s="399">
        <v>0</v>
      </c>
      <c r="EB281" s="399">
        <v>0</v>
      </c>
      <c r="EC281" s="399">
        <v>5.5327332043772621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-2.9438633659918407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230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280</v>
      </c>
      <c r="B282" s="399" t="s">
        <v>956</v>
      </c>
      <c r="C282" s="399" t="s">
        <v>2328</v>
      </c>
      <c r="D282" s="399" t="s">
        <v>1823</v>
      </c>
      <c r="E282" s="399" t="s">
        <v>889</v>
      </c>
      <c r="F282" s="399" t="s">
        <v>2332</v>
      </c>
      <c r="G282" s="399" t="s">
        <v>1239</v>
      </c>
      <c r="H282" s="399" t="s">
        <v>1239</v>
      </c>
      <c r="I282" s="399" t="s">
        <v>1239</v>
      </c>
      <c r="J282" s="399" t="s">
        <v>2329</v>
      </c>
      <c r="K282" s="789">
        <v>44621</v>
      </c>
      <c r="L282" s="399">
        <v>0</v>
      </c>
      <c r="M282" s="399">
        <v>0</v>
      </c>
      <c r="N282" s="399">
        <v>19.440000000000001</v>
      </c>
      <c r="O282" s="399">
        <v>19.440000000000001</v>
      </c>
      <c r="P282" s="399">
        <v>19.440000000000001</v>
      </c>
      <c r="Q282" s="399">
        <v>19.440000000000001</v>
      </c>
      <c r="R282" s="399"/>
      <c r="S282" s="399">
        <v>230.94</v>
      </c>
      <c r="T282" s="399">
        <v>128.11000000000001</v>
      </c>
      <c r="U282" s="399"/>
      <c r="V282" s="399">
        <v>6979.9320000000007</v>
      </c>
      <c r="W282" s="399">
        <v>6979.9320000000007</v>
      </c>
      <c r="X282" s="399">
        <v>5966.1360000000004</v>
      </c>
      <c r="Y282" s="399">
        <v>0</v>
      </c>
      <c r="Z282" s="399">
        <v>0</v>
      </c>
      <c r="AA282" s="399">
        <v>0</v>
      </c>
      <c r="AB282" s="399">
        <v>0</v>
      </c>
      <c r="AC282" s="399">
        <v>0</v>
      </c>
      <c r="AD282" s="399">
        <v>0</v>
      </c>
      <c r="AE282" s="399">
        <v>3781.0060942584005</v>
      </c>
      <c r="AF282" s="399">
        <v>2490.4787425055574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0</v>
      </c>
      <c r="AM282" s="399"/>
      <c r="AN282" s="399">
        <v>16.725940897779022</v>
      </c>
      <c r="AO282" s="399">
        <v>67.573832074019677</v>
      </c>
      <c r="AP282" s="399">
        <v>360.46883570965554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263.76912907063269</v>
      </c>
      <c r="BH282" s="399">
        <v>0</v>
      </c>
      <c r="BI282" s="399">
        <v>0</v>
      </c>
      <c r="BJ282" s="399">
        <v>0</v>
      </c>
      <c r="BK282" s="399">
        <v>278.64999999999998</v>
      </c>
      <c r="BL282" s="399">
        <v>12</v>
      </c>
      <c r="BM282" s="399"/>
      <c r="BN282" s="399"/>
      <c r="BO282" s="399"/>
      <c r="BP282" s="399"/>
      <c r="BQ282" s="399"/>
      <c r="BR282" s="399"/>
      <c r="BS282" s="399"/>
      <c r="BT282" s="399">
        <v>3877.8912</v>
      </c>
      <c r="BU282" s="399"/>
      <c r="BV282" s="399">
        <v>2754.2478715761899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2088.2448000000004</v>
      </c>
      <c r="CJ282" s="399">
        <v>-354.80999999999995</v>
      </c>
      <c r="CK282" s="399"/>
      <c r="CL282" s="399"/>
      <c r="CM282" s="399"/>
      <c r="CN282" s="399"/>
      <c r="CO282" s="399">
        <v>-1127.7143999999998</v>
      </c>
      <c r="CP282" s="399">
        <v>113.91839999999972</v>
      </c>
      <c r="CQ282" s="399">
        <v>31</v>
      </c>
      <c r="CR282" s="399">
        <v>155.25703762985677</v>
      </c>
      <c r="CS282" s="399">
        <v>4.932606616459509</v>
      </c>
      <c r="CT282" s="399">
        <v>26.312714692594795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0</v>
      </c>
      <c r="DA282" s="399">
        <v>0</v>
      </c>
      <c r="DB282" s="399">
        <v>0</v>
      </c>
      <c r="DC282" s="399">
        <v>113.90740196667548</v>
      </c>
      <c r="DD282" s="399">
        <v>0</v>
      </c>
      <c r="DE282" s="399">
        <v>0</v>
      </c>
      <c r="DF282" s="399">
        <v>0</v>
      </c>
      <c r="DG282" s="399">
        <v>12.064048449261406</v>
      </c>
      <c r="DH282" s="399">
        <v>0</v>
      </c>
      <c r="DI282" s="399">
        <v>0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0</v>
      </c>
      <c r="DP282" s="399">
        <v>-1.9597340951349143</v>
      </c>
      <c r="DQ282" s="399">
        <v>0</v>
      </c>
      <c r="DR282" s="399">
        <v>0</v>
      </c>
      <c r="DS282" s="399"/>
      <c r="DT282" s="399"/>
      <c r="DU282" s="399"/>
      <c r="DV282" s="399">
        <v>3781.0060942584005</v>
      </c>
      <c r="DW282" s="399">
        <v>0</v>
      </c>
      <c r="DX282" s="399">
        <v>0</v>
      </c>
      <c r="DY282" s="399">
        <v>-1127.7143999999998</v>
      </c>
      <c r="DZ282" s="399">
        <v>113.91839999999956</v>
      </c>
      <c r="EA282" s="399">
        <v>0</v>
      </c>
      <c r="EB282" s="399">
        <v>0</v>
      </c>
      <c r="EC282" s="399">
        <v>-1169.0905814466732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230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281</v>
      </c>
      <c r="B283" s="399" t="s">
        <v>956</v>
      </c>
      <c r="C283" s="399" t="s">
        <v>2328</v>
      </c>
      <c r="D283" s="399" t="s">
        <v>1823</v>
      </c>
      <c r="E283" s="399" t="s">
        <v>889</v>
      </c>
      <c r="F283" s="399" t="s">
        <v>2333</v>
      </c>
      <c r="G283" s="399" t="s">
        <v>1239</v>
      </c>
      <c r="H283" s="399" t="s">
        <v>1239</v>
      </c>
      <c r="I283" s="399" t="s">
        <v>1239</v>
      </c>
      <c r="J283" s="399" t="s">
        <v>2329</v>
      </c>
      <c r="K283" s="789">
        <v>44621</v>
      </c>
      <c r="L283" s="399">
        <v>0</v>
      </c>
      <c r="M283" s="399">
        <v>0</v>
      </c>
      <c r="N283" s="399">
        <v>42.780999999999999</v>
      </c>
      <c r="O283" s="399">
        <v>42.780999999999999</v>
      </c>
      <c r="P283" s="399">
        <v>42.780999999999999</v>
      </c>
      <c r="Q283" s="399">
        <v>42.780999999999999</v>
      </c>
      <c r="R283" s="399"/>
      <c r="S283" s="399">
        <v>230.94</v>
      </c>
      <c r="T283" s="399">
        <v>128.11000000000001</v>
      </c>
      <c r="U283" s="399"/>
      <c r="V283" s="399">
        <v>15360.518049999999</v>
      </c>
      <c r="W283" s="399">
        <v>15360.518049999999</v>
      </c>
      <c r="X283" s="399">
        <v>13129.4889</v>
      </c>
      <c r="Y283" s="399">
        <v>0</v>
      </c>
      <c r="Z283" s="399">
        <v>0</v>
      </c>
      <c r="AA283" s="399">
        <v>0</v>
      </c>
      <c r="AB283" s="399">
        <v>0</v>
      </c>
      <c r="AC283" s="399">
        <v>0</v>
      </c>
      <c r="AD283" s="399">
        <v>0</v>
      </c>
      <c r="AE283" s="399">
        <v>8320.7418579459172</v>
      </c>
      <c r="AF283" s="399">
        <v>5480.7186771157531</v>
      </c>
      <c r="AG283" s="399">
        <v>0</v>
      </c>
      <c r="AH283" s="399">
        <v>0</v>
      </c>
      <c r="AI283" s="399">
        <v>0</v>
      </c>
      <c r="AJ283" s="399">
        <v>0</v>
      </c>
      <c r="AK283" s="399">
        <v>0</v>
      </c>
      <c r="AL283" s="399">
        <v>0</v>
      </c>
      <c r="AM283" s="399"/>
      <c r="AN283" s="399">
        <v>36.808255017895284</v>
      </c>
      <c r="AO283" s="399">
        <v>148.70761882503271</v>
      </c>
      <c r="AP283" s="399">
        <v>793.27249282380512</v>
      </c>
      <c r="AQ283" s="399">
        <v>0</v>
      </c>
      <c r="AR283" s="399">
        <v>0</v>
      </c>
      <c r="AS283" s="399">
        <v>0</v>
      </c>
      <c r="AT283" s="399">
        <v>0</v>
      </c>
      <c r="AU283" s="399">
        <v>0</v>
      </c>
      <c r="AV283" s="399">
        <v>0</v>
      </c>
      <c r="AW283" s="399">
        <v>0</v>
      </c>
      <c r="AX283" s="399">
        <v>0</v>
      </c>
      <c r="AY283" s="399">
        <v>0</v>
      </c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>
        <v>0</v>
      </c>
      <c r="BG283" s="399">
        <v>580.46847277627239</v>
      </c>
      <c r="BH283" s="399">
        <v>0</v>
      </c>
      <c r="BI283" s="399">
        <v>0</v>
      </c>
      <c r="BJ283" s="399">
        <v>0</v>
      </c>
      <c r="BK283" s="399">
        <v>1075.6300000000001</v>
      </c>
      <c r="BL283" s="399">
        <v>66</v>
      </c>
      <c r="BM283" s="399"/>
      <c r="BN283" s="399"/>
      <c r="BO283" s="399"/>
      <c r="BP283" s="399"/>
      <c r="BQ283" s="399"/>
      <c r="BR283" s="399"/>
      <c r="BS283" s="399"/>
      <c r="BT283" s="399">
        <v>5251.7955600000005</v>
      </c>
      <c r="BU283" s="399"/>
      <c r="BV283" s="399">
        <v>6061.1871498920254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7877.5092000000004</v>
      </c>
      <c r="CJ283" s="399">
        <v>-1339.2594399999998</v>
      </c>
      <c r="CK283" s="399"/>
      <c r="CL283" s="399"/>
      <c r="CM283" s="399"/>
      <c r="CN283" s="399"/>
      <c r="CO283" s="399">
        <v>-2481.7258099999995</v>
      </c>
      <c r="CP283" s="399">
        <v>250.69665999999935</v>
      </c>
      <c r="CQ283" s="399">
        <v>31</v>
      </c>
      <c r="CR283" s="399">
        <v>341.66930693636186</v>
      </c>
      <c r="CS283" s="399">
        <v>10.855033110018212</v>
      </c>
      <c r="CT283" s="399">
        <v>57.905568274891948</v>
      </c>
      <c r="CU283" s="399">
        <v>0</v>
      </c>
      <c r="CV283" s="399">
        <v>0</v>
      </c>
      <c r="CW283" s="399">
        <v>0</v>
      </c>
      <c r="CX283" s="399">
        <v>0</v>
      </c>
      <c r="CY283" s="399">
        <v>0</v>
      </c>
      <c r="CZ283" s="399">
        <v>0</v>
      </c>
      <c r="DA283" s="399">
        <v>0</v>
      </c>
      <c r="DB283" s="399">
        <v>0</v>
      </c>
      <c r="DC283" s="399">
        <v>250.67245697203361</v>
      </c>
      <c r="DD283" s="399">
        <v>0</v>
      </c>
      <c r="DE283" s="399">
        <v>0</v>
      </c>
      <c r="DF283" s="399">
        <v>0</v>
      </c>
      <c r="DG283" s="399">
        <v>26.548974110486256</v>
      </c>
      <c r="DH283" s="399">
        <v>0</v>
      </c>
      <c r="DI283" s="399">
        <v>0</v>
      </c>
      <c r="DJ283" s="399"/>
      <c r="DK283" s="399">
        <v>0</v>
      </c>
      <c r="DL283" s="399">
        <v>0</v>
      </c>
      <c r="DM283" s="399">
        <v>0</v>
      </c>
      <c r="DN283" s="399">
        <v>0</v>
      </c>
      <c r="DO283" s="399">
        <v>0</v>
      </c>
      <c r="DP283" s="399">
        <v>-4.3127255310682457</v>
      </c>
      <c r="DQ283" s="399">
        <v>0</v>
      </c>
      <c r="DR283" s="399">
        <v>0</v>
      </c>
      <c r="DS283" s="399"/>
      <c r="DT283" s="399"/>
      <c r="DU283" s="399"/>
      <c r="DV283" s="399">
        <v>8320.7418579459172</v>
      </c>
      <c r="DW283" s="399">
        <v>0</v>
      </c>
      <c r="DX283" s="399">
        <v>0</v>
      </c>
      <c r="DY283" s="399">
        <v>-2481.725809999999</v>
      </c>
      <c r="DZ283" s="399">
        <v>250.69665999999961</v>
      </c>
      <c r="EA283" s="399">
        <v>0</v>
      </c>
      <c r="EB283" s="399">
        <v>0</v>
      </c>
      <c r="EC283" s="399">
        <v>-2572.7810784398225</v>
      </c>
      <c r="ED283" s="399">
        <v>0</v>
      </c>
      <c r="EE283" s="399">
        <v>0</v>
      </c>
      <c r="EF283" s="399">
        <v>0</v>
      </c>
      <c r="EG283" s="399">
        <v>0</v>
      </c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>
        <v>0</v>
      </c>
      <c r="EN283" s="399">
        <v>0</v>
      </c>
      <c r="EO283" s="399">
        <v>0</v>
      </c>
      <c r="EP283" s="399">
        <v>0</v>
      </c>
      <c r="EQ283" s="399">
        <v>0</v>
      </c>
      <c r="ER283" s="399">
        <v>0</v>
      </c>
      <c r="ES283" s="399">
        <v>0</v>
      </c>
      <c r="ET283" s="399">
        <v>0</v>
      </c>
      <c r="EU283" s="399">
        <v>0</v>
      </c>
      <c r="EV283" s="399">
        <v>230</v>
      </c>
      <c r="EW283" s="399">
        <v>0</v>
      </c>
      <c r="EX283" s="399">
        <v>0</v>
      </c>
      <c r="EY283" s="399">
        <v>0</v>
      </c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282</v>
      </c>
      <c r="B284" s="399" t="s">
        <v>956</v>
      </c>
      <c r="C284" s="399" t="s">
        <v>2328</v>
      </c>
      <c r="D284" s="399" t="s">
        <v>1823</v>
      </c>
      <c r="E284" s="399" t="s">
        <v>889</v>
      </c>
      <c r="F284" s="399" t="s">
        <v>2334</v>
      </c>
      <c r="G284" s="399" t="s">
        <v>1239</v>
      </c>
      <c r="H284" s="399" t="s">
        <v>1239</v>
      </c>
      <c r="I284" s="399" t="s">
        <v>1239</v>
      </c>
      <c r="J284" s="399" t="s">
        <v>2329</v>
      </c>
      <c r="K284" s="789">
        <v>44621</v>
      </c>
      <c r="L284" s="399">
        <v>0</v>
      </c>
      <c r="M284" s="399">
        <v>0</v>
      </c>
      <c r="N284" s="399">
        <v>53.284999999999997</v>
      </c>
      <c r="O284" s="399">
        <v>53.284999999999997</v>
      </c>
      <c r="P284" s="399">
        <v>53.284999999999997</v>
      </c>
      <c r="Q284" s="399">
        <v>53.284999999999997</v>
      </c>
      <c r="R284" s="399"/>
      <c r="S284" s="399">
        <v>230.94</v>
      </c>
      <c r="T284" s="399">
        <v>128.11000000000001</v>
      </c>
      <c r="U284" s="399"/>
      <c r="V284" s="399">
        <v>19131.97925</v>
      </c>
      <c r="W284" s="399">
        <v>19131.97925</v>
      </c>
      <c r="X284" s="399">
        <v>16353.166499999999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0</v>
      </c>
      <c r="AE284" s="399">
        <v>10363.729924514344</v>
      </c>
      <c r="AF284" s="399">
        <v>6826.3971087658756</v>
      </c>
      <c r="AG284" s="399">
        <v>0</v>
      </c>
      <c r="AH284" s="399">
        <v>0</v>
      </c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45.845769585296047</v>
      </c>
      <c r="AO284" s="399">
        <v>185.2197346740812</v>
      </c>
      <c r="AP284" s="399">
        <v>988.04433697474235</v>
      </c>
      <c r="AQ284" s="399">
        <v>0</v>
      </c>
      <c r="AR284" s="399">
        <v>0</v>
      </c>
      <c r="AS284" s="399">
        <v>0</v>
      </c>
      <c r="AT284" s="399">
        <v>0</v>
      </c>
      <c r="AU284" s="399">
        <v>0</v>
      </c>
      <c r="AV284" s="399">
        <v>0</v>
      </c>
      <c r="AW284" s="399">
        <v>0</v>
      </c>
      <c r="AX284" s="399">
        <v>0</v>
      </c>
      <c r="AY284" s="399">
        <v>0</v>
      </c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>
        <v>0</v>
      </c>
      <c r="BG284" s="399">
        <v>722.99064004777063</v>
      </c>
      <c r="BH284" s="399">
        <v>0</v>
      </c>
      <c r="BI284" s="399">
        <v>0</v>
      </c>
      <c r="BJ284" s="399">
        <v>0</v>
      </c>
      <c r="BK284" s="399">
        <v>3487.97</v>
      </c>
      <c r="BL284" s="399">
        <v>261</v>
      </c>
      <c r="BM284" s="399"/>
      <c r="BN284" s="399"/>
      <c r="BO284" s="399"/>
      <c r="BP284" s="399"/>
      <c r="BQ284" s="399"/>
      <c r="BR284" s="399"/>
      <c r="BS284" s="399"/>
      <c r="BT284" s="399">
        <v>1635.3166500000011</v>
      </c>
      <c r="BU284" s="399"/>
      <c r="BV284" s="399">
        <v>7549.3877488136459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14719.230899999999</v>
      </c>
      <c r="CJ284" s="399">
        <v>-2499.8468499999981</v>
      </c>
      <c r="CK284" s="399"/>
      <c r="CL284" s="399"/>
      <c r="CM284" s="399"/>
      <c r="CN284" s="399"/>
      <c r="CO284" s="399">
        <v>-3091.0628499999993</v>
      </c>
      <c r="CP284" s="399">
        <v>312.25009999999918</v>
      </c>
      <c r="CQ284" s="399">
        <v>31</v>
      </c>
      <c r="CR284" s="399">
        <v>425.55922068451036</v>
      </c>
      <c r="CS284" s="399">
        <v>13.520264586319172</v>
      </c>
      <c r="CT284" s="399">
        <v>72.123096831014095</v>
      </c>
      <c r="CU284" s="399">
        <v>0</v>
      </c>
      <c r="CV284" s="399">
        <v>0</v>
      </c>
      <c r="CW284" s="399">
        <v>0</v>
      </c>
      <c r="CX284" s="399">
        <v>0</v>
      </c>
      <c r="CY284" s="399">
        <v>0</v>
      </c>
      <c r="CZ284" s="399">
        <v>0</v>
      </c>
      <c r="DA284" s="399">
        <v>0</v>
      </c>
      <c r="DB284" s="399">
        <v>0</v>
      </c>
      <c r="DC284" s="399">
        <v>312.21995441328636</v>
      </c>
      <c r="DD284" s="399">
        <v>0</v>
      </c>
      <c r="DE284" s="399">
        <v>0</v>
      </c>
      <c r="DF284" s="399">
        <v>0</v>
      </c>
      <c r="DG284" s="399">
        <v>33.06753197628052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>
        <v>0</v>
      </c>
      <c r="DN284" s="399">
        <v>0</v>
      </c>
      <c r="DO284" s="399">
        <v>0</v>
      </c>
      <c r="DP284" s="399">
        <v>-5.371627122390116</v>
      </c>
      <c r="DQ284" s="399">
        <v>0</v>
      </c>
      <c r="DR284" s="399">
        <v>0</v>
      </c>
      <c r="DS284" s="399"/>
      <c r="DT284" s="399"/>
      <c r="DU284" s="399"/>
      <c r="DV284" s="399">
        <v>10363.729924514344</v>
      </c>
      <c r="DW284" s="399">
        <v>0</v>
      </c>
      <c r="DX284" s="399">
        <v>0</v>
      </c>
      <c r="DY284" s="399">
        <v>-3091.0628500000003</v>
      </c>
      <c r="DZ284" s="399">
        <v>312.25009999999929</v>
      </c>
      <c r="EA284" s="399">
        <v>0</v>
      </c>
      <c r="EB284" s="399">
        <v>0</v>
      </c>
      <c r="EC284" s="399">
        <v>-3204.4748782091556</v>
      </c>
      <c r="ED284" s="399">
        <v>0</v>
      </c>
      <c r="EE284" s="399">
        <v>0</v>
      </c>
      <c r="EF284" s="399">
        <v>0</v>
      </c>
      <c r="EG284" s="399">
        <v>0</v>
      </c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>
        <v>0</v>
      </c>
      <c r="EN284" s="399">
        <v>0</v>
      </c>
      <c r="EO284" s="399">
        <v>0</v>
      </c>
      <c r="EP284" s="399">
        <v>0</v>
      </c>
      <c r="EQ284" s="399">
        <v>0</v>
      </c>
      <c r="ER284" s="399">
        <v>0</v>
      </c>
      <c r="ES284" s="399">
        <v>0</v>
      </c>
      <c r="ET284" s="399">
        <v>0</v>
      </c>
      <c r="EU284" s="399">
        <v>0</v>
      </c>
      <c r="EV284" s="399">
        <v>230</v>
      </c>
      <c r="EW284" s="399">
        <v>0</v>
      </c>
      <c r="EX284" s="399">
        <v>0</v>
      </c>
      <c r="EY284" s="399">
        <v>0</v>
      </c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283</v>
      </c>
      <c r="B285" s="399" t="s">
        <v>956</v>
      </c>
      <c r="C285" s="399" t="s">
        <v>2328</v>
      </c>
      <c r="D285" s="399" t="s">
        <v>1823</v>
      </c>
      <c r="E285" s="399" t="s">
        <v>889</v>
      </c>
      <c r="F285" s="399" t="s">
        <v>2335</v>
      </c>
      <c r="G285" s="399" t="s">
        <v>1239</v>
      </c>
      <c r="H285" s="399" t="s">
        <v>1239</v>
      </c>
      <c r="I285" s="399" t="s">
        <v>1239</v>
      </c>
      <c r="J285" s="399" t="s">
        <v>2329</v>
      </c>
      <c r="K285" s="789">
        <v>44621</v>
      </c>
      <c r="L285" s="399">
        <v>0</v>
      </c>
      <c r="M285" s="399">
        <v>0</v>
      </c>
      <c r="N285" s="399">
        <v>40.997999999999998</v>
      </c>
      <c r="O285" s="399">
        <v>40.997999999999998</v>
      </c>
      <c r="P285" s="399">
        <v>40.997999999999998</v>
      </c>
      <c r="Q285" s="399">
        <v>40.997999999999998</v>
      </c>
      <c r="R285" s="399"/>
      <c r="S285" s="399">
        <v>230.94</v>
      </c>
      <c r="T285" s="399">
        <v>128.11000000000001</v>
      </c>
      <c r="U285" s="399"/>
      <c r="V285" s="399">
        <v>14720.331900000001</v>
      </c>
      <c r="W285" s="399">
        <v>14720.331900000001</v>
      </c>
      <c r="X285" s="399">
        <v>12582.286199999999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0</v>
      </c>
      <c r="AE285" s="399">
        <v>7973.9551364406325</v>
      </c>
      <c r="AF285" s="399">
        <v>5252.2966813396515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35.274183381025942</v>
      </c>
      <c r="AO285" s="399">
        <v>142.50987486474583</v>
      </c>
      <c r="AP285" s="399">
        <v>760.21097358150485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556.27606757396074</v>
      </c>
      <c r="BH285" s="399">
        <v>0</v>
      </c>
      <c r="BI285" s="399">
        <v>0</v>
      </c>
      <c r="BJ285" s="399">
        <v>0</v>
      </c>
      <c r="BK285" s="399">
        <v>4192.49</v>
      </c>
      <c r="BL285" s="399">
        <v>309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5808.5727489136125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12582.9</v>
      </c>
      <c r="CJ285" s="399">
        <v>-2137.4619000000021</v>
      </c>
      <c r="CK285" s="399"/>
      <c r="CL285" s="399"/>
      <c r="CM285" s="399"/>
      <c r="CN285" s="399"/>
      <c r="CO285" s="399">
        <v>-2378.2939799999995</v>
      </c>
      <c r="CP285" s="399">
        <v>240.24827999999937</v>
      </c>
      <c r="CQ285" s="399">
        <v>31</v>
      </c>
      <c r="CR285" s="399">
        <v>327.42942534716258</v>
      </c>
      <c r="CS285" s="399">
        <v>10.40262376860116</v>
      </c>
      <c r="CT285" s="399">
        <v>55.492215893364346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0</v>
      </c>
      <c r="DA285" s="399">
        <v>0</v>
      </c>
      <c r="DB285" s="399">
        <v>0</v>
      </c>
      <c r="DC285" s="399">
        <v>240.22508569083129</v>
      </c>
      <c r="DD285" s="399">
        <v>0</v>
      </c>
      <c r="DE285" s="399">
        <v>0</v>
      </c>
      <c r="DF285" s="399">
        <v>0</v>
      </c>
      <c r="DG285" s="399">
        <v>25.442482424013292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0</v>
      </c>
      <c r="DP285" s="399">
        <v>-4.132982429647182</v>
      </c>
      <c r="DQ285" s="399">
        <v>0</v>
      </c>
      <c r="DR285" s="399">
        <v>0</v>
      </c>
      <c r="DS285" s="399"/>
      <c r="DT285" s="399"/>
      <c r="DU285" s="399"/>
      <c r="DV285" s="399">
        <v>7973.9551364406325</v>
      </c>
      <c r="DW285" s="399">
        <v>0</v>
      </c>
      <c r="DX285" s="399">
        <v>0</v>
      </c>
      <c r="DY285" s="399">
        <v>-2378.2939800000004</v>
      </c>
      <c r="DZ285" s="399">
        <v>240.2482799999998</v>
      </c>
      <c r="EA285" s="399">
        <v>0</v>
      </c>
      <c r="EB285" s="399">
        <v>0</v>
      </c>
      <c r="EC285" s="399">
        <v>-2465.5543034028151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230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284</v>
      </c>
      <c r="B286" s="399" t="s">
        <v>956</v>
      </c>
      <c r="C286" s="399" t="s">
        <v>2328</v>
      </c>
      <c r="D286" s="399" t="s">
        <v>1826</v>
      </c>
      <c r="E286" s="399" t="s">
        <v>890</v>
      </c>
      <c r="F286" s="399" t="s">
        <v>1239</v>
      </c>
      <c r="G286" s="399" t="s">
        <v>1239</v>
      </c>
      <c r="H286" s="399" t="s">
        <v>1239</v>
      </c>
      <c r="I286" s="399" t="s">
        <v>1239</v>
      </c>
      <c r="J286" s="399" t="s">
        <v>2329</v>
      </c>
      <c r="K286" s="789">
        <v>44621</v>
      </c>
      <c r="L286" s="399">
        <v>0</v>
      </c>
      <c r="M286" s="399">
        <v>0</v>
      </c>
      <c r="N286" s="399">
        <v>456.41500000000002</v>
      </c>
      <c r="O286" s="399">
        <v>456.41500000000002</v>
      </c>
      <c r="P286" s="399">
        <v>456.41500000000002</v>
      </c>
      <c r="Q286" s="399">
        <v>456.41500000000002</v>
      </c>
      <c r="R286" s="399"/>
      <c r="S286" s="399">
        <v>333.61</v>
      </c>
      <c r="T286" s="399">
        <v>128.11000000000001</v>
      </c>
      <c r="U286" s="399"/>
      <c r="V286" s="399">
        <v>210735.93380000003</v>
      </c>
      <c r="W286" s="399">
        <v>210735.93380000003</v>
      </c>
      <c r="X286" s="399">
        <v>183948.93745</v>
      </c>
      <c r="Y286" s="399">
        <v>0</v>
      </c>
      <c r="Z286" s="399">
        <v>27939.923665398179</v>
      </c>
      <c r="AA286" s="399">
        <v>0</v>
      </c>
      <c r="AB286" s="399">
        <v>0</v>
      </c>
      <c r="AC286" s="399">
        <v>0</v>
      </c>
      <c r="AD286" s="399">
        <v>0</v>
      </c>
      <c r="AE286" s="399">
        <v>88770.982330810075</v>
      </c>
      <c r="AF286" s="399">
        <v>58471.803254149898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4314.8791363185746</v>
      </c>
      <c r="AM286" s="399"/>
      <c r="AN286" s="399">
        <v>392.6939462376447</v>
      </c>
      <c r="AO286" s="399">
        <v>1586.5077451678853</v>
      </c>
      <c r="AP286" s="399">
        <v>8463.1370190546513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6192.8079755541567</v>
      </c>
      <c r="BH286" s="399">
        <v>0</v>
      </c>
      <c r="BI286" s="399">
        <v>0</v>
      </c>
      <c r="BJ286" s="399">
        <v>0</v>
      </c>
      <c r="BK286" s="399">
        <v>82918.149999999994</v>
      </c>
      <c r="BL286" s="399">
        <v>227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64664.611229704053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183950.95260000002</v>
      </c>
      <c r="CJ286" s="399">
        <v>-26785.011200000037</v>
      </c>
      <c r="CK286" s="399"/>
      <c r="CL286" s="399"/>
      <c r="CM286" s="399"/>
      <c r="CN286" s="399"/>
      <c r="CO286" s="399">
        <v>-29461.588250000008</v>
      </c>
      <c r="CP286" s="399">
        <v>2674.5918999999935</v>
      </c>
      <c r="CQ286" s="399">
        <v>31</v>
      </c>
      <c r="CR286" s="399">
        <v>657.74736771226162</v>
      </c>
      <c r="CS286" s="399">
        <v>115.80841815079043</v>
      </c>
      <c r="CT286" s="399">
        <v>617.77354302575441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0</v>
      </c>
      <c r="DA286" s="399">
        <v>0</v>
      </c>
      <c r="DB286" s="399">
        <v>0</v>
      </c>
      <c r="DC286" s="399">
        <v>2674.33368665741</v>
      </c>
      <c r="DD286" s="399">
        <v>0</v>
      </c>
      <c r="DE286" s="399">
        <v>0</v>
      </c>
      <c r="DF286" s="399">
        <v>0</v>
      </c>
      <c r="DG286" s="399">
        <v>283.24139264247151</v>
      </c>
      <c r="DH286" s="399">
        <v>0</v>
      </c>
      <c r="DI286" s="399">
        <v>-2642.8704196006584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-344.52834590885504</v>
      </c>
      <c r="DP286" s="399">
        <v>-46.010907254681172</v>
      </c>
      <c r="DQ286" s="399">
        <v>0</v>
      </c>
      <c r="DR286" s="399">
        <v>0</v>
      </c>
      <c r="DS286" s="399"/>
      <c r="DT286" s="399"/>
      <c r="DU286" s="399"/>
      <c r="DV286" s="399">
        <v>88770.982330810075</v>
      </c>
      <c r="DW286" s="399">
        <v>0</v>
      </c>
      <c r="DX286" s="399">
        <v>0</v>
      </c>
      <c r="DY286" s="399">
        <v>-29461.588250000015</v>
      </c>
      <c r="DZ286" s="399">
        <v>2674.5918999999994</v>
      </c>
      <c r="EA286" s="399">
        <v>0</v>
      </c>
      <c r="EB286" s="399">
        <v>0</v>
      </c>
      <c r="EC286" s="399">
        <v>-27448.069842128782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14604.602154230066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230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285</v>
      </c>
      <c r="B287" s="399" t="s">
        <v>2331</v>
      </c>
      <c r="C287" s="399" t="s">
        <v>2328</v>
      </c>
      <c r="D287" s="399" t="s">
        <v>1826</v>
      </c>
      <c r="E287" s="399" t="s">
        <v>890</v>
      </c>
      <c r="F287" s="399" t="s">
        <v>1239</v>
      </c>
      <c r="G287" s="399" t="s">
        <v>1239</v>
      </c>
      <c r="H287" s="399" t="s">
        <v>1239</v>
      </c>
      <c r="I287" s="399" t="s">
        <v>1239</v>
      </c>
      <c r="J287" s="399" t="s">
        <v>2329</v>
      </c>
      <c r="K287" s="789">
        <v>44621</v>
      </c>
      <c r="L287" s="399">
        <v>0</v>
      </c>
      <c r="M287" s="399">
        <v>0</v>
      </c>
      <c r="N287" s="399">
        <v>0.2</v>
      </c>
      <c r="O287" s="399">
        <v>0.2</v>
      </c>
      <c r="P287" s="399">
        <v>0.2</v>
      </c>
      <c r="Q287" s="399">
        <v>0.2</v>
      </c>
      <c r="R287" s="399"/>
      <c r="S287" s="399">
        <v>333.61</v>
      </c>
      <c r="T287" s="399">
        <v>128.11000000000001</v>
      </c>
      <c r="U287" s="399"/>
      <c r="V287" s="399">
        <v>92.344000000000008</v>
      </c>
      <c r="W287" s="399">
        <v>92.344000000000008</v>
      </c>
      <c r="X287" s="399">
        <v>80.606000000000009</v>
      </c>
      <c r="Y287" s="399">
        <v>0</v>
      </c>
      <c r="Z287" s="399">
        <v>12.24321008967636</v>
      </c>
      <c r="AA287" s="399">
        <v>0</v>
      </c>
      <c r="AB287" s="399">
        <v>0</v>
      </c>
      <c r="AC287" s="399">
        <v>0</v>
      </c>
      <c r="AD287" s="399">
        <v>0</v>
      </c>
      <c r="AE287" s="399">
        <v>38.899239652864203</v>
      </c>
      <c r="AF287" s="399">
        <v>25.6222092850366</v>
      </c>
      <c r="AG287" s="399">
        <v>0</v>
      </c>
      <c r="AH287" s="399">
        <v>0</v>
      </c>
      <c r="AI287" s="399">
        <v>0</v>
      </c>
      <c r="AJ287" s="399">
        <v>0</v>
      </c>
      <c r="AK287" s="399">
        <v>0</v>
      </c>
      <c r="AL287" s="399">
        <v>1.8907700826303142</v>
      </c>
      <c r="AM287" s="399"/>
      <c r="AN287" s="399">
        <v>0.17207758125287062</v>
      </c>
      <c r="AO287" s="399">
        <v>0.69520403368333006</v>
      </c>
      <c r="AP287" s="399">
        <v>3.7085271163544804</v>
      </c>
      <c r="AQ287" s="399">
        <v>0</v>
      </c>
      <c r="AR287" s="399">
        <v>0</v>
      </c>
      <c r="AS287" s="399">
        <v>0</v>
      </c>
      <c r="AT287" s="399">
        <v>0</v>
      </c>
      <c r="AU287" s="399">
        <v>0</v>
      </c>
      <c r="AV287" s="399">
        <v>0</v>
      </c>
      <c r="AW287" s="399">
        <v>0</v>
      </c>
      <c r="AX287" s="399">
        <v>0</v>
      </c>
      <c r="AY287" s="399">
        <v>0</v>
      </c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>
        <v>0</v>
      </c>
      <c r="BG287" s="399">
        <v>2.7136741673933402</v>
      </c>
      <c r="BH287" s="399">
        <v>0</v>
      </c>
      <c r="BI287" s="399">
        <v>0</v>
      </c>
      <c r="BJ287" s="399">
        <v>0</v>
      </c>
      <c r="BK287" s="399">
        <v>840.49</v>
      </c>
      <c r="BL287" s="399">
        <v>2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28.33588345242994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80.606000000000009</v>
      </c>
      <c r="CJ287" s="399">
        <v>-11.768000000000015</v>
      </c>
      <c r="CK287" s="399"/>
      <c r="CL287" s="399"/>
      <c r="CM287" s="399"/>
      <c r="CN287" s="399"/>
      <c r="CO287" s="399">
        <v>-12.910000000000004</v>
      </c>
      <c r="CP287" s="399">
        <v>1.171999999999997</v>
      </c>
      <c r="CQ287" s="399">
        <v>31</v>
      </c>
      <c r="CR287" s="399">
        <v>0.28822337903542916</v>
      </c>
      <c r="CS287" s="399">
        <v>5.0746981650817924E-2</v>
      </c>
      <c r="CT287" s="399">
        <v>0.27070694128184014</v>
      </c>
      <c r="CU287" s="399">
        <v>0</v>
      </c>
      <c r="CV287" s="399">
        <v>0</v>
      </c>
      <c r="CW287" s="399">
        <v>0</v>
      </c>
      <c r="CX287" s="399">
        <v>0</v>
      </c>
      <c r="CY287" s="399">
        <v>0</v>
      </c>
      <c r="CZ287" s="399">
        <v>0</v>
      </c>
      <c r="DA287" s="399">
        <v>0</v>
      </c>
      <c r="DB287" s="399">
        <v>0</v>
      </c>
      <c r="DC287" s="399">
        <v>1.1718868515090044</v>
      </c>
      <c r="DD287" s="399">
        <v>0</v>
      </c>
      <c r="DE287" s="399">
        <v>0</v>
      </c>
      <c r="DF287" s="399">
        <v>0</v>
      </c>
      <c r="DG287" s="399">
        <v>0.12411572478664024</v>
      </c>
      <c r="DH287" s="399">
        <v>0</v>
      </c>
      <c r="DI287" s="399">
        <v>-1.1580997204739791</v>
      </c>
      <c r="DJ287" s="399"/>
      <c r="DK287" s="399">
        <v>0</v>
      </c>
      <c r="DL287" s="399">
        <v>0</v>
      </c>
      <c r="DM287" s="399">
        <v>0</v>
      </c>
      <c r="DN287" s="399">
        <v>0</v>
      </c>
      <c r="DO287" s="399">
        <v>-0.15097152631217403</v>
      </c>
      <c r="DP287" s="399">
        <v>-2.0161873406737807E-2</v>
      </c>
      <c r="DQ287" s="399">
        <v>0</v>
      </c>
      <c r="DR287" s="399">
        <v>0</v>
      </c>
      <c r="DS287" s="399"/>
      <c r="DT287" s="399"/>
      <c r="DU287" s="399"/>
      <c r="DV287" s="399">
        <v>38.899239652864203</v>
      </c>
      <c r="DW287" s="399">
        <v>0</v>
      </c>
      <c r="DX287" s="399">
        <v>0</v>
      </c>
      <c r="DY287" s="399">
        <v>-12.910000000000004</v>
      </c>
      <c r="DZ287" s="399">
        <v>1.171999999999997</v>
      </c>
      <c r="EA287" s="399">
        <v>0</v>
      </c>
      <c r="EB287" s="399">
        <v>0</v>
      </c>
      <c r="EC287" s="399">
        <v>-12.027680879081004</v>
      </c>
      <c r="ED287" s="399">
        <v>0</v>
      </c>
      <c r="EE287" s="399">
        <v>0</v>
      </c>
      <c r="EF287" s="399">
        <v>0</v>
      </c>
      <c r="EG287" s="399">
        <v>0</v>
      </c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>
        <v>0</v>
      </c>
      <c r="EN287" s="399">
        <v>0</v>
      </c>
      <c r="EO287" s="399">
        <v>0</v>
      </c>
      <c r="EP287" s="399">
        <v>6.3997029695474801</v>
      </c>
      <c r="EQ287" s="399">
        <v>0</v>
      </c>
      <c r="ER287" s="399">
        <v>0</v>
      </c>
      <c r="ES287" s="399">
        <v>0</v>
      </c>
      <c r="ET287" s="399">
        <v>0</v>
      </c>
      <c r="EU287" s="399">
        <v>0</v>
      </c>
      <c r="EV287" s="399">
        <v>230</v>
      </c>
      <c r="EW287" s="399">
        <v>0</v>
      </c>
      <c r="EX287" s="399">
        <v>0</v>
      </c>
      <c r="EY287" s="399">
        <v>0</v>
      </c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286</v>
      </c>
      <c r="B288" s="399" t="s">
        <v>956</v>
      </c>
      <c r="C288" s="399" t="s">
        <v>2336</v>
      </c>
      <c r="D288" s="399" t="s">
        <v>535</v>
      </c>
      <c r="E288" s="399" t="s">
        <v>890</v>
      </c>
      <c r="F288" s="399" t="s">
        <v>1239</v>
      </c>
      <c r="G288" s="399" t="s">
        <v>1239</v>
      </c>
      <c r="H288" s="399" t="s">
        <v>1239</v>
      </c>
      <c r="I288" s="399" t="s">
        <v>893</v>
      </c>
      <c r="J288" s="399" t="s">
        <v>2329</v>
      </c>
      <c r="K288" s="789">
        <v>44621</v>
      </c>
      <c r="L288" s="399">
        <v>2477</v>
      </c>
      <c r="M288" s="399">
        <v>2477</v>
      </c>
      <c r="N288" s="399">
        <v>97.435000000000002</v>
      </c>
      <c r="O288" s="399">
        <v>97.435000000000002</v>
      </c>
      <c r="P288" s="399">
        <v>97.435000000000002</v>
      </c>
      <c r="Q288" s="399">
        <v>97.435000000000002</v>
      </c>
      <c r="R288" s="399">
        <v>28.46</v>
      </c>
      <c r="S288" s="399">
        <v>75.12</v>
      </c>
      <c r="T288" s="399">
        <v>128.11000000000001</v>
      </c>
      <c r="U288" s="399">
        <v>70495.42</v>
      </c>
      <c r="V288" s="399">
        <v>19801.715050000003</v>
      </c>
      <c r="W288" s="399">
        <v>90297.135050000012</v>
      </c>
      <c r="X288" s="399">
        <v>73806.053599999999</v>
      </c>
      <c r="Y288" s="399">
        <v>0</v>
      </c>
      <c r="Z288" s="399">
        <v>3996.2725365435131</v>
      </c>
      <c r="AA288" s="399">
        <v>0</v>
      </c>
      <c r="AB288" s="399">
        <v>0</v>
      </c>
      <c r="AC288" s="399">
        <v>0</v>
      </c>
      <c r="AD288" s="399">
        <v>0</v>
      </c>
      <c r="AE288" s="399">
        <v>56951.103369710334</v>
      </c>
      <c r="AF288" s="399">
        <v>12482.499808437706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921.13591500542327</v>
      </c>
      <c r="AM288" s="399"/>
      <c r="AN288" s="399">
        <v>23.847800846310772</v>
      </c>
      <c r="AO288" s="399">
        <v>2039.2421690755602</v>
      </c>
      <c r="AP288" s="399">
        <v>11495.603863067072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289.12675319604159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12771.626561633748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73807.076400000005</v>
      </c>
      <c r="CJ288" s="399">
        <v>-16490.088649999991</v>
      </c>
      <c r="CK288" s="399"/>
      <c r="CL288" s="399"/>
      <c r="CM288" s="399"/>
      <c r="CN288" s="399"/>
      <c r="CO288" s="399">
        <v>-17062.050550000004</v>
      </c>
      <c r="CP288" s="399">
        <v>570.96909999999855</v>
      </c>
      <c r="CQ288" s="399">
        <v>31</v>
      </c>
      <c r="CR288" s="399">
        <v>1117.7689802033346</v>
      </c>
      <c r="CS288" s="399">
        <v>148.85613420187406</v>
      </c>
      <c r="CT288" s="399">
        <v>839.1309170249333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0</v>
      </c>
      <c r="DA288" s="399">
        <v>0</v>
      </c>
      <c r="DB288" s="399">
        <v>0</v>
      </c>
      <c r="DC288" s="399">
        <v>570.9139768838977</v>
      </c>
      <c r="DD288" s="399">
        <v>0</v>
      </c>
      <c r="DE288" s="399">
        <v>0</v>
      </c>
      <c r="DF288" s="399">
        <v>0</v>
      </c>
      <c r="DG288" s="399">
        <v>13.223833929411001</v>
      </c>
      <c r="DH288" s="399">
        <v>0</v>
      </c>
      <c r="DI288" s="399">
        <v>-378.01214498568606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-73.549553331133325</v>
      </c>
      <c r="DP288" s="399">
        <v>-2.7941835199661575</v>
      </c>
      <c r="DQ288" s="399">
        <v>0</v>
      </c>
      <c r="DR288" s="399">
        <v>0</v>
      </c>
      <c r="DS288" s="399"/>
      <c r="DT288" s="399"/>
      <c r="DU288" s="399">
        <v>56951.103369710334</v>
      </c>
      <c r="DV288" s="399">
        <v>0</v>
      </c>
      <c r="DW288" s="399">
        <v>0</v>
      </c>
      <c r="DX288" s="399">
        <v>0</v>
      </c>
      <c r="DY288" s="399">
        <v>-17062.05055</v>
      </c>
      <c r="DZ288" s="399">
        <v>570.96909999999843</v>
      </c>
      <c r="EA288" s="399">
        <v>0</v>
      </c>
      <c r="EB288" s="399">
        <v>0</v>
      </c>
      <c r="EC288" s="399">
        <v>-17609.333836734506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2088.9094471068306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230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287</v>
      </c>
      <c r="B289" s="399" t="s">
        <v>956</v>
      </c>
      <c r="C289" s="399" t="s">
        <v>2336</v>
      </c>
      <c r="D289" s="399" t="s">
        <v>535</v>
      </c>
      <c r="E289" s="399" t="s">
        <v>890</v>
      </c>
      <c r="F289" s="399" t="s">
        <v>1239</v>
      </c>
      <c r="G289" s="399" t="s">
        <v>1239</v>
      </c>
      <c r="H289" s="399" t="s">
        <v>1239</v>
      </c>
      <c r="I289" s="399" t="s">
        <v>2326</v>
      </c>
      <c r="J289" s="399" t="s">
        <v>2329</v>
      </c>
      <c r="K289" s="789">
        <v>44621</v>
      </c>
      <c r="L289" s="399">
        <v>2500</v>
      </c>
      <c r="M289" s="399">
        <v>2500</v>
      </c>
      <c r="N289" s="399">
        <v>954.22400000000005</v>
      </c>
      <c r="O289" s="399">
        <v>954.22400000000005</v>
      </c>
      <c r="P289" s="399">
        <v>954.22400000000005</v>
      </c>
      <c r="Q289" s="399">
        <v>954.22400000000005</v>
      </c>
      <c r="R289" s="399">
        <v>9.92</v>
      </c>
      <c r="S289" s="399">
        <v>75.12</v>
      </c>
      <c r="T289" s="399">
        <v>128.11000000000001</v>
      </c>
      <c r="U289" s="399">
        <v>24800</v>
      </c>
      <c r="V289" s="399">
        <v>193926.94352000003</v>
      </c>
      <c r="W289" s="399">
        <v>218726.94352000003</v>
      </c>
      <c r="X289" s="399">
        <v>217096.06144000002</v>
      </c>
      <c r="Y289" s="399">
        <v>0</v>
      </c>
      <c r="Z289" s="399">
        <v>39137.262430447961</v>
      </c>
      <c r="AA289" s="399">
        <v>0</v>
      </c>
      <c r="AB289" s="399">
        <v>0</v>
      </c>
      <c r="AC289" s="399">
        <v>0</v>
      </c>
      <c r="AD289" s="399">
        <v>0</v>
      </c>
      <c r="AE289" s="399">
        <v>12300.546167828574</v>
      </c>
      <c r="AF289" s="399">
        <v>122246.63516402381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9021.0909566391456</v>
      </c>
      <c r="AM289" s="399"/>
      <c r="AN289" s="399">
        <v>233.55204920993535</v>
      </c>
      <c r="AO289" s="399">
        <v>1858.1087599355999</v>
      </c>
      <c r="AP289" s="399">
        <v>10633.863386614099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2831.5460249575576</v>
      </c>
      <c r="BH289" s="399">
        <v>0</v>
      </c>
      <c r="BI289" s="399">
        <v>0</v>
      </c>
      <c r="BJ289" s="399">
        <v>0</v>
      </c>
      <c r="BK289" s="399">
        <v>0</v>
      </c>
      <c r="BL289" s="399">
        <v>0</v>
      </c>
      <c r="BM289" s="399"/>
      <c r="BN289" s="399"/>
      <c r="BO289" s="399"/>
      <c r="BP289" s="399"/>
      <c r="BQ289" s="399"/>
      <c r="BR289" s="399"/>
      <c r="BS289" s="399"/>
      <c r="BT289" s="399"/>
      <c r="BU289" s="399"/>
      <c r="BV289" s="399">
        <v>125078.18118898137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217095.24320000003</v>
      </c>
      <c r="CJ289" s="399">
        <v>-1631.7303200000024</v>
      </c>
      <c r="CK289" s="399"/>
      <c r="CL289" s="399"/>
      <c r="CM289" s="399"/>
      <c r="CN289" s="399"/>
      <c r="CO289" s="399">
        <v>-7222.6347200000018</v>
      </c>
      <c r="CP289" s="399">
        <v>5591.7526399999861</v>
      </c>
      <c r="CQ289" s="399">
        <v>31</v>
      </c>
      <c r="CR289" s="399">
        <v>2182.8733928232105</v>
      </c>
      <c r="CS289" s="399">
        <v>135.63415425841004</v>
      </c>
      <c r="CT289" s="399">
        <v>776.22747281642478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0</v>
      </c>
      <c r="DA289" s="399">
        <v>0</v>
      </c>
      <c r="DB289" s="399">
        <v>0</v>
      </c>
      <c r="DC289" s="399">
        <v>5591.2127949716378</v>
      </c>
      <c r="DD289" s="399">
        <v>0</v>
      </c>
      <c r="DE289" s="399">
        <v>0</v>
      </c>
      <c r="DF289" s="399">
        <v>0</v>
      </c>
      <c r="DG289" s="399">
        <v>129.50684771856413</v>
      </c>
      <c r="DH289" s="399">
        <v>0</v>
      </c>
      <c r="DI289" s="399">
        <v>-3702.0399346930935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-720.30326861854155</v>
      </c>
      <c r="DP289" s="399">
        <v>-27.364673630175901</v>
      </c>
      <c r="DQ289" s="399">
        <v>0</v>
      </c>
      <c r="DR289" s="399">
        <v>0</v>
      </c>
      <c r="DS289" s="399"/>
      <c r="DT289" s="399"/>
      <c r="DU289" s="399">
        <v>12300.546167828574</v>
      </c>
      <c r="DV289" s="399">
        <v>0</v>
      </c>
      <c r="DW289" s="399">
        <v>0</v>
      </c>
      <c r="DX289" s="399">
        <v>0</v>
      </c>
      <c r="DY289" s="399">
        <v>-7222.6347200000018</v>
      </c>
      <c r="DZ289" s="399">
        <v>5591.752639999977</v>
      </c>
      <c r="EA289" s="399">
        <v>0</v>
      </c>
      <c r="EB289" s="399">
        <v>0</v>
      </c>
      <c r="EC289" s="399">
        <v>-3803.3402520285745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20457.613057485181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230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288</v>
      </c>
      <c r="B290" s="399" t="s">
        <v>956</v>
      </c>
      <c r="C290" s="399" t="s">
        <v>2336</v>
      </c>
      <c r="D290" s="399" t="s">
        <v>535</v>
      </c>
      <c r="E290" s="399" t="s">
        <v>890</v>
      </c>
      <c r="F290" s="399" t="s">
        <v>1239</v>
      </c>
      <c r="G290" s="399" t="s">
        <v>1239</v>
      </c>
      <c r="H290" s="399" t="s">
        <v>1239</v>
      </c>
      <c r="I290" s="399" t="s">
        <v>1239</v>
      </c>
      <c r="J290" s="399" t="s">
        <v>2329</v>
      </c>
      <c r="K290" s="789">
        <v>44621</v>
      </c>
      <c r="L290" s="399">
        <v>0</v>
      </c>
      <c r="M290" s="399">
        <v>0</v>
      </c>
      <c r="N290" s="399">
        <v>0</v>
      </c>
      <c r="O290" s="399">
        <v>0</v>
      </c>
      <c r="P290" s="399">
        <v>0</v>
      </c>
      <c r="Q290" s="399">
        <v>0</v>
      </c>
      <c r="R290" s="399"/>
      <c r="S290" s="399"/>
      <c r="T290" s="399"/>
      <c r="U290" s="399"/>
      <c r="V290" s="399"/>
      <c r="W290" s="399"/>
      <c r="X290" s="399"/>
      <c r="Y290" s="399"/>
      <c r="Z290" s="399"/>
      <c r="AA290" s="399">
        <v>0</v>
      </c>
      <c r="AB290" s="399"/>
      <c r="AC290" s="399"/>
      <c r="AD290" s="399"/>
      <c r="AE290" s="399"/>
      <c r="AF290" s="399"/>
      <c r="AG290" s="399"/>
      <c r="AH290" s="399"/>
      <c r="AI290" s="399"/>
      <c r="AJ290" s="399"/>
      <c r="AK290" s="399"/>
      <c r="AL290" s="399"/>
      <c r="AM290" s="399"/>
      <c r="AN290" s="399"/>
      <c r="AO290" s="399"/>
      <c r="AP290" s="399"/>
      <c r="AQ290" s="399"/>
      <c r="AR290" s="399"/>
      <c r="AS290" s="399"/>
      <c r="AT290" s="399"/>
      <c r="AU290" s="399"/>
      <c r="AV290" s="399"/>
      <c r="AW290" s="399"/>
      <c r="AX290" s="399"/>
      <c r="AY290" s="399"/>
      <c r="AZ290" s="399">
        <v>0</v>
      </c>
      <c r="BA290" s="399"/>
      <c r="BB290" s="399"/>
      <c r="BC290" s="399"/>
      <c r="BD290" s="399"/>
      <c r="BE290" s="399"/>
      <c r="BF290" s="399"/>
      <c r="BG290" s="399"/>
      <c r="BH290" s="399"/>
      <c r="BI290" s="399">
        <v>0</v>
      </c>
      <c r="BJ290" s="399">
        <v>0</v>
      </c>
      <c r="BK290" s="399">
        <v>149870.18</v>
      </c>
      <c r="BL290" s="399">
        <v>1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/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/>
      <c r="CJ290" s="399">
        <v>-0.03</v>
      </c>
      <c r="CK290" s="399"/>
      <c r="CL290" s="399"/>
      <c r="CM290" s="399"/>
      <c r="CN290" s="399"/>
      <c r="CO290" s="399">
        <v>0</v>
      </c>
      <c r="CP290" s="399">
        <v>0</v>
      </c>
      <c r="CQ290" s="399">
        <v>31</v>
      </c>
      <c r="CR290" s="399"/>
      <c r="CS290" s="399"/>
      <c r="CT290" s="399"/>
      <c r="CU290" s="399"/>
      <c r="CV290" s="399"/>
      <c r="CW290" s="399"/>
      <c r="CX290" s="399"/>
      <c r="CY290" s="399"/>
      <c r="CZ290" s="399"/>
      <c r="DA290" s="399"/>
      <c r="DB290" s="399"/>
      <c r="DC290" s="399"/>
      <c r="DD290" s="399"/>
      <c r="DE290" s="399"/>
      <c r="DF290" s="399"/>
      <c r="DG290" s="399"/>
      <c r="DH290" s="399"/>
      <c r="DI290" s="399"/>
      <c r="DJ290" s="399"/>
      <c r="DK290" s="399">
        <v>0</v>
      </c>
      <c r="DL290" s="399"/>
      <c r="DM290" s="399"/>
      <c r="DN290" s="399"/>
      <c r="DO290" s="399"/>
      <c r="DP290" s="399"/>
      <c r="DQ290" s="399"/>
      <c r="DR290" s="399"/>
      <c r="DS290" s="399"/>
      <c r="DT290" s="399"/>
      <c r="DU290" s="399"/>
      <c r="DV290" s="399"/>
      <c r="DW290" s="399"/>
      <c r="DX290" s="399"/>
      <c r="DY290" s="399"/>
      <c r="DZ290" s="399"/>
      <c r="EA290" s="399"/>
      <c r="EB290" s="399"/>
      <c r="EC290" s="399"/>
      <c r="ED290" s="399"/>
      <c r="EE290" s="399"/>
      <c r="EF290" s="399"/>
      <c r="EG290" s="399"/>
      <c r="EH290" s="399"/>
      <c r="EI290" s="399"/>
      <c r="EJ290" s="399"/>
      <c r="EK290" s="399"/>
      <c r="EL290" s="399"/>
      <c r="EM290" s="399"/>
      <c r="EN290" s="399"/>
      <c r="EO290" s="399"/>
      <c r="EP290" s="399"/>
      <c r="EQ290" s="399"/>
      <c r="ER290" s="399"/>
      <c r="ES290" s="399"/>
      <c r="ET290" s="399"/>
      <c r="EU290" s="399"/>
      <c r="EV290" s="399">
        <v>230</v>
      </c>
      <c r="EW290" s="399"/>
      <c r="EX290" s="399"/>
      <c r="EY290" s="399"/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289</v>
      </c>
      <c r="B291" s="399" t="s">
        <v>956</v>
      </c>
      <c r="C291" s="399" t="s">
        <v>2336</v>
      </c>
      <c r="D291" s="399" t="s">
        <v>533</v>
      </c>
      <c r="E291" s="399" t="s">
        <v>890</v>
      </c>
      <c r="F291" s="399" t="s">
        <v>1239</v>
      </c>
      <c r="G291" s="399" t="s">
        <v>1239</v>
      </c>
      <c r="H291" s="399" t="s">
        <v>1239</v>
      </c>
      <c r="I291" s="399" t="s">
        <v>893</v>
      </c>
      <c r="J291" s="399" t="s">
        <v>2329</v>
      </c>
      <c r="K291" s="789">
        <v>44621</v>
      </c>
      <c r="L291" s="399">
        <v>6176</v>
      </c>
      <c r="M291" s="399">
        <v>6176</v>
      </c>
      <c r="N291" s="399">
        <v>373.58699999999999</v>
      </c>
      <c r="O291" s="399">
        <v>373.58699999999999</v>
      </c>
      <c r="P291" s="399">
        <v>373.58699999999999</v>
      </c>
      <c r="Q291" s="399">
        <v>373.58699999999999</v>
      </c>
      <c r="R291" s="399">
        <v>52.19</v>
      </c>
      <c r="S291" s="399">
        <v>96.28</v>
      </c>
      <c r="T291" s="399">
        <v>128.11000000000001</v>
      </c>
      <c r="U291" s="399">
        <v>322325.44</v>
      </c>
      <c r="V291" s="399">
        <v>83829.186929999996</v>
      </c>
      <c r="W291" s="399">
        <v>406154.62693000003</v>
      </c>
      <c r="X291" s="399">
        <v>319475.22368000005</v>
      </c>
      <c r="Y291" s="399">
        <v>0</v>
      </c>
      <c r="Z291" s="399">
        <v>19896.482955807875</v>
      </c>
      <c r="AA291" s="399">
        <v>0</v>
      </c>
      <c r="AB291" s="399">
        <v>0</v>
      </c>
      <c r="AC291" s="399">
        <v>0</v>
      </c>
      <c r="AD291" s="399">
        <v>0</v>
      </c>
      <c r="AE291" s="399">
        <v>288627.00096055516</v>
      </c>
      <c r="AF291" s="399">
        <v>47860.621500844834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3531.8356142980556</v>
      </c>
      <c r="AM291" s="399"/>
      <c r="AN291" s="399">
        <v>183.65561303729626</v>
      </c>
      <c r="AO291" s="399">
        <v>5333.7766235725221</v>
      </c>
      <c r="AP291" s="399">
        <v>28374.298386829785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1957.078579392125</v>
      </c>
      <c r="BH291" s="399">
        <v>0</v>
      </c>
      <c r="BI291" s="399">
        <v>0</v>
      </c>
      <c r="BJ291" s="399">
        <v>0</v>
      </c>
      <c r="BK291" s="399">
        <v>0</v>
      </c>
      <c r="BL291" s="399">
        <v>0</v>
      </c>
      <c r="BM291" s="399"/>
      <c r="BN291" s="399"/>
      <c r="BO291" s="399"/>
      <c r="BP291" s="399"/>
      <c r="BQ291" s="399"/>
      <c r="BR291" s="399"/>
      <c r="BS291" s="399"/>
      <c r="BT291" s="399"/>
      <c r="BU291" s="399"/>
      <c r="BV291" s="399">
        <v>49817.700080236958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319475.89760000003</v>
      </c>
      <c r="CJ291" s="399">
        <v>-86678.75933000003</v>
      </c>
      <c r="CK291" s="399"/>
      <c r="CL291" s="399"/>
      <c r="CM291" s="399"/>
      <c r="CN291" s="399"/>
      <c r="CO291" s="399">
        <v>-88868.623069999987</v>
      </c>
      <c r="CP291" s="399">
        <v>2189.2198199999943</v>
      </c>
      <c r="CQ291" s="399">
        <v>31</v>
      </c>
      <c r="CR291" s="399">
        <v>2553.5126179850922</v>
      </c>
      <c r="CS291" s="399">
        <v>389.34334573968408</v>
      </c>
      <c r="CT291" s="399">
        <v>2071.2048978805797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0</v>
      </c>
      <c r="DA291" s="399">
        <v>0</v>
      </c>
      <c r="DB291" s="399">
        <v>0</v>
      </c>
      <c r="DC291" s="399">
        <v>2189.0084659734712</v>
      </c>
      <c r="DD291" s="399">
        <v>0</v>
      </c>
      <c r="DE291" s="399">
        <v>0</v>
      </c>
      <c r="DF291" s="399">
        <v>0</v>
      </c>
      <c r="DG291" s="399">
        <v>89.51119823608451</v>
      </c>
      <c r="DH291" s="399">
        <v>0</v>
      </c>
      <c r="DI291" s="399">
        <v>-1882.0318511863334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-282.00499800193074</v>
      </c>
      <c r="DP291" s="399">
        <v>-21.518440656446614</v>
      </c>
      <c r="DQ291" s="399">
        <v>0</v>
      </c>
      <c r="DR291" s="399">
        <v>0</v>
      </c>
      <c r="DS291" s="399"/>
      <c r="DT291" s="399"/>
      <c r="DU291" s="399">
        <v>288627.00096055516</v>
      </c>
      <c r="DV291" s="399">
        <v>0</v>
      </c>
      <c r="DW291" s="399">
        <v>0</v>
      </c>
      <c r="DX291" s="399">
        <v>0</v>
      </c>
      <c r="DY291" s="399">
        <v>-88868.623069999972</v>
      </c>
      <c r="DZ291" s="399">
        <v>2189.2198199999912</v>
      </c>
      <c r="EA291" s="399">
        <v>0</v>
      </c>
      <c r="EB291" s="399">
        <v>0</v>
      </c>
      <c r="EC291" s="399">
        <v>-89243.735651890602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10400.17937478684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230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290</v>
      </c>
      <c r="B292" s="399" t="s">
        <v>956</v>
      </c>
      <c r="C292" s="399" t="s">
        <v>2336</v>
      </c>
      <c r="D292" s="399" t="s">
        <v>533</v>
      </c>
      <c r="E292" s="399" t="s">
        <v>890</v>
      </c>
      <c r="F292" s="399" t="s">
        <v>1239</v>
      </c>
      <c r="G292" s="399" t="s">
        <v>1239</v>
      </c>
      <c r="H292" s="399" t="s">
        <v>1239</v>
      </c>
      <c r="I292" s="399" t="s">
        <v>2326</v>
      </c>
      <c r="J292" s="399" t="s">
        <v>2329</v>
      </c>
      <c r="K292" s="789">
        <v>44621</v>
      </c>
      <c r="L292" s="399">
        <v>6633</v>
      </c>
      <c r="M292" s="399">
        <v>6633</v>
      </c>
      <c r="N292" s="399">
        <v>3365.5079999999998</v>
      </c>
      <c r="O292" s="399">
        <v>3365.5079999999998</v>
      </c>
      <c r="P292" s="399">
        <v>3365.5079999999998</v>
      </c>
      <c r="Q292" s="399">
        <v>3365.5079999999998</v>
      </c>
      <c r="R292" s="399">
        <v>18.12</v>
      </c>
      <c r="S292" s="399">
        <v>96.28</v>
      </c>
      <c r="T292" s="399">
        <v>128.11000000000001</v>
      </c>
      <c r="U292" s="399">
        <v>120189.96</v>
      </c>
      <c r="V292" s="399">
        <v>755186.34012000007</v>
      </c>
      <c r="W292" s="399">
        <v>875376.30012000003</v>
      </c>
      <c r="X292" s="399">
        <v>851874.56712000002</v>
      </c>
      <c r="Y292" s="399">
        <v>0</v>
      </c>
      <c r="Z292" s="399">
        <v>179240.10353581639</v>
      </c>
      <c r="AA292" s="399">
        <v>0</v>
      </c>
      <c r="AB292" s="399">
        <v>0</v>
      </c>
      <c r="AC292" s="399">
        <v>0</v>
      </c>
      <c r="AD292" s="399">
        <v>0</v>
      </c>
      <c r="AE292" s="399">
        <v>86619.937863207117</v>
      </c>
      <c r="AF292" s="399">
        <v>431158.75163232471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31817.009196264917</v>
      </c>
      <c r="AM292" s="399"/>
      <c r="AN292" s="399">
        <v>1654.4859294405983</v>
      </c>
      <c r="AO292" s="399">
        <v>5272.3754425968509</v>
      </c>
      <c r="AP292" s="399">
        <v>28265.342457323921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17630.60174891747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448789.3533812422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851875.01640000008</v>
      </c>
      <c r="CJ292" s="399">
        <v>-23501.313719999976</v>
      </c>
      <c r="CK292" s="399"/>
      <c r="CL292" s="399"/>
      <c r="CM292" s="399"/>
      <c r="CN292" s="399"/>
      <c r="CO292" s="399">
        <v>-43223.609880000004</v>
      </c>
      <c r="CP292" s="399">
        <v>19721.876879999949</v>
      </c>
      <c r="CQ292" s="399">
        <v>31</v>
      </c>
      <c r="CR292" s="399">
        <v>3285.594775116886</v>
      </c>
      <c r="CS292" s="399">
        <v>384.86131679085065</v>
      </c>
      <c r="CT292" s="399">
        <v>2063.2515715368318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0</v>
      </c>
      <c r="DA292" s="399">
        <v>0</v>
      </c>
      <c r="DB292" s="399">
        <v>0</v>
      </c>
      <c r="DC292" s="399">
        <v>19719.972869241843</v>
      </c>
      <c r="DD292" s="399">
        <v>0</v>
      </c>
      <c r="DE292" s="399">
        <v>0</v>
      </c>
      <c r="DF292" s="399">
        <v>0</v>
      </c>
      <c r="DG292" s="399">
        <v>806.37349199283926</v>
      </c>
      <c r="DH292" s="399">
        <v>0</v>
      </c>
      <c r="DI292" s="399">
        <v>-16954.533352130587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-2540.479397879164</v>
      </c>
      <c r="DP292" s="399">
        <v>-193.85172443579768</v>
      </c>
      <c r="DQ292" s="399">
        <v>0</v>
      </c>
      <c r="DR292" s="399">
        <v>0</v>
      </c>
      <c r="DS292" s="399"/>
      <c r="DT292" s="399"/>
      <c r="DU292" s="399">
        <v>86619.937863207117</v>
      </c>
      <c r="DV292" s="399">
        <v>0</v>
      </c>
      <c r="DW292" s="399">
        <v>0</v>
      </c>
      <c r="DX292" s="399">
        <v>0</v>
      </c>
      <c r="DY292" s="399">
        <v>-43223.609880000062</v>
      </c>
      <c r="DZ292" s="399">
        <v>19721.876879999996</v>
      </c>
      <c r="EA292" s="399">
        <v>0</v>
      </c>
      <c r="EB292" s="399">
        <v>0</v>
      </c>
      <c r="EC292" s="399">
        <v>-26782.964903216824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93691.394206115598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230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291</v>
      </c>
      <c r="B293" s="399" t="s">
        <v>956</v>
      </c>
      <c r="C293" s="399" t="s">
        <v>2336</v>
      </c>
      <c r="D293" s="399" t="s">
        <v>533</v>
      </c>
      <c r="E293" s="399" t="s">
        <v>890</v>
      </c>
      <c r="F293" s="399" t="s">
        <v>1239</v>
      </c>
      <c r="G293" s="399" t="s">
        <v>1239</v>
      </c>
      <c r="H293" s="399" t="s">
        <v>1239</v>
      </c>
      <c r="I293" s="399" t="s">
        <v>1239</v>
      </c>
      <c r="J293" s="399" t="s">
        <v>2329</v>
      </c>
      <c r="K293" s="789">
        <v>44621</v>
      </c>
      <c r="L293" s="399">
        <v>0</v>
      </c>
      <c r="M293" s="399">
        <v>0</v>
      </c>
      <c r="N293" s="399">
        <v>0</v>
      </c>
      <c r="O293" s="399">
        <v>0</v>
      </c>
      <c r="P293" s="399">
        <v>0</v>
      </c>
      <c r="Q293" s="399">
        <v>0</v>
      </c>
      <c r="R293" s="399"/>
      <c r="S293" s="399"/>
      <c r="T293" s="399"/>
      <c r="U293" s="399"/>
      <c r="V293" s="399"/>
      <c r="W293" s="399"/>
      <c r="X293" s="399"/>
      <c r="Y293" s="399"/>
      <c r="Z293" s="399"/>
      <c r="AA293" s="399">
        <v>0</v>
      </c>
      <c r="AB293" s="399"/>
      <c r="AC293" s="399"/>
      <c r="AD293" s="399"/>
      <c r="AE293" s="399"/>
      <c r="AF293" s="399"/>
      <c r="AG293" s="399"/>
      <c r="AH293" s="399"/>
      <c r="AI293" s="399"/>
      <c r="AJ293" s="399"/>
      <c r="AK293" s="399"/>
      <c r="AL293" s="399"/>
      <c r="AM293" s="399"/>
      <c r="AN293" s="399"/>
      <c r="AO293" s="399"/>
      <c r="AP293" s="399"/>
      <c r="AQ293" s="399"/>
      <c r="AR293" s="399"/>
      <c r="AS293" s="399"/>
      <c r="AT293" s="399"/>
      <c r="AU293" s="399"/>
      <c r="AV293" s="399"/>
      <c r="AW293" s="399"/>
      <c r="AX293" s="399"/>
      <c r="AY293" s="399"/>
      <c r="AZ293" s="399">
        <v>0</v>
      </c>
      <c r="BA293" s="399"/>
      <c r="BB293" s="399"/>
      <c r="BC293" s="399"/>
      <c r="BD293" s="399"/>
      <c r="BE293" s="399"/>
      <c r="BF293" s="399"/>
      <c r="BG293" s="399"/>
      <c r="BH293" s="399"/>
      <c r="BI293" s="399">
        <v>0</v>
      </c>
      <c r="BJ293" s="399">
        <v>0</v>
      </c>
      <c r="BK293" s="399">
        <v>0</v>
      </c>
      <c r="BL293" s="399">
        <v>1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/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/>
      <c r="CJ293" s="399">
        <v>-0.03</v>
      </c>
      <c r="CK293" s="399"/>
      <c r="CL293" s="399"/>
      <c r="CM293" s="399"/>
      <c r="CN293" s="399"/>
      <c r="CO293" s="399">
        <v>0</v>
      </c>
      <c r="CP293" s="399">
        <v>0</v>
      </c>
      <c r="CQ293" s="399">
        <v>31</v>
      </c>
      <c r="CR293" s="399"/>
      <c r="CS293" s="399"/>
      <c r="CT293" s="399"/>
      <c r="CU293" s="399"/>
      <c r="CV293" s="399"/>
      <c r="CW293" s="399"/>
      <c r="CX293" s="399"/>
      <c r="CY293" s="399"/>
      <c r="CZ293" s="399"/>
      <c r="DA293" s="399"/>
      <c r="DB293" s="399"/>
      <c r="DC293" s="399"/>
      <c r="DD293" s="399"/>
      <c r="DE293" s="399"/>
      <c r="DF293" s="399"/>
      <c r="DG293" s="399"/>
      <c r="DH293" s="399"/>
      <c r="DI293" s="399"/>
      <c r="DJ293" s="399"/>
      <c r="DK293" s="399">
        <v>0</v>
      </c>
      <c r="DL293" s="399"/>
      <c r="DM293" s="399"/>
      <c r="DN293" s="399"/>
      <c r="DO293" s="399"/>
      <c r="DP293" s="399"/>
      <c r="DQ293" s="399"/>
      <c r="DR293" s="399"/>
      <c r="DS293" s="399"/>
      <c r="DT293" s="399"/>
      <c r="DU293" s="399"/>
      <c r="DV293" s="399"/>
      <c r="DW293" s="399"/>
      <c r="DX293" s="399"/>
      <c r="DY293" s="399"/>
      <c r="DZ293" s="399"/>
      <c r="EA293" s="399"/>
      <c r="EB293" s="399"/>
      <c r="EC293" s="399"/>
      <c r="ED293" s="399"/>
      <c r="EE293" s="399"/>
      <c r="EF293" s="399"/>
      <c r="EG293" s="399"/>
      <c r="EH293" s="399"/>
      <c r="EI293" s="399"/>
      <c r="EJ293" s="399"/>
      <c r="EK293" s="399"/>
      <c r="EL293" s="399"/>
      <c r="EM293" s="399"/>
      <c r="EN293" s="399"/>
      <c r="EO293" s="399"/>
      <c r="EP293" s="399"/>
      <c r="EQ293" s="399"/>
      <c r="ER293" s="399"/>
      <c r="ES293" s="399"/>
      <c r="ET293" s="399"/>
      <c r="EU293" s="399"/>
      <c r="EV293" s="399">
        <v>230</v>
      </c>
      <c r="EW293" s="399"/>
      <c r="EX293" s="399"/>
      <c r="EY293" s="399"/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292</v>
      </c>
      <c r="B294" s="399" t="s">
        <v>956</v>
      </c>
      <c r="C294" s="399" t="s">
        <v>2337</v>
      </c>
      <c r="D294" s="399" t="s">
        <v>533</v>
      </c>
      <c r="E294" s="399" t="s">
        <v>890</v>
      </c>
      <c r="F294" s="399" t="s">
        <v>1239</v>
      </c>
      <c r="G294" s="399" t="s">
        <v>1239</v>
      </c>
      <c r="H294" s="399" t="s">
        <v>1239</v>
      </c>
      <c r="I294" s="399" t="s">
        <v>893</v>
      </c>
      <c r="J294" s="399" t="s">
        <v>2329</v>
      </c>
      <c r="K294" s="789">
        <v>44621</v>
      </c>
      <c r="L294" s="399">
        <v>0</v>
      </c>
      <c r="M294" s="399">
        <v>0</v>
      </c>
      <c r="N294" s="399">
        <v>860.54499999999996</v>
      </c>
      <c r="O294" s="399">
        <v>860.54499999999996</v>
      </c>
      <c r="P294" s="399">
        <v>860.54499999999996</v>
      </c>
      <c r="Q294" s="399">
        <v>860.54499999999996</v>
      </c>
      <c r="R294" s="399"/>
      <c r="S294" s="399">
        <v>1351.49</v>
      </c>
      <c r="T294" s="399">
        <v>128.11000000000001</v>
      </c>
      <c r="U294" s="399"/>
      <c r="V294" s="399">
        <v>1273262.382</v>
      </c>
      <c r="W294" s="399">
        <v>1273262.382</v>
      </c>
      <c r="X294" s="399">
        <v>982664.94094999996</v>
      </c>
      <c r="Y294" s="399">
        <v>0</v>
      </c>
      <c r="Z294" s="399">
        <v>45830.87453579939</v>
      </c>
      <c r="AA294" s="399">
        <v>0</v>
      </c>
      <c r="AB294" s="399">
        <v>0</v>
      </c>
      <c r="AC294" s="399">
        <v>0</v>
      </c>
      <c r="AD294" s="399">
        <v>0</v>
      </c>
      <c r="AE294" s="399">
        <v>967204.93243372522</v>
      </c>
      <c r="AF294" s="399">
        <v>110245.32044595909</v>
      </c>
      <c r="AG294" s="399">
        <v>0</v>
      </c>
      <c r="AH294" s="399">
        <v>0</v>
      </c>
      <c r="AI294" s="399">
        <v>0</v>
      </c>
      <c r="AJ294" s="399">
        <v>0</v>
      </c>
      <c r="AK294" s="399">
        <v>0</v>
      </c>
      <c r="AL294" s="399">
        <v>8135.4637037855182</v>
      </c>
      <c r="AM294" s="399"/>
      <c r="AN294" s="399">
        <v>423.04448367095245</v>
      </c>
      <c r="AO294" s="399">
        <v>17875.696065287044</v>
      </c>
      <c r="AP294" s="399">
        <v>95083.404836494621</v>
      </c>
      <c r="AQ294" s="399">
        <v>0</v>
      </c>
      <c r="AR294" s="399">
        <v>0</v>
      </c>
      <c r="AS294" s="399">
        <v>0</v>
      </c>
      <c r="AT294" s="399">
        <v>0</v>
      </c>
      <c r="AU294" s="399">
        <v>0</v>
      </c>
      <c r="AV294" s="399">
        <v>0</v>
      </c>
      <c r="AW294" s="399">
        <v>0</v>
      </c>
      <c r="AX294" s="399">
        <v>0</v>
      </c>
      <c r="AY294" s="399">
        <v>0</v>
      </c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>
        <v>0</v>
      </c>
      <c r="BG294" s="399">
        <v>4508.0642155722662</v>
      </c>
      <c r="BH294" s="399">
        <v>0</v>
      </c>
      <c r="BI294" s="399">
        <v>0</v>
      </c>
      <c r="BJ294" s="399">
        <v>0</v>
      </c>
      <c r="BK294" s="399">
        <v>0</v>
      </c>
      <c r="BL294" s="399">
        <v>0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>
        <v>114753.38466153135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982670.65049999999</v>
      </c>
      <c r="CJ294" s="399">
        <v>-290591.76150000002</v>
      </c>
      <c r="CK294" s="399"/>
      <c r="CL294" s="399"/>
      <c r="CM294" s="399"/>
      <c r="CN294" s="399"/>
      <c r="CO294" s="399">
        <v>-295640.23474999995</v>
      </c>
      <c r="CP294" s="399">
        <v>5042.7936999999874</v>
      </c>
      <c r="CQ294" s="399">
        <v>31</v>
      </c>
      <c r="CR294" s="399">
        <v>8459.6813703017542</v>
      </c>
      <c r="CS294" s="399">
        <v>1304.8509160893409</v>
      </c>
      <c r="CT294" s="399">
        <v>6940.6901668421488</v>
      </c>
      <c r="CU294" s="399">
        <v>0</v>
      </c>
      <c r="CV294" s="399">
        <v>0</v>
      </c>
      <c r="CW294" s="399">
        <v>0</v>
      </c>
      <c r="CX294" s="399">
        <v>0</v>
      </c>
      <c r="CY294" s="399">
        <v>0</v>
      </c>
      <c r="CZ294" s="399">
        <v>0</v>
      </c>
      <c r="DA294" s="399">
        <v>0</v>
      </c>
      <c r="DB294" s="399">
        <v>0</v>
      </c>
      <c r="DC294" s="399">
        <v>5042.3068531590834</v>
      </c>
      <c r="DD294" s="399">
        <v>0</v>
      </c>
      <c r="DE294" s="399">
        <v>0</v>
      </c>
      <c r="DF294" s="399">
        <v>0</v>
      </c>
      <c r="DG294" s="399">
        <v>206.18601312698593</v>
      </c>
      <c r="DH294" s="399">
        <v>0</v>
      </c>
      <c r="DI294" s="399">
        <v>-4335.1966192055479</v>
      </c>
      <c r="DJ294" s="399"/>
      <c r="DK294" s="399">
        <v>0</v>
      </c>
      <c r="DL294" s="399">
        <v>0</v>
      </c>
      <c r="DM294" s="399">
        <v>0</v>
      </c>
      <c r="DN294" s="399">
        <v>0</v>
      </c>
      <c r="DO294" s="399">
        <v>-649.58896055154946</v>
      </c>
      <c r="DP294" s="399">
        <v>-49.566999158701606</v>
      </c>
      <c r="DQ294" s="399">
        <v>0</v>
      </c>
      <c r="DR294" s="399">
        <v>0</v>
      </c>
      <c r="DS294" s="399"/>
      <c r="DT294" s="399"/>
      <c r="DU294" s="399"/>
      <c r="DV294" s="399">
        <v>967204.93243372522</v>
      </c>
      <c r="DW294" s="399">
        <v>0</v>
      </c>
      <c r="DX294" s="399">
        <v>0</v>
      </c>
      <c r="DY294" s="399">
        <v>-295640.23474999995</v>
      </c>
      <c r="DZ294" s="399">
        <v>5042.7936999999802</v>
      </c>
      <c r="EA294" s="399">
        <v>0</v>
      </c>
      <c r="EB294" s="399">
        <v>0</v>
      </c>
      <c r="EC294" s="399">
        <v>-299060.65968899487</v>
      </c>
      <c r="ED294" s="399">
        <v>0</v>
      </c>
      <c r="EE294" s="399">
        <v>0</v>
      </c>
      <c r="EF294" s="399">
        <v>0</v>
      </c>
      <c r="EG294" s="399">
        <v>0</v>
      </c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>
        <v>0</v>
      </c>
      <c r="EN294" s="399">
        <v>0</v>
      </c>
      <c r="EO294" s="399">
        <v>0</v>
      </c>
      <c r="EP294" s="399">
        <v>23956.460904892145</v>
      </c>
      <c r="EQ294" s="399">
        <v>0</v>
      </c>
      <c r="ER294" s="399">
        <v>0</v>
      </c>
      <c r="ES294" s="399">
        <v>0</v>
      </c>
      <c r="ET294" s="399">
        <v>0</v>
      </c>
      <c r="EU294" s="399">
        <v>0</v>
      </c>
      <c r="EV294" s="399">
        <v>230</v>
      </c>
      <c r="EW294" s="399">
        <v>0</v>
      </c>
      <c r="EX294" s="399">
        <v>0</v>
      </c>
      <c r="EY294" s="399">
        <v>0</v>
      </c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293</v>
      </c>
      <c r="B295" s="399" t="s">
        <v>956</v>
      </c>
      <c r="C295" s="399" t="s">
        <v>2337</v>
      </c>
      <c r="D295" s="399" t="s">
        <v>533</v>
      </c>
      <c r="E295" s="399" t="s">
        <v>890</v>
      </c>
      <c r="F295" s="399" t="s">
        <v>1239</v>
      </c>
      <c r="G295" s="399" t="s">
        <v>1239</v>
      </c>
      <c r="H295" s="399" t="s">
        <v>1239</v>
      </c>
      <c r="I295" s="399" t="s">
        <v>2326</v>
      </c>
      <c r="J295" s="399" t="s">
        <v>2329</v>
      </c>
      <c r="K295" s="789">
        <v>44621</v>
      </c>
      <c r="L295" s="399">
        <v>0</v>
      </c>
      <c r="M295" s="399">
        <v>0</v>
      </c>
      <c r="N295" s="399">
        <v>14615.763000000001</v>
      </c>
      <c r="O295" s="399">
        <v>14615.763000000001</v>
      </c>
      <c r="P295" s="399">
        <v>14615.763000000001</v>
      </c>
      <c r="Q295" s="399">
        <v>14615.763000000001</v>
      </c>
      <c r="R295" s="399"/>
      <c r="S295" s="399">
        <v>96.28</v>
      </c>
      <c r="T295" s="399">
        <v>128.11000000000001</v>
      </c>
      <c r="U295" s="399"/>
      <c r="V295" s="399">
        <v>3279631.0595700005</v>
      </c>
      <c r="W295" s="399">
        <v>3279631.0595700005</v>
      </c>
      <c r="X295" s="399">
        <v>3283285.0003200001</v>
      </c>
      <c r="Y295" s="399">
        <v>0</v>
      </c>
      <c r="Z295" s="399">
        <v>778405.77808014571</v>
      </c>
      <c r="AA295" s="399">
        <v>0</v>
      </c>
      <c r="AB295" s="399">
        <v>0</v>
      </c>
      <c r="AC295" s="399">
        <v>0</v>
      </c>
      <c r="AD295" s="399">
        <v>0</v>
      </c>
      <c r="AE295" s="399">
        <v>0</v>
      </c>
      <c r="AF295" s="399">
        <v>1872440.6922324719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138175.23707607546</v>
      </c>
      <c r="AM295" s="399"/>
      <c r="AN295" s="399">
        <v>7185.1186303935428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76566.359880755976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1949007.0521132278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3283284.3264000001</v>
      </c>
      <c r="CJ295" s="399">
        <v>3653.2368300003</v>
      </c>
      <c r="CK295" s="399"/>
      <c r="CL295" s="399"/>
      <c r="CM295" s="399"/>
      <c r="CN295" s="399"/>
      <c r="CO295" s="399">
        <v>-81994.430429999993</v>
      </c>
      <c r="CP295" s="399">
        <v>85648.371179999784</v>
      </c>
      <c r="CQ295" s="399">
        <v>31</v>
      </c>
      <c r="CR295" s="399">
        <v>3637.0250120046549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0</v>
      </c>
      <c r="DA295" s="399">
        <v>0</v>
      </c>
      <c r="DB295" s="399">
        <v>0</v>
      </c>
      <c r="DC295" s="399">
        <v>85640.102422358934</v>
      </c>
      <c r="DD295" s="399">
        <v>0</v>
      </c>
      <c r="DE295" s="399">
        <v>0</v>
      </c>
      <c r="DF295" s="399">
        <v>0</v>
      </c>
      <c r="DG295" s="399">
        <v>3501.9271528844256</v>
      </c>
      <c r="DH295" s="399">
        <v>0</v>
      </c>
      <c r="DI295" s="399">
        <v>-73630.323044941993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-11032.82024163501</v>
      </c>
      <c r="DP295" s="399">
        <v>-841.86127666162974</v>
      </c>
      <c r="DQ295" s="399">
        <v>0</v>
      </c>
      <c r="DR295" s="399">
        <v>0</v>
      </c>
      <c r="DS295" s="399"/>
      <c r="DT295" s="399"/>
      <c r="DU295" s="399"/>
      <c r="DV295" s="399">
        <v>0</v>
      </c>
      <c r="DW295" s="399">
        <v>0</v>
      </c>
      <c r="DX295" s="399">
        <v>0</v>
      </c>
      <c r="DY295" s="399">
        <v>-81994.430429999949</v>
      </c>
      <c r="DZ295" s="399">
        <v>85648.371179999784</v>
      </c>
      <c r="EA295" s="399">
        <v>0</v>
      </c>
      <c r="EB295" s="399">
        <v>0</v>
      </c>
      <c r="EC295" s="399">
        <v>0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406883.95714886399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230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294</v>
      </c>
      <c r="B296" s="399" t="s">
        <v>956</v>
      </c>
      <c r="C296" s="399" t="s">
        <v>2337</v>
      </c>
      <c r="D296" s="399" t="s">
        <v>533</v>
      </c>
      <c r="E296" s="399" t="s">
        <v>890</v>
      </c>
      <c r="F296" s="399" t="s">
        <v>1239</v>
      </c>
      <c r="G296" s="399" t="s">
        <v>1239</v>
      </c>
      <c r="H296" s="399" t="s">
        <v>1239</v>
      </c>
      <c r="I296" s="399" t="s">
        <v>1239</v>
      </c>
      <c r="J296" s="399" t="s">
        <v>2329</v>
      </c>
      <c r="K296" s="789">
        <v>44621</v>
      </c>
      <c r="L296" s="399">
        <v>51344</v>
      </c>
      <c r="M296" s="399">
        <v>51344</v>
      </c>
      <c r="N296" s="399">
        <v>0</v>
      </c>
      <c r="O296" s="399">
        <v>0</v>
      </c>
      <c r="P296" s="399">
        <v>0</v>
      </c>
      <c r="Q296" s="399">
        <v>0</v>
      </c>
      <c r="R296" s="399">
        <v>18.12</v>
      </c>
      <c r="S296" s="399"/>
      <c r="T296" s="399"/>
      <c r="U296" s="399">
        <v>930353.28</v>
      </c>
      <c r="V296" s="399"/>
      <c r="W296" s="399">
        <v>930353.28</v>
      </c>
      <c r="X296" s="399">
        <v>741920.79999999993</v>
      </c>
      <c r="Y296" s="399">
        <v>0</v>
      </c>
      <c r="Z296" s="399">
        <v>0</v>
      </c>
      <c r="AA296" s="399">
        <v>0</v>
      </c>
      <c r="AB296" s="399">
        <v>0</v>
      </c>
      <c r="AC296" s="399">
        <v>0</v>
      </c>
      <c r="AD296" s="399">
        <v>0</v>
      </c>
      <c r="AE296" s="399">
        <v>670498.12899871939</v>
      </c>
      <c r="AF296" s="399"/>
      <c r="AG296" s="399"/>
      <c r="AH296" s="399"/>
      <c r="AI296" s="399">
        <v>0</v>
      </c>
      <c r="AJ296" s="399">
        <v>0</v>
      </c>
      <c r="AK296" s="399">
        <v>0</v>
      </c>
      <c r="AL296" s="399">
        <v>0</v>
      </c>
      <c r="AM296" s="399"/>
      <c r="AN296" s="399">
        <v>0</v>
      </c>
      <c r="AO296" s="399">
        <v>40811.826432186448</v>
      </c>
      <c r="AP296" s="399">
        <v>218793.26747004967</v>
      </c>
      <c r="AQ296" s="399">
        <v>0</v>
      </c>
      <c r="AR296" s="399">
        <v>0</v>
      </c>
      <c r="AS296" s="399"/>
      <c r="AT296" s="399"/>
      <c r="AU296" s="399">
        <v>0</v>
      </c>
      <c r="AV296" s="399">
        <v>0</v>
      </c>
      <c r="AW296" s="399">
        <v>0</v>
      </c>
      <c r="AX296" s="399"/>
      <c r="AY296" s="399"/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/>
      <c r="BG296" s="399">
        <v>0</v>
      </c>
      <c r="BH296" s="399">
        <v>0</v>
      </c>
      <c r="BI296" s="399">
        <v>0</v>
      </c>
      <c r="BJ296" s="399">
        <v>0</v>
      </c>
      <c r="BK296" s="399">
        <v>2204335.89</v>
      </c>
      <c r="BL296" s="399">
        <v>98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0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741920.79999999993</v>
      </c>
      <c r="CJ296" s="399">
        <v>-188432.51000000013</v>
      </c>
      <c r="CK296" s="399"/>
      <c r="CL296" s="399"/>
      <c r="CM296" s="399"/>
      <c r="CN296" s="399"/>
      <c r="CO296" s="399">
        <v>-188432.4800000001</v>
      </c>
      <c r="CP296" s="399">
        <v>0</v>
      </c>
      <c r="CQ296" s="399">
        <v>31</v>
      </c>
      <c r="CR296" s="399">
        <v>18950.084145680157</v>
      </c>
      <c r="CS296" s="399">
        <v>2979.0923336815104</v>
      </c>
      <c r="CT296" s="399">
        <v>15970.991811998654</v>
      </c>
      <c r="CU296" s="399">
        <v>0</v>
      </c>
      <c r="CV296" s="399">
        <v>0</v>
      </c>
      <c r="CW296" s="399"/>
      <c r="CX296" s="399"/>
      <c r="CY296" s="399"/>
      <c r="CZ296" s="399">
        <v>0</v>
      </c>
      <c r="DA296" s="399">
        <v>0</v>
      </c>
      <c r="DB296" s="399">
        <v>0</v>
      </c>
      <c r="DC296" s="399"/>
      <c r="DD296" s="399"/>
      <c r="DE296" s="399">
        <v>0</v>
      </c>
      <c r="DF296" s="399">
        <v>0</v>
      </c>
      <c r="DG296" s="399">
        <v>0</v>
      </c>
      <c r="DH296" s="399">
        <v>0</v>
      </c>
      <c r="DI296" s="399">
        <v>0</v>
      </c>
      <c r="DJ296" s="399"/>
      <c r="DK296" s="399">
        <v>0</v>
      </c>
      <c r="DL296" s="399">
        <v>0</v>
      </c>
      <c r="DM296" s="399"/>
      <c r="DN296" s="399">
        <v>0</v>
      </c>
      <c r="DO296" s="399">
        <v>0</v>
      </c>
      <c r="DP296" s="399">
        <v>0</v>
      </c>
      <c r="DQ296" s="399">
        <v>0</v>
      </c>
      <c r="DR296" s="399">
        <v>0</v>
      </c>
      <c r="DS296" s="399"/>
      <c r="DT296" s="399"/>
      <c r="DU296" s="399">
        <v>670498.12899871939</v>
      </c>
      <c r="DV296" s="399"/>
      <c r="DW296" s="399">
        <v>0</v>
      </c>
      <c r="DX296" s="399">
        <v>0</v>
      </c>
      <c r="DY296" s="399">
        <v>-188432.4800000001</v>
      </c>
      <c r="DZ296" s="399"/>
      <c r="EA296" s="399">
        <v>0</v>
      </c>
      <c r="EB296" s="399"/>
      <c r="EC296" s="399">
        <v>-207318.64163889101</v>
      </c>
      <c r="ED296" s="399"/>
      <c r="EE296" s="399">
        <v>0</v>
      </c>
      <c r="EF296" s="399">
        <v>0</v>
      </c>
      <c r="EG296" s="399"/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/>
      <c r="EN296" s="399"/>
      <c r="EO296" s="399">
        <v>0</v>
      </c>
      <c r="EP296" s="399">
        <v>0</v>
      </c>
      <c r="EQ296" s="399"/>
      <c r="ER296" s="399">
        <v>0</v>
      </c>
      <c r="ES296" s="399"/>
      <c r="ET296" s="399">
        <v>0</v>
      </c>
      <c r="EU296" s="399"/>
      <c r="EV296" s="399">
        <v>230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295</v>
      </c>
      <c r="B297" s="399" t="s">
        <v>956</v>
      </c>
      <c r="C297" s="399" t="s">
        <v>2328</v>
      </c>
      <c r="D297" s="399" t="s">
        <v>1826</v>
      </c>
      <c r="E297" s="399" t="s">
        <v>918</v>
      </c>
      <c r="F297" s="399" t="s">
        <v>1239</v>
      </c>
      <c r="G297" s="399" t="s">
        <v>1239</v>
      </c>
      <c r="H297" s="399" t="s">
        <v>1239</v>
      </c>
      <c r="I297" s="399" t="s">
        <v>1239</v>
      </c>
      <c r="J297" s="399" t="s">
        <v>2329</v>
      </c>
      <c r="K297" s="789">
        <v>44621</v>
      </c>
      <c r="L297" s="399">
        <v>0</v>
      </c>
      <c r="M297" s="399">
        <v>0</v>
      </c>
      <c r="N297" s="399">
        <v>1348.3889999999999</v>
      </c>
      <c r="O297" s="399">
        <v>1348.3889999999999</v>
      </c>
      <c r="P297" s="399">
        <v>1348.3889999999999</v>
      </c>
      <c r="Q297" s="399">
        <v>1348.3889999999999</v>
      </c>
      <c r="R297" s="399"/>
      <c r="S297" s="399">
        <v>333.61</v>
      </c>
      <c r="T297" s="399">
        <v>128.11000000000001</v>
      </c>
      <c r="U297" s="399"/>
      <c r="V297" s="399">
        <v>622578.16908000002</v>
      </c>
      <c r="W297" s="399">
        <v>622578.16908000002</v>
      </c>
      <c r="X297" s="399">
        <v>543441.21866999997</v>
      </c>
      <c r="Y297" s="399">
        <v>0</v>
      </c>
      <c r="Z297" s="399">
        <v>82543.049048043074</v>
      </c>
      <c r="AA297" s="399">
        <v>0</v>
      </c>
      <c r="AB297" s="399">
        <v>0</v>
      </c>
      <c r="AC297" s="399">
        <v>0</v>
      </c>
      <c r="AD297" s="399">
        <v>0</v>
      </c>
      <c r="AE297" s="399">
        <v>262256.53428142954</v>
      </c>
      <c r="AF297" s="399">
        <v>172743.52577820607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12747.467904739033</v>
      </c>
      <c r="AM297" s="399"/>
      <c r="AN297" s="399">
        <v>1160.1375885398845</v>
      </c>
      <c r="AO297" s="399">
        <v>4687.027358871158</v>
      </c>
      <c r="AP297" s="399">
        <v>25002.685849470505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18295.44198448669</v>
      </c>
      <c r="BH297" s="399">
        <v>0</v>
      </c>
      <c r="BI297" s="399">
        <v>0</v>
      </c>
      <c r="BJ297" s="399">
        <v>0</v>
      </c>
      <c r="BK297" s="399">
        <v>243229.44</v>
      </c>
      <c r="BL297" s="399">
        <v>1666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191038.96776269274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543441.62170000002</v>
      </c>
      <c r="CJ297" s="399">
        <v>-79136.577380000032</v>
      </c>
      <c r="CK297" s="399"/>
      <c r="CL297" s="399"/>
      <c r="CM297" s="399"/>
      <c r="CN297" s="399"/>
      <c r="CO297" s="399">
        <v>-87038.509950000007</v>
      </c>
      <c r="CP297" s="399">
        <v>7901.5595399999793</v>
      </c>
      <c r="CQ297" s="399">
        <v>31</v>
      </c>
      <c r="CR297" s="399">
        <v>1943.1861691708909</v>
      </c>
      <c r="CS297" s="399">
        <v>342.13335920582358</v>
      </c>
      <c r="CT297" s="399">
        <v>1825.0913092403935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0</v>
      </c>
      <c r="DA297" s="399">
        <v>0</v>
      </c>
      <c r="DB297" s="399">
        <v>0</v>
      </c>
      <c r="DC297" s="399">
        <v>7900.7966990968562</v>
      </c>
      <c r="DD297" s="399">
        <v>0</v>
      </c>
      <c r="DE297" s="399">
        <v>0</v>
      </c>
      <c r="DF297" s="399">
        <v>0</v>
      </c>
      <c r="DG297" s="399">
        <v>836.78139014666522</v>
      </c>
      <c r="DH297" s="399">
        <v>0</v>
      </c>
      <c r="DI297" s="399">
        <v>-7807.8446199509344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-1017.8417269627316</v>
      </c>
      <c r="DP297" s="399">
        <v>-135.93024160518871</v>
      </c>
      <c r="DQ297" s="399">
        <v>0</v>
      </c>
      <c r="DR297" s="399">
        <v>0</v>
      </c>
      <c r="DS297" s="399"/>
      <c r="DT297" s="399"/>
      <c r="DU297" s="399"/>
      <c r="DV297" s="399">
        <v>262256.53428142954</v>
      </c>
      <c r="DW297" s="399">
        <v>0</v>
      </c>
      <c r="DX297" s="399">
        <v>0</v>
      </c>
      <c r="DY297" s="399">
        <v>-87038.509950000036</v>
      </c>
      <c r="DZ297" s="399">
        <v>7901.5595399999875</v>
      </c>
      <c r="EA297" s="399">
        <v>0</v>
      </c>
      <c r="EB297" s="399">
        <v>0</v>
      </c>
      <c r="EC297" s="399">
        <v>-81089.962964315782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43146.445437025781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230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296</v>
      </c>
      <c r="B298" s="399" t="s">
        <v>2331</v>
      </c>
      <c r="C298" s="399" t="s">
        <v>2328</v>
      </c>
      <c r="D298" s="399" t="s">
        <v>1826</v>
      </c>
      <c r="E298" s="399" t="s">
        <v>918</v>
      </c>
      <c r="F298" s="399" t="s">
        <v>1239</v>
      </c>
      <c r="G298" s="399" t="s">
        <v>1239</v>
      </c>
      <c r="H298" s="399" t="s">
        <v>1239</v>
      </c>
      <c r="I298" s="399" t="s">
        <v>1239</v>
      </c>
      <c r="J298" s="399" t="s">
        <v>2329</v>
      </c>
      <c r="K298" s="789">
        <v>44621</v>
      </c>
      <c r="L298" s="399">
        <v>0</v>
      </c>
      <c r="M298" s="399">
        <v>0</v>
      </c>
      <c r="N298" s="399">
        <v>1.5609999999999999</v>
      </c>
      <c r="O298" s="399">
        <v>1.5609999999999999</v>
      </c>
      <c r="P298" s="399">
        <v>1.5609999999999999</v>
      </c>
      <c r="Q298" s="399">
        <v>1.5609999999999999</v>
      </c>
      <c r="R298" s="399"/>
      <c r="S298" s="399">
        <v>333.61</v>
      </c>
      <c r="T298" s="399">
        <v>128.11000000000001</v>
      </c>
      <c r="U298" s="399"/>
      <c r="V298" s="399">
        <v>720.74492000000009</v>
      </c>
      <c r="W298" s="399">
        <v>720.74492000000009</v>
      </c>
      <c r="X298" s="399">
        <v>629.12982999999997</v>
      </c>
      <c r="Y298" s="399">
        <v>0</v>
      </c>
      <c r="Z298" s="399">
        <v>95.558254749923989</v>
      </c>
      <c r="AA298" s="399">
        <v>0</v>
      </c>
      <c r="AB298" s="399">
        <v>0</v>
      </c>
      <c r="AC298" s="399">
        <v>0</v>
      </c>
      <c r="AD298" s="399">
        <v>0</v>
      </c>
      <c r="AE298" s="399">
        <v>303.60856549060509</v>
      </c>
      <c r="AF298" s="399">
        <v>199.98134346971065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14.757460494929601</v>
      </c>
      <c r="AM298" s="399"/>
      <c r="AN298" s="399">
        <v>1.3430655216786551</v>
      </c>
      <c r="AO298" s="399">
        <v>5.4260674828983904</v>
      </c>
      <c r="AP298" s="399">
        <v>28.945054143146717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21.180226876505017</v>
      </c>
      <c r="BH298" s="399">
        <v>0</v>
      </c>
      <c r="BI298" s="399">
        <v>0</v>
      </c>
      <c r="BJ298" s="399">
        <v>0</v>
      </c>
      <c r="BK298" s="399">
        <v>1325.82</v>
      </c>
      <c r="BL298" s="399">
        <v>7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221.16157034621568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628.72680000000003</v>
      </c>
      <c r="CJ298" s="399">
        <v>-92.04812000000004</v>
      </c>
      <c r="CK298" s="399"/>
      <c r="CL298" s="399"/>
      <c r="CM298" s="399"/>
      <c r="CN298" s="399"/>
      <c r="CO298" s="399">
        <v>-100.76255000000002</v>
      </c>
      <c r="CP298" s="399">
        <v>9.1474599999999757</v>
      </c>
      <c r="CQ298" s="399">
        <v>31</v>
      </c>
      <c r="CR298" s="399">
        <v>2.2495834733712741</v>
      </c>
      <c r="CS298" s="399">
        <v>0.39608019178463483</v>
      </c>
      <c r="CT298" s="399">
        <v>2.1128676767047629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0</v>
      </c>
      <c r="DA298" s="399">
        <v>0</v>
      </c>
      <c r="DB298" s="399">
        <v>0</v>
      </c>
      <c r="DC298" s="399">
        <v>9.1465768760277513</v>
      </c>
      <c r="DD298" s="399">
        <v>0</v>
      </c>
      <c r="DE298" s="399">
        <v>0</v>
      </c>
      <c r="DF298" s="399">
        <v>0</v>
      </c>
      <c r="DG298" s="399">
        <v>0.96872323195972498</v>
      </c>
      <c r="DH298" s="399">
        <v>0</v>
      </c>
      <c r="DI298" s="399">
        <v>-9.0389683182994247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-1.1783327628665194</v>
      </c>
      <c r="DP298" s="399">
        <v>-0.15736342193958874</v>
      </c>
      <c r="DQ298" s="399">
        <v>0</v>
      </c>
      <c r="DR298" s="399">
        <v>0</v>
      </c>
      <c r="DS298" s="399"/>
      <c r="DT298" s="399"/>
      <c r="DU298" s="399"/>
      <c r="DV298" s="399">
        <v>303.60856549060509</v>
      </c>
      <c r="DW298" s="399">
        <v>0</v>
      </c>
      <c r="DX298" s="399">
        <v>0</v>
      </c>
      <c r="DY298" s="399">
        <v>-100.76255000000003</v>
      </c>
      <c r="DZ298" s="399">
        <v>9.1474599999999668</v>
      </c>
      <c r="EA298" s="399">
        <v>0</v>
      </c>
      <c r="EB298" s="399">
        <v>0</v>
      </c>
      <c r="EC298" s="399">
        <v>-93.876049261227223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49.949681677318083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230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297</v>
      </c>
      <c r="B299" s="399" t="s">
        <v>956</v>
      </c>
      <c r="C299" s="399" t="s">
        <v>2337</v>
      </c>
      <c r="D299" s="399" t="s">
        <v>533</v>
      </c>
      <c r="E299" s="399" t="s">
        <v>918</v>
      </c>
      <c r="F299" s="399" t="s">
        <v>1239</v>
      </c>
      <c r="G299" s="399" t="s">
        <v>1239</v>
      </c>
      <c r="H299" s="399" t="s">
        <v>1239</v>
      </c>
      <c r="I299" s="399" t="s">
        <v>893</v>
      </c>
      <c r="J299" s="399" t="s">
        <v>2329</v>
      </c>
      <c r="K299" s="789">
        <v>44621</v>
      </c>
      <c r="L299" s="399">
        <v>0</v>
      </c>
      <c r="M299" s="399">
        <v>0</v>
      </c>
      <c r="N299" s="399">
        <v>40.914999999999999</v>
      </c>
      <c r="O299" s="399">
        <v>40.914999999999999</v>
      </c>
      <c r="P299" s="399">
        <v>40.914999999999999</v>
      </c>
      <c r="Q299" s="399">
        <v>40.914999999999999</v>
      </c>
      <c r="R299" s="399"/>
      <c r="S299" s="399">
        <v>1351.49</v>
      </c>
      <c r="T299" s="399">
        <v>128.11000000000001</v>
      </c>
      <c r="U299" s="399"/>
      <c r="V299" s="399">
        <v>60537.834000000003</v>
      </c>
      <c r="W299" s="399">
        <v>60537.834000000003</v>
      </c>
      <c r="X299" s="399">
        <v>46721.247650000005</v>
      </c>
      <c r="Y299" s="399">
        <v>0</v>
      </c>
      <c r="Z299" s="399">
        <v>2179.0495925631221</v>
      </c>
      <c r="AA299" s="399">
        <v>0</v>
      </c>
      <c r="AB299" s="399">
        <v>0</v>
      </c>
      <c r="AC299" s="399">
        <v>0</v>
      </c>
      <c r="AD299" s="399">
        <v>0</v>
      </c>
      <c r="AE299" s="399">
        <v>45986.194574979658</v>
      </c>
      <c r="AF299" s="399">
        <v>5241.6634644863616</v>
      </c>
      <c r="AG299" s="399">
        <v>0</v>
      </c>
      <c r="AH299" s="399">
        <v>0</v>
      </c>
      <c r="AI299" s="399">
        <v>0</v>
      </c>
      <c r="AJ299" s="399">
        <v>0</v>
      </c>
      <c r="AK299" s="399">
        <v>0</v>
      </c>
      <c r="AL299" s="399">
        <v>386.80428965409652</v>
      </c>
      <c r="AM299" s="399"/>
      <c r="AN299" s="399">
        <v>20.11384070489866</v>
      </c>
      <c r="AO299" s="399">
        <v>849.90802864605507</v>
      </c>
      <c r="AP299" s="399">
        <v>4520.7833511149065</v>
      </c>
      <c r="AQ299" s="399">
        <v>0</v>
      </c>
      <c r="AR299" s="399">
        <v>0</v>
      </c>
      <c r="AS299" s="399">
        <v>0</v>
      </c>
      <c r="AT299" s="399">
        <v>0</v>
      </c>
      <c r="AU299" s="399">
        <v>0</v>
      </c>
      <c r="AV299" s="399">
        <v>0</v>
      </c>
      <c r="AW299" s="399">
        <v>0</v>
      </c>
      <c r="AX299" s="399">
        <v>0</v>
      </c>
      <c r="AY299" s="399">
        <v>0</v>
      </c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>
        <v>0</v>
      </c>
      <c r="BG299" s="399">
        <v>214.33794558115991</v>
      </c>
      <c r="BH299" s="399">
        <v>0</v>
      </c>
      <c r="BI299" s="399">
        <v>0</v>
      </c>
      <c r="BJ299" s="399">
        <v>0</v>
      </c>
      <c r="BK299" s="399">
        <v>0</v>
      </c>
      <c r="BL299" s="399">
        <v>0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5456.0014100675216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46726.957200000004</v>
      </c>
      <c r="CJ299" s="399">
        <v>-13810.906800000004</v>
      </c>
      <c r="CK299" s="399"/>
      <c r="CL299" s="399"/>
      <c r="CM299" s="399"/>
      <c r="CN299" s="399"/>
      <c r="CO299" s="399">
        <v>-14056.348249999997</v>
      </c>
      <c r="CP299" s="399">
        <v>239.7618999999994</v>
      </c>
      <c r="CQ299" s="399">
        <v>31</v>
      </c>
      <c r="CR299" s="399">
        <v>402.21936478150383</v>
      </c>
      <c r="CS299" s="399">
        <v>62.039725094905293</v>
      </c>
      <c r="CT299" s="399">
        <v>329.99824317885395</v>
      </c>
      <c r="CU299" s="399">
        <v>0</v>
      </c>
      <c r="CV299" s="399">
        <v>0</v>
      </c>
      <c r="CW299" s="399">
        <v>0</v>
      </c>
      <c r="CX299" s="399">
        <v>0</v>
      </c>
      <c r="CY299" s="399">
        <v>0</v>
      </c>
      <c r="CZ299" s="399">
        <v>0</v>
      </c>
      <c r="DA299" s="399">
        <v>0</v>
      </c>
      <c r="DB299" s="399">
        <v>0</v>
      </c>
      <c r="DC299" s="399">
        <v>239.73875264745493</v>
      </c>
      <c r="DD299" s="399">
        <v>0</v>
      </c>
      <c r="DE299" s="399">
        <v>0</v>
      </c>
      <c r="DF299" s="399">
        <v>0</v>
      </c>
      <c r="DG299" s="399">
        <v>9.8032069526761063</v>
      </c>
      <c r="DH299" s="399">
        <v>0</v>
      </c>
      <c r="DI299" s="399">
        <v>-206.11887777489255</v>
      </c>
      <c r="DJ299" s="399"/>
      <c r="DK299" s="399">
        <v>0</v>
      </c>
      <c r="DL299" s="399">
        <v>0</v>
      </c>
      <c r="DM299" s="399">
        <v>0</v>
      </c>
      <c r="DN299" s="399">
        <v>0</v>
      </c>
      <c r="DO299" s="399">
        <v>-30.884999995313024</v>
      </c>
      <c r="DP299" s="399">
        <v>-2.3566853221833526</v>
      </c>
      <c r="DQ299" s="399">
        <v>0</v>
      </c>
      <c r="DR299" s="399">
        <v>0</v>
      </c>
      <c r="DS299" s="399"/>
      <c r="DT299" s="399"/>
      <c r="DU299" s="399"/>
      <c r="DV299" s="399">
        <v>45986.194574979658</v>
      </c>
      <c r="DW299" s="399">
        <v>0</v>
      </c>
      <c r="DX299" s="399">
        <v>0</v>
      </c>
      <c r="DY299" s="399">
        <v>-14056.348249999995</v>
      </c>
      <c r="DZ299" s="399">
        <v>239.76189999999951</v>
      </c>
      <c r="EA299" s="399">
        <v>0</v>
      </c>
      <c r="EB299" s="399">
        <v>0</v>
      </c>
      <c r="EC299" s="399">
        <v>-14218.973895816289</v>
      </c>
      <c r="ED299" s="399">
        <v>0</v>
      </c>
      <c r="EE299" s="399">
        <v>0</v>
      </c>
      <c r="EF299" s="399">
        <v>0</v>
      </c>
      <c r="EG299" s="399">
        <v>0</v>
      </c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>
        <v>0</v>
      </c>
      <c r="EN299" s="399">
        <v>0</v>
      </c>
      <c r="EO299" s="399">
        <v>0</v>
      </c>
      <c r="EP299" s="399">
        <v>1139.0207344458013</v>
      </c>
      <c r="EQ299" s="399">
        <v>0</v>
      </c>
      <c r="ER299" s="399">
        <v>0</v>
      </c>
      <c r="ES299" s="399">
        <v>0</v>
      </c>
      <c r="ET299" s="399">
        <v>0</v>
      </c>
      <c r="EU299" s="399">
        <v>0</v>
      </c>
      <c r="EV299" s="399">
        <v>230</v>
      </c>
      <c r="EW299" s="399">
        <v>0</v>
      </c>
      <c r="EX299" s="399">
        <v>0</v>
      </c>
      <c r="EY299" s="399">
        <v>0</v>
      </c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298</v>
      </c>
      <c r="B300" s="399" t="s">
        <v>956</v>
      </c>
      <c r="C300" s="399" t="s">
        <v>2337</v>
      </c>
      <c r="D300" s="399" t="s">
        <v>533</v>
      </c>
      <c r="E300" s="399" t="s">
        <v>918</v>
      </c>
      <c r="F300" s="399" t="s">
        <v>1239</v>
      </c>
      <c r="G300" s="399" t="s">
        <v>1239</v>
      </c>
      <c r="H300" s="399" t="s">
        <v>1239</v>
      </c>
      <c r="I300" s="399" t="s">
        <v>2326</v>
      </c>
      <c r="J300" s="399" t="s">
        <v>2329</v>
      </c>
      <c r="K300" s="789">
        <v>44621</v>
      </c>
      <c r="L300" s="399">
        <v>0</v>
      </c>
      <c r="M300" s="399">
        <v>0</v>
      </c>
      <c r="N300" s="399">
        <v>461.18900000000002</v>
      </c>
      <c r="O300" s="399">
        <v>461.18900000000002</v>
      </c>
      <c r="P300" s="399">
        <v>461.18900000000002</v>
      </c>
      <c r="Q300" s="399">
        <v>461.18900000000002</v>
      </c>
      <c r="R300" s="399"/>
      <c r="S300" s="399">
        <v>96.28</v>
      </c>
      <c r="T300" s="399">
        <v>128.11000000000001</v>
      </c>
      <c r="U300" s="399"/>
      <c r="V300" s="399">
        <v>103486.19971000002</v>
      </c>
      <c r="W300" s="399">
        <v>103486.19971000002</v>
      </c>
      <c r="X300" s="399">
        <v>103601.49696</v>
      </c>
      <c r="Y300" s="399">
        <v>0</v>
      </c>
      <c r="Z300" s="399">
        <v>24561.987108507732</v>
      </c>
      <c r="AA300" s="399">
        <v>0</v>
      </c>
      <c r="AB300" s="399">
        <v>0</v>
      </c>
      <c r="AC300" s="399">
        <v>0</v>
      </c>
      <c r="AD300" s="399">
        <v>0</v>
      </c>
      <c r="AE300" s="399">
        <v>0</v>
      </c>
      <c r="AF300" s="399">
        <v>59083.405389783722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4360.0118181909602</v>
      </c>
      <c r="AM300" s="399"/>
      <c r="AN300" s="399">
        <v>226.7208134144326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2415.9917581481013</v>
      </c>
      <c r="BH300" s="399">
        <v>0</v>
      </c>
      <c r="BI300" s="399">
        <v>0</v>
      </c>
      <c r="BJ300" s="399">
        <v>0</v>
      </c>
      <c r="BK300" s="399">
        <v>0</v>
      </c>
      <c r="BL300" s="399">
        <v>0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61499.397147931821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103601.72159999999</v>
      </c>
      <c r="CJ300" s="399">
        <v>115.49188999997568</v>
      </c>
      <c r="CK300" s="399"/>
      <c r="CL300" s="399"/>
      <c r="CM300" s="399"/>
      <c r="CN300" s="399"/>
      <c r="CO300" s="399">
        <v>-2587.2702899999999</v>
      </c>
      <c r="CP300" s="399">
        <v>2702.5675399999932</v>
      </c>
      <c r="CQ300" s="399">
        <v>31</v>
      </c>
      <c r="CR300" s="399">
        <v>114.76348708318255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0</v>
      </c>
      <c r="DA300" s="399">
        <v>0</v>
      </c>
      <c r="DB300" s="399">
        <v>0</v>
      </c>
      <c r="DC300" s="399">
        <v>2702.3066258029285</v>
      </c>
      <c r="DD300" s="399">
        <v>0</v>
      </c>
      <c r="DE300" s="399">
        <v>0</v>
      </c>
      <c r="DF300" s="399">
        <v>0</v>
      </c>
      <c r="DG300" s="399">
        <v>110.50057952579118</v>
      </c>
      <c r="DH300" s="399">
        <v>0</v>
      </c>
      <c r="DI300" s="399">
        <v>-2323.3474061377237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-348.13203624192647</v>
      </c>
      <c r="DP300" s="399">
        <v>-26.564275865878528</v>
      </c>
      <c r="DQ300" s="399">
        <v>0</v>
      </c>
      <c r="DR300" s="399">
        <v>0</v>
      </c>
      <c r="DS300" s="399"/>
      <c r="DT300" s="399"/>
      <c r="DU300" s="399"/>
      <c r="DV300" s="399">
        <v>0</v>
      </c>
      <c r="DW300" s="399">
        <v>0</v>
      </c>
      <c r="DX300" s="399">
        <v>0</v>
      </c>
      <c r="DY300" s="399">
        <v>-2587.2702900000004</v>
      </c>
      <c r="DZ300" s="399">
        <v>2702.5675399999891</v>
      </c>
      <c r="EA300" s="399">
        <v>0</v>
      </c>
      <c r="EB300" s="399">
        <v>0</v>
      </c>
      <c r="EC300" s="399">
        <v>0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12838.905865778435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230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299</v>
      </c>
      <c r="B301" s="399" t="s">
        <v>956</v>
      </c>
      <c r="C301" s="399" t="s">
        <v>2337</v>
      </c>
      <c r="D301" s="399" t="s">
        <v>533</v>
      </c>
      <c r="E301" s="399" t="s">
        <v>918</v>
      </c>
      <c r="F301" s="399" t="s">
        <v>1239</v>
      </c>
      <c r="G301" s="399" t="s">
        <v>1239</v>
      </c>
      <c r="H301" s="399" t="s">
        <v>1239</v>
      </c>
      <c r="I301" s="399" t="s">
        <v>1239</v>
      </c>
      <c r="J301" s="399" t="s">
        <v>2329</v>
      </c>
      <c r="K301" s="789">
        <v>44621</v>
      </c>
      <c r="L301" s="399">
        <v>1724</v>
      </c>
      <c r="M301" s="399">
        <v>1724</v>
      </c>
      <c r="N301" s="399">
        <v>0</v>
      </c>
      <c r="O301" s="399">
        <v>0</v>
      </c>
      <c r="P301" s="399">
        <v>0</v>
      </c>
      <c r="Q301" s="399">
        <v>0</v>
      </c>
      <c r="R301" s="399">
        <v>18.12</v>
      </c>
      <c r="S301" s="399"/>
      <c r="T301" s="399"/>
      <c r="U301" s="399">
        <v>31238.880000000001</v>
      </c>
      <c r="V301" s="399"/>
      <c r="W301" s="399">
        <v>31238.880000000001</v>
      </c>
      <c r="X301" s="399">
        <v>24911.8</v>
      </c>
      <c r="Y301" s="399">
        <v>0</v>
      </c>
      <c r="Z301" s="399">
        <v>0</v>
      </c>
      <c r="AA301" s="399">
        <v>0</v>
      </c>
      <c r="AB301" s="399">
        <v>0</v>
      </c>
      <c r="AC301" s="399">
        <v>0</v>
      </c>
      <c r="AD301" s="399">
        <v>0</v>
      </c>
      <c r="AE301" s="399">
        <v>22513.609660209415</v>
      </c>
      <c r="AF301" s="399"/>
      <c r="AG301" s="399"/>
      <c r="AH301" s="399"/>
      <c r="AI301" s="399">
        <v>0</v>
      </c>
      <c r="AJ301" s="399">
        <v>0</v>
      </c>
      <c r="AK301" s="399">
        <v>0</v>
      </c>
      <c r="AL301" s="399">
        <v>0</v>
      </c>
      <c r="AM301" s="399"/>
      <c r="AN301" s="399">
        <v>0</v>
      </c>
      <c r="AO301" s="399">
        <v>1370.3565902362386</v>
      </c>
      <c r="AP301" s="399">
        <v>7346.5174727011063</v>
      </c>
      <c r="AQ301" s="399">
        <v>0</v>
      </c>
      <c r="AR301" s="399">
        <v>0</v>
      </c>
      <c r="AS301" s="399"/>
      <c r="AT301" s="399"/>
      <c r="AU301" s="399">
        <v>0</v>
      </c>
      <c r="AV301" s="399">
        <v>0</v>
      </c>
      <c r="AW301" s="399">
        <v>0</v>
      </c>
      <c r="AX301" s="399"/>
      <c r="AY301" s="399"/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/>
      <c r="BG301" s="399">
        <v>0</v>
      </c>
      <c r="BH301" s="399">
        <v>0</v>
      </c>
      <c r="BI301" s="399">
        <v>0</v>
      </c>
      <c r="BJ301" s="399">
        <v>0</v>
      </c>
      <c r="BK301" s="399">
        <v>75076.34</v>
      </c>
      <c r="BL301" s="399">
        <v>17</v>
      </c>
      <c r="BM301" s="399"/>
      <c r="BN301" s="399"/>
      <c r="BO301" s="399"/>
      <c r="BP301" s="399"/>
      <c r="BQ301" s="399"/>
      <c r="BR301" s="399"/>
      <c r="BS301" s="399"/>
      <c r="BT301" s="399"/>
      <c r="BU301" s="399"/>
      <c r="BV301" s="399">
        <v>0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24911.8</v>
      </c>
      <c r="CJ301" s="399">
        <v>-6327.1099999999969</v>
      </c>
      <c r="CK301" s="399"/>
      <c r="CL301" s="399"/>
      <c r="CM301" s="399"/>
      <c r="CN301" s="399"/>
      <c r="CO301" s="399">
        <v>-6327.0800000000027</v>
      </c>
      <c r="CP301" s="399">
        <v>0</v>
      </c>
      <c r="CQ301" s="399">
        <v>31</v>
      </c>
      <c r="CR301" s="399">
        <v>636.29528410627609</v>
      </c>
      <c r="CS301" s="399">
        <v>100.03028948400834</v>
      </c>
      <c r="CT301" s="399">
        <v>536.2649946222673</v>
      </c>
      <c r="CU301" s="399">
        <v>0</v>
      </c>
      <c r="CV301" s="399">
        <v>0</v>
      </c>
      <c r="CW301" s="399"/>
      <c r="CX301" s="399"/>
      <c r="CY301" s="399"/>
      <c r="CZ301" s="399">
        <v>0</v>
      </c>
      <c r="DA301" s="399">
        <v>0</v>
      </c>
      <c r="DB301" s="399">
        <v>0</v>
      </c>
      <c r="DC301" s="399"/>
      <c r="DD301" s="399"/>
      <c r="DE301" s="399">
        <v>0</v>
      </c>
      <c r="DF301" s="399">
        <v>0</v>
      </c>
      <c r="DG301" s="399">
        <v>0</v>
      </c>
      <c r="DH301" s="399">
        <v>0</v>
      </c>
      <c r="DI301" s="399">
        <v>0</v>
      </c>
      <c r="DJ301" s="399"/>
      <c r="DK301" s="399">
        <v>0</v>
      </c>
      <c r="DL301" s="399">
        <v>0</v>
      </c>
      <c r="DM301" s="399"/>
      <c r="DN301" s="399">
        <v>0</v>
      </c>
      <c r="DO301" s="399">
        <v>0</v>
      </c>
      <c r="DP301" s="399">
        <v>0</v>
      </c>
      <c r="DQ301" s="399">
        <v>0</v>
      </c>
      <c r="DR301" s="399">
        <v>0</v>
      </c>
      <c r="DS301" s="399"/>
      <c r="DT301" s="399"/>
      <c r="DU301" s="399">
        <v>22513.609660209415</v>
      </c>
      <c r="DV301" s="399"/>
      <c r="DW301" s="399">
        <v>0</v>
      </c>
      <c r="DX301" s="399">
        <v>0</v>
      </c>
      <c r="DY301" s="399">
        <v>-6327.0800000000017</v>
      </c>
      <c r="DZ301" s="399"/>
      <c r="EA301" s="399">
        <v>0</v>
      </c>
      <c r="EB301" s="399"/>
      <c r="EC301" s="399">
        <v>-6961.2289300687153</v>
      </c>
      <c r="ED301" s="399"/>
      <c r="EE301" s="399">
        <v>0</v>
      </c>
      <c r="EF301" s="399">
        <v>0</v>
      </c>
      <c r="EG301" s="399"/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/>
      <c r="EN301" s="399"/>
      <c r="EO301" s="399">
        <v>0</v>
      </c>
      <c r="EP301" s="399">
        <v>0</v>
      </c>
      <c r="EQ301" s="399"/>
      <c r="ER301" s="399">
        <v>0</v>
      </c>
      <c r="ES301" s="399"/>
      <c r="ET301" s="399">
        <v>0</v>
      </c>
      <c r="EU301" s="399"/>
      <c r="EV301" s="399">
        <v>230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300</v>
      </c>
      <c r="B302" s="399" t="s">
        <v>956</v>
      </c>
      <c r="C302" s="399" t="s">
        <v>2328</v>
      </c>
      <c r="D302" s="399" t="s">
        <v>2340</v>
      </c>
      <c r="E302" s="399" t="s">
        <v>894</v>
      </c>
      <c r="F302" s="399" t="s">
        <v>1239</v>
      </c>
      <c r="G302" s="399" t="s">
        <v>1239</v>
      </c>
      <c r="H302" s="399" t="s">
        <v>1239</v>
      </c>
      <c r="I302" s="399" t="s">
        <v>1239</v>
      </c>
      <c r="J302" s="399" t="s">
        <v>2329</v>
      </c>
      <c r="K302" s="789">
        <v>44621</v>
      </c>
      <c r="L302" s="399">
        <v>0</v>
      </c>
      <c r="M302" s="399">
        <v>0</v>
      </c>
      <c r="N302" s="399">
        <v>1390.1510000000001</v>
      </c>
      <c r="O302" s="399">
        <v>1390.1510000000001</v>
      </c>
      <c r="P302" s="399">
        <v>1390.1510000000001</v>
      </c>
      <c r="Q302" s="399">
        <v>1390.1510000000001</v>
      </c>
      <c r="R302" s="399"/>
      <c r="S302" s="399">
        <v>333.61</v>
      </c>
      <c r="T302" s="399">
        <v>128.11000000000001</v>
      </c>
      <c r="U302" s="399"/>
      <c r="V302" s="399">
        <v>641860.5197200001</v>
      </c>
      <c r="W302" s="399">
        <v>641860.5197200001</v>
      </c>
      <c r="X302" s="399">
        <v>560272.55753000011</v>
      </c>
      <c r="Y302" s="399">
        <v>0</v>
      </c>
      <c r="Z302" s="399">
        <v>85099.553746868405</v>
      </c>
      <c r="AA302" s="399">
        <v>0</v>
      </c>
      <c r="AB302" s="399">
        <v>0</v>
      </c>
      <c r="AC302" s="399">
        <v>0</v>
      </c>
      <c r="AD302" s="399">
        <v>0</v>
      </c>
      <c r="AE302" s="399">
        <v>270379.0845133441</v>
      </c>
      <c r="AF302" s="399">
        <v>178093.69929901458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13142.279605693069</v>
      </c>
      <c r="AM302" s="399"/>
      <c r="AN302" s="399">
        <v>1196.0691082812966</v>
      </c>
      <c r="AO302" s="399">
        <v>4832.192913144575</v>
      </c>
      <c r="AP302" s="399">
        <v>25777.063396636488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18862.084287380098</v>
      </c>
      <c r="BH302" s="399">
        <v>0</v>
      </c>
      <c r="BI302" s="399">
        <v>0</v>
      </c>
      <c r="BJ302" s="399">
        <v>0</v>
      </c>
      <c r="BK302" s="399">
        <v>156771.93</v>
      </c>
      <c r="BL302" s="399">
        <v>2353</v>
      </c>
      <c r="BM302" s="399"/>
      <c r="BN302" s="399"/>
      <c r="BO302" s="399"/>
      <c r="BP302" s="399"/>
      <c r="BQ302" s="399"/>
      <c r="BR302" s="399">
        <v>67241.603869999992</v>
      </c>
      <c r="BS302" s="399"/>
      <c r="BT302" s="399"/>
      <c r="BU302" s="399"/>
      <c r="BV302" s="399">
        <v>196955.78358639468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493030.59900000005</v>
      </c>
      <c r="CJ302" s="399">
        <v>-71815.585319999955</v>
      </c>
      <c r="CK302" s="399"/>
      <c r="CL302" s="399"/>
      <c r="CM302" s="399"/>
      <c r="CN302" s="399"/>
      <c r="CO302" s="399">
        <v>-89734.24705000002</v>
      </c>
      <c r="CP302" s="399">
        <v>8146.2848599999797</v>
      </c>
      <c r="CQ302" s="399">
        <v>31</v>
      </c>
      <c r="CR302" s="399">
        <v>2003.3700929472107</v>
      </c>
      <c r="CS302" s="399">
        <v>352.72983644433134</v>
      </c>
      <c r="CT302" s="399">
        <v>1881.6176256494546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0</v>
      </c>
      <c r="DA302" s="399">
        <v>0</v>
      </c>
      <c r="DB302" s="399">
        <v>0</v>
      </c>
      <c r="DC302" s="399">
        <v>8145.4983925604611</v>
      </c>
      <c r="DD302" s="399">
        <v>0</v>
      </c>
      <c r="DE302" s="399">
        <v>0</v>
      </c>
      <c r="DF302" s="399">
        <v>0</v>
      </c>
      <c r="DG302" s="399">
        <v>862.69799463936215</v>
      </c>
      <c r="DH302" s="399">
        <v>0</v>
      </c>
      <c r="DI302" s="399">
        <v>-8049.6674225831084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-1049.3660913719759</v>
      </c>
      <c r="DP302" s="399">
        <v>-140.14024239124979</v>
      </c>
      <c r="DQ302" s="399">
        <v>0</v>
      </c>
      <c r="DR302" s="399">
        <v>0</v>
      </c>
      <c r="DS302" s="399"/>
      <c r="DT302" s="399"/>
      <c r="DU302" s="399"/>
      <c r="DV302" s="399">
        <v>270379.0845133441</v>
      </c>
      <c r="DW302" s="399">
        <v>0</v>
      </c>
      <c r="DX302" s="399">
        <v>0</v>
      </c>
      <c r="DY302" s="399">
        <v>-89734.247050000005</v>
      </c>
      <c r="DZ302" s="399">
        <v>8146.2848599999852</v>
      </c>
      <c r="EA302" s="399">
        <v>0</v>
      </c>
      <c r="EB302" s="399">
        <v>0</v>
      </c>
      <c r="EC302" s="399">
        <v>-83601.463008676656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44482.767414096998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230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301</v>
      </c>
      <c r="B303" s="399" t="s">
        <v>2331</v>
      </c>
      <c r="C303" s="399" t="s">
        <v>2328</v>
      </c>
      <c r="D303" s="399" t="s">
        <v>2340</v>
      </c>
      <c r="E303" s="399" t="s">
        <v>894</v>
      </c>
      <c r="F303" s="399" t="s">
        <v>1239</v>
      </c>
      <c r="G303" s="399" t="s">
        <v>1239</v>
      </c>
      <c r="H303" s="399" t="s">
        <v>1239</v>
      </c>
      <c r="I303" s="399" t="s">
        <v>1239</v>
      </c>
      <c r="J303" s="399" t="s">
        <v>2329</v>
      </c>
      <c r="K303" s="789">
        <v>44621</v>
      </c>
      <c r="L303" s="399">
        <v>0</v>
      </c>
      <c r="M303" s="399">
        <v>0</v>
      </c>
      <c r="N303" s="399">
        <v>70.018000000000001</v>
      </c>
      <c r="O303" s="399">
        <v>70.018000000000001</v>
      </c>
      <c r="P303" s="399">
        <v>70.018000000000001</v>
      </c>
      <c r="Q303" s="399">
        <v>70.018000000000001</v>
      </c>
      <c r="R303" s="399"/>
      <c r="S303" s="399">
        <v>333.61</v>
      </c>
      <c r="T303" s="399">
        <v>128.11000000000001</v>
      </c>
      <c r="U303" s="399"/>
      <c r="V303" s="399">
        <v>32328.710960000004</v>
      </c>
      <c r="W303" s="399">
        <v>32328.710960000004</v>
      </c>
      <c r="X303" s="399">
        <v>28219.35454</v>
      </c>
      <c r="Y303" s="399">
        <v>0</v>
      </c>
      <c r="Z303" s="399">
        <v>4286.225420294797</v>
      </c>
      <c r="AA303" s="399">
        <v>0</v>
      </c>
      <c r="AB303" s="399">
        <v>0</v>
      </c>
      <c r="AC303" s="399">
        <v>0</v>
      </c>
      <c r="AD303" s="399">
        <v>0</v>
      </c>
      <c r="AE303" s="399">
        <v>13618.234810071228</v>
      </c>
      <c r="AF303" s="399">
        <v>8970.0792485984621</v>
      </c>
      <c r="AG303" s="399">
        <v>0</v>
      </c>
      <c r="AH303" s="399">
        <v>0</v>
      </c>
      <c r="AI303" s="399">
        <v>0</v>
      </c>
      <c r="AJ303" s="399">
        <v>0</v>
      </c>
      <c r="AK303" s="399">
        <v>0</v>
      </c>
      <c r="AL303" s="399">
        <v>661.93969822804672</v>
      </c>
      <c r="AM303" s="399"/>
      <c r="AN303" s="399">
        <v>60.242640420817473</v>
      </c>
      <c r="AO303" s="399">
        <v>243.38398015219701</v>
      </c>
      <c r="AP303" s="399">
        <v>1298.3182581645401</v>
      </c>
      <c r="AQ303" s="399">
        <v>0</v>
      </c>
      <c r="AR303" s="399">
        <v>0</v>
      </c>
      <c r="AS303" s="399">
        <v>0</v>
      </c>
      <c r="AT303" s="399">
        <v>0</v>
      </c>
      <c r="AU303" s="399">
        <v>0</v>
      </c>
      <c r="AV303" s="399">
        <v>0</v>
      </c>
      <c r="AW303" s="399">
        <v>0</v>
      </c>
      <c r="AX303" s="399">
        <v>0</v>
      </c>
      <c r="AY303" s="399">
        <v>0</v>
      </c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>
        <v>0</v>
      </c>
      <c r="BG303" s="399">
        <v>950.03018926273444</v>
      </c>
      <c r="BH303" s="399">
        <v>0</v>
      </c>
      <c r="BI303" s="399">
        <v>0</v>
      </c>
      <c r="BJ303" s="399">
        <v>0</v>
      </c>
      <c r="BK303" s="399">
        <v>14625.56</v>
      </c>
      <c r="BL303" s="399">
        <v>25</v>
      </c>
      <c r="BM303" s="399"/>
      <c r="BN303" s="399"/>
      <c r="BO303" s="399"/>
      <c r="BP303" s="399"/>
      <c r="BQ303" s="399"/>
      <c r="BR303" s="399">
        <v>3386.7706599999992</v>
      </c>
      <c r="BS303" s="399"/>
      <c r="BT303" s="399"/>
      <c r="BU303" s="399"/>
      <c r="BV303" s="399">
        <v>9920.1094378611961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24833.2932</v>
      </c>
      <c r="CJ303" s="399">
        <v>-3616.4505599999939</v>
      </c>
      <c r="CK303" s="399"/>
      <c r="CL303" s="399"/>
      <c r="CM303" s="399"/>
      <c r="CN303" s="399"/>
      <c r="CO303" s="399">
        <v>-4519.661900000001</v>
      </c>
      <c r="CP303" s="399">
        <v>410.30547999999897</v>
      </c>
      <c r="CQ303" s="399">
        <v>31</v>
      </c>
      <c r="CR303" s="399">
        <v>100.9041227665075</v>
      </c>
      <c r="CS303" s="399">
        <v>17.76601080613483</v>
      </c>
      <c r="CT303" s="399">
        <v>94.771793073359277</v>
      </c>
      <c r="CU303" s="399">
        <v>0</v>
      </c>
      <c r="CV303" s="399">
        <v>0</v>
      </c>
      <c r="CW303" s="399">
        <v>0</v>
      </c>
      <c r="CX303" s="399">
        <v>0</v>
      </c>
      <c r="CY303" s="399">
        <v>0</v>
      </c>
      <c r="CZ303" s="399">
        <v>0</v>
      </c>
      <c r="DA303" s="399">
        <v>0</v>
      </c>
      <c r="DB303" s="399">
        <v>0</v>
      </c>
      <c r="DC303" s="399">
        <v>410.26586784478786</v>
      </c>
      <c r="DD303" s="399">
        <v>0</v>
      </c>
      <c r="DE303" s="399">
        <v>0</v>
      </c>
      <c r="DF303" s="399">
        <v>0</v>
      </c>
      <c r="DG303" s="399">
        <v>43.451674090554775</v>
      </c>
      <c r="DH303" s="399">
        <v>0</v>
      </c>
      <c r="DI303" s="399">
        <v>-405.43913114073575</v>
      </c>
      <c r="DJ303" s="399"/>
      <c r="DK303" s="399">
        <v>0</v>
      </c>
      <c r="DL303" s="399">
        <v>0</v>
      </c>
      <c r="DM303" s="399">
        <v>0</v>
      </c>
      <c r="DN303" s="399">
        <v>0</v>
      </c>
      <c r="DO303" s="399">
        <v>-52.853621646629108</v>
      </c>
      <c r="DP303" s="399">
        <v>-7.0584702609648389</v>
      </c>
      <c r="DQ303" s="399">
        <v>0</v>
      </c>
      <c r="DR303" s="399">
        <v>0</v>
      </c>
      <c r="DS303" s="399"/>
      <c r="DT303" s="399"/>
      <c r="DU303" s="399"/>
      <c r="DV303" s="399">
        <v>13618.234810071228</v>
      </c>
      <c r="DW303" s="399">
        <v>0</v>
      </c>
      <c r="DX303" s="399">
        <v>0</v>
      </c>
      <c r="DY303" s="399">
        <v>-4519.6619000000028</v>
      </c>
      <c r="DZ303" s="399">
        <v>410.30547999999908</v>
      </c>
      <c r="EA303" s="399">
        <v>0</v>
      </c>
      <c r="EB303" s="399">
        <v>0</v>
      </c>
      <c r="EC303" s="399">
        <v>-4210.7707989574683</v>
      </c>
      <c r="ED303" s="399">
        <v>0</v>
      </c>
      <c r="EE303" s="399">
        <v>0</v>
      </c>
      <c r="EF303" s="399">
        <v>0</v>
      </c>
      <c r="EG303" s="399">
        <v>0</v>
      </c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>
        <v>0</v>
      </c>
      <c r="EN303" s="399">
        <v>0</v>
      </c>
      <c r="EO303" s="399">
        <v>0</v>
      </c>
      <c r="EP303" s="399">
        <v>2240.4720126088773</v>
      </c>
      <c r="EQ303" s="399">
        <v>0</v>
      </c>
      <c r="ER303" s="399">
        <v>0</v>
      </c>
      <c r="ES303" s="399">
        <v>0</v>
      </c>
      <c r="ET303" s="399">
        <v>0</v>
      </c>
      <c r="EU303" s="399">
        <v>0</v>
      </c>
      <c r="EV303" s="399">
        <v>230</v>
      </c>
      <c r="EW303" s="399">
        <v>0</v>
      </c>
      <c r="EX303" s="399">
        <v>0</v>
      </c>
      <c r="EY303" s="399">
        <v>0</v>
      </c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302</v>
      </c>
      <c r="B304" s="399" t="s">
        <v>956</v>
      </c>
      <c r="C304" s="399" t="s">
        <v>2328</v>
      </c>
      <c r="D304" s="399" t="s">
        <v>1826</v>
      </c>
      <c r="E304" s="399" t="s">
        <v>2341</v>
      </c>
      <c r="F304" s="399" t="s">
        <v>1239</v>
      </c>
      <c r="G304" s="399" t="s">
        <v>1239</v>
      </c>
      <c r="H304" s="399" t="s">
        <v>1239</v>
      </c>
      <c r="I304" s="399" t="s">
        <v>1239</v>
      </c>
      <c r="J304" s="399" t="s">
        <v>2329</v>
      </c>
      <c r="K304" s="789">
        <v>44621</v>
      </c>
      <c r="L304" s="399">
        <v>0</v>
      </c>
      <c r="M304" s="399">
        <v>0</v>
      </c>
      <c r="N304" s="399">
        <v>271.21300000000002</v>
      </c>
      <c r="O304" s="399">
        <v>271.21300000000002</v>
      </c>
      <c r="P304" s="399">
        <v>271.21300000000002</v>
      </c>
      <c r="Q304" s="399">
        <v>271.21300000000002</v>
      </c>
      <c r="R304" s="399"/>
      <c r="S304" s="399">
        <v>333.61</v>
      </c>
      <c r="T304" s="399">
        <v>128.11000000000001</v>
      </c>
      <c r="U304" s="399"/>
      <c r="V304" s="399">
        <v>125224.46636000002</v>
      </c>
      <c r="W304" s="399">
        <v>125224.46636000002</v>
      </c>
      <c r="X304" s="399">
        <v>109306.97539000001</v>
      </c>
      <c r="Y304" s="399">
        <v>0</v>
      </c>
      <c r="Z304" s="399">
        <v>16602.588690256973</v>
      </c>
      <c r="AA304" s="399">
        <v>0</v>
      </c>
      <c r="AB304" s="399">
        <v>0</v>
      </c>
      <c r="AC304" s="399">
        <v>0</v>
      </c>
      <c r="AD304" s="399">
        <v>0</v>
      </c>
      <c r="AE304" s="399">
        <v>52749.8974198613</v>
      </c>
      <c r="AF304" s="399">
        <v>34745.381234113156</v>
      </c>
      <c r="AG304" s="399">
        <v>0</v>
      </c>
      <c r="AH304" s="399">
        <v>0</v>
      </c>
      <c r="AI304" s="399">
        <v>0</v>
      </c>
      <c r="AJ304" s="399">
        <v>0</v>
      </c>
      <c r="AK304" s="399">
        <v>0</v>
      </c>
      <c r="AL304" s="399">
        <v>2564.0071321020773</v>
      </c>
      <c r="AM304" s="399"/>
      <c r="AN304" s="399">
        <v>233.34838522167399</v>
      </c>
      <c r="AO304" s="399">
        <v>942.74185793678498</v>
      </c>
      <c r="AP304" s="399">
        <v>5029.0038240392387</v>
      </c>
      <c r="AQ304" s="399">
        <v>0</v>
      </c>
      <c r="AR304" s="399">
        <v>0</v>
      </c>
      <c r="AS304" s="399">
        <v>0</v>
      </c>
      <c r="AT304" s="399">
        <v>0</v>
      </c>
      <c r="AU304" s="399">
        <v>0</v>
      </c>
      <c r="AV304" s="399">
        <v>0</v>
      </c>
      <c r="AW304" s="399">
        <v>0</v>
      </c>
      <c r="AX304" s="399">
        <v>0</v>
      </c>
      <c r="AY304" s="399">
        <v>0</v>
      </c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>
        <v>0</v>
      </c>
      <c r="BG304" s="399">
        <v>3679.91855980625</v>
      </c>
      <c r="BH304" s="399">
        <v>0</v>
      </c>
      <c r="BI304" s="399">
        <v>0</v>
      </c>
      <c r="BJ304" s="399">
        <v>0</v>
      </c>
      <c r="BK304" s="399">
        <v>40873.25</v>
      </c>
      <c r="BL304" s="399">
        <v>210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>
        <v>38425.299793919403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109305.76629999999</v>
      </c>
      <c r="CJ304" s="399">
        <v>-15918.730060000016</v>
      </c>
      <c r="CK304" s="399"/>
      <c r="CL304" s="399"/>
      <c r="CM304" s="399"/>
      <c r="CN304" s="399"/>
      <c r="CO304" s="399">
        <v>-17506.799150000006</v>
      </c>
      <c r="CP304" s="399">
        <v>1589.3081799999961</v>
      </c>
      <c r="CQ304" s="399">
        <v>31</v>
      </c>
      <c r="CR304" s="399">
        <v>390.84963649165002</v>
      </c>
      <c r="CS304" s="399">
        <v>68.816205672316528</v>
      </c>
      <c r="CT304" s="399">
        <v>367.09620832935798</v>
      </c>
      <c r="CU304" s="399">
        <v>0</v>
      </c>
      <c r="CV304" s="399">
        <v>0</v>
      </c>
      <c r="CW304" s="399">
        <v>0</v>
      </c>
      <c r="CX304" s="399">
        <v>0</v>
      </c>
      <c r="CY304" s="399">
        <v>0</v>
      </c>
      <c r="CZ304" s="399">
        <v>0</v>
      </c>
      <c r="DA304" s="399">
        <v>0</v>
      </c>
      <c r="DB304" s="399">
        <v>0</v>
      </c>
      <c r="DC304" s="399">
        <v>1589.1547432915613</v>
      </c>
      <c r="DD304" s="399">
        <v>0</v>
      </c>
      <c r="DE304" s="399">
        <v>0</v>
      </c>
      <c r="DF304" s="399">
        <v>0</v>
      </c>
      <c r="DG304" s="399">
        <v>168.30899033279502</v>
      </c>
      <c r="DH304" s="399">
        <v>0</v>
      </c>
      <c r="DI304" s="399">
        <v>-1570.4584974445461</v>
      </c>
      <c r="DJ304" s="399"/>
      <c r="DK304" s="399">
        <v>0</v>
      </c>
      <c r="DL304" s="399">
        <v>0</v>
      </c>
      <c r="DM304" s="399">
        <v>0</v>
      </c>
      <c r="DN304" s="399">
        <v>0</v>
      </c>
      <c r="DO304" s="399">
        <v>-204.72720282851833</v>
      </c>
      <c r="DP304" s="399">
        <v>-27.340810861307915</v>
      </c>
      <c r="DQ304" s="399">
        <v>0</v>
      </c>
      <c r="DR304" s="399">
        <v>0</v>
      </c>
      <c r="DS304" s="399"/>
      <c r="DT304" s="399"/>
      <c r="DU304" s="399"/>
      <c r="DV304" s="399">
        <v>52749.8974198613</v>
      </c>
      <c r="DW304" s="399">
        <v>0</v>
      </c>
      <c r="DX304" s="399">
        <v>0</v>
      </c>
      <c r="DY304" s="399">
        <v>-17506.799150000006</v>
      </c>
      <c r="DZ304" s="399">
        <v>1589.3081799999927</v>
      </c>
      <c r="EA304" s="399">
        <v>0</v>
      </c>
      <c r="EB304" s="399">
        <v>0</v>
      </c>
      <c r="EC304" s="399">
        <v>-16310.317071290985</v>
      </c>
      <c r="ED304" s="399">
        <v>0</v>
      </c>
      <c r="EE304" s="399">
        <v>0</v>
      </c>
      <c r="EF304" s="399">
        <v>0</v>
      </c>
      <c r="EG304" s="399">
        <v>0</v>
      </c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>
        <v>0</v>
      </c>
      <c r="EN304" s="399">
        <v>0</v>
      </c>
      <c r="EO304" s="399">
        <v>0</v>
      </c>
      <c r="EP304" s="399">
        <v>8678.4132073994042</v>
      </c>
      <c r="EQ304" s="399">
        <v>0</v>
      </c>
      <c r="ER304" s="399">
        <v>0</v>
      </c>
      <c r="ES304" s="399">
        <v>0</v>
      </c>
      <c r="ET304" s="399">
        <v>0</v>
      </c>
      <c r="EU304" s="399">
        <v>0</v>
      </c>
      <c r="EV304" s="399">
        <v>230</v>
      </c>
      <c r="EW304" s="399">
        <v>0</v>
      </c>
      <c r="EX304" s="399">
        <v>0</v>
      </c>
      <c r="EY304" s="399">
        <v>0</v>
      </c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303</v>
      </c>
      <c r="B305" s="399" t="s">
        <v>956</v>
      </c>
      <c r="C305" s="399" t="s">
        <v>2337</v>
      </c>
      <c r="D305" s="399" t="s">
        <v>533</v>
      </c>
      <c r="E305" s="399" t="s">
        <v>2341</v>
      </c>
      <c r="F305" s="399" t="s">
        <v>1239</v>
      </c>
      <c r="G305" s="399" t="s">
        <v>1239</v>
      </c>
      <c r="H305" s="399" t="s">
        <v>1239</v>
      </c>
      <c r="I305" s="399" t="s">
        <v>893</v>
      </c>
      <c r="J305" s="399" t="s">
        <v>2329</v>
      </c>
      <c r="K305" s="789">
        <v>44621</v>
      </c>
      <c r="L305" s="399">
        <v>0</v>
      </c>
      <c r="M305" s="399">
        <v>0</v>
      </c>
      <c r="N305" s="399">
        <v>2.1339999999999999</v>
      </c>
      <c r="O305" s="399">
        <v>2.1339999999999999</v>
      </c>
      <c r="P305" s="399">
        <v>2.1339999999999999</v>
      </c>
      <c r="Q305" s="399">
        <v>2.1339999999999999</v>
      </c>
      <c r="R305" s="399"/>
      <c r="S305" s="399">
        <v>1351.49</v>
      </c>
      <c r="T305" s="399">
        <v>128.11000000000001</v>
      </c>
      <c r="U305" s="399"/>
      <c r="V305" s="399">
        <v>3157.4663999999998</v>
      </c>
      <c r="W305" s="399">
        <v>3157.4663999999998</v>
      </c>
      <c r="X305" s="399">
        <v>2436.8359399999999</v>
      </c>
      <c r="Y305" s="399">
        <v>0</v>
      </c>
      <c r="Z305" s="399">
        <v>113.65249494145675</v>
      </c>
      <c r="AA305" s="399">
        <v>0</v>
      </c>
      <c r="AB305" s="399">
        <v>0</v>
      </c>
      <c r="AC305" s="399">
        <v>0</v>
      </c>
      <c r="AD305" s="399">
        <v>0</v>
      </c>
      <c r="AE305" s="399">
        <v>2398.4978424295878</v>
      </c>
      <c r="AF305" s="399">
        <v>273.3889730713405</v>
      </c>
      <c r="AG305" s="399">
        <v>0</v>
      </c>
      <c r="AH305" s="399">
        <v>0</v>
      </c>
      <c r="AI305" s="399">
        <v>0</v>
      </c>
      <c r="AJ305" s="399">
        <v>0</v>
      </c>
      <c r="AK305" s="399">
        <v>0</v>
      </c>
      <c r="AL305" s="399">
        <v>20.174516781665453</v>
      </c>
      <c r="AM305" s="399"/>
      <c r="AN305" s="399">
        <v>1.0490757928450138</v>
      </c>
      <c r="AO305" s="399">
        <v>44.328577126498388</v>
      </c>
      <c r="AP305" s="399">
        <v>235.79009339555691</v>
      </c>
      <c r="AQ305" s="399">
        <v>0</v>
      </c>
      <c r="AR305" s="399">
        <v>0</v>
      </c>
      <c r="AS305" s="399">
        <v>0</v>
      </c>
      <c r="AT305" s="399">
        <v>0</v>
      </c>
      <c r="AU305" s="399">
        <v>0</v>
      </c>
      <c r="AV305" s="399">
        <v>0</v>
      </c>
      <c r="AW305" s="399">
        <v>0</v>
      </c>
      <c r="AX305" s="399">
        <v>0</v>
      </c>
      <c r="AY305" s="399">
        <v>0</v>
      </c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>
        <v>0</v>
      </c>
      <c r="BG305" s="399">
        <v>11.179205080537585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284.5681781518781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2432.2683000000002</v>
      </c>
      <c r="CJ305" s="399">
        <v>-725.22810000000027</v>
      </c>
      <c r="CK305" s="399"/>
      <c r="CL305" s="399"/>
      <c r="CM305" s="399"/>
      <c r="CN305" s="399"/>
      <c r="CO305" s="399">
        <v>-733.13569999999982</v>
      </c>
      <c r="CP305" s="399">
        <v>12.505239999999969</v>
      </c>
      <c r="CQ305" s="399">
        <v>31</v>
      </c>
      <c r="CR305" s="399">
        <v>20.978519478033036</v>
      </c>
      <c r="CS305" s="399">
        <v>3.2358003996707296</v>
      </c>
      <c r="CT305" s="399">
        <v>17.211688890227862</v>
      </c>
      <c r="CU305" s="399">
        <v>0</v>
      </c>
      <c r="CV305" s="399">
        <v>0</v>
      </c>
      <c r="CW305" s="399">
        <v>0</v>
      </c>
      <c r="CX305" s="399">
        <v>0</v>
      </c>
      <c r="CY305" s="399">
        <v>0</v>
      </c>
      <c r="CZ305" s="399">
        <v>0</v>
      </c>
      <c r="DA305" s="399">
        <v>0</v>
      </c>
      <c r="DB305" s="399">
        <v>0</v>
      </c>
      <c r="DC305" s="399">
        <v>12.504032705601048</v>
      </c>
      <c r="DD305" s="399">
        <v>0</v>
      </c>
      <c r="DE305" s="399">
        <v>0</v>
      </c>
      <c r="DF305" s="399">
        <v>0</v>
      </c>
      <c r="DG305" s="399">
        <v>0.51130498929514268</v>
      </c>
      <c r="DH305" s="399">
        <v>0</v>
      </c>
      <c r="DI305" s="399">
        <v>-10.750523895188095</v>
      </c>
      <c r="DJ305" s="399"/>
      <c r="DK305" s="399">
        <v>0</v>
      </c>
      <c r="DL305" s="399">
        <v>0</v>
      </c>
      <c r="DM305" s="399">
        <v>0</v>
      </c>
      <c r="DN305" s="399">
        <v>0</v>
      </c>
      <c r="DO305" s="399">
        <v>-1.6108661857509006</v>
      </c>
      <c r="DP305" s="399">
        <v>-0.12291742582278575</v>
      </c>
      <c r="DQ305" s="399">
        <v>0</v>
      </c>
      <c r="DR305" s="399">
        <v>0</v>
      </c>
      <c r="DS305" s="399"/>
      <c r="DT305" s="399"/>
      <c r="DU305" s="399"/>
      <c r="DV305" s="399">
        <v>2398.4978424295878</v>
      </c>
      <c r="DW305" s="399">
        <v>0</v>
      </c>
      <c r="DX305" s="399">
        <v>0</v>
      </c>
      <c r="DY305" s="399">
        <v>-733.13569999999982</v>
      </c>
      <c r="DZ305" s="399">
        <v>12.505239999999958</v>
      </c>
      <c r="EA305" s="399">
        <v>0</v>
      </c>
      <c r="EB305" s="399">
        <v>0</v>
      </c>
      <c r="EC305" s="399">
        <v>-741.61775128124054</v>
      </c>
      <c r="ED305" s="399">
        <v>0</v>
      </c>
      <c r="EE305" s="399">
        <v>0</v>
      </c>
      <c r="EF305" s="399">
        <v>0</v>
      </c>
      <c r="EG305" s="399">
        <v>0</v>
      </c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>
        <v>0</v>
      </c>
      <c r="EN305" s="399">
        <v>0</v>
      </c>
      <c r="EO305" s="399">
        <v>0</v>
      </c>
      <c r="EP305" s="399">
        <v>59.407802696012219</v>
      </c>
      <c r="EQ305" s="399">
        <v>0</v>
      </c>
      <c r="ER305" s="399">
        <v>0</v>
      </c>
      <c r="ES305" s="399">
        <v>0</v>
      </c>
      <c r="ET305" s="399">
        <v>0</v>
      </c>
      <c r="EU305" s="399">
        <v>0</v>
      </c>
      <c r="EV305" s="399">
        <v>230</v>
      </c>
      <c r="EW305" s="399">
        <v>0</v>
      </c>
      <c r="EX305" s="399">
        <v>0</v>
      </c>
      <c r="EY305" s="399">
        <v>0</v>
      </c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304</v>
      </c>
      <c r="B306" s="399" t="s">
        <v>956</v>
      </c>
      <c r="C306" s="399" t="s">
        <v>2337</v>
      </c>
      <c r="D306" s="399" t="s">
        <v>533</v>
      </c>
      <c r="E306" s="399" t="s">
        <v>2341</v>
      </c>
      <c r="F306" s="399" t="s">
        <v>1239</v>
      </c>
      <c r="G306" s="399" t="s">
        <v>1239</v>
      </c>
      <c r="H306" s="399" t="s">
        <v>1239</v>
      </c>
      <c r="I306" s="399" t="s">
        <v>2326</v>
      </c>
      <c r="J306" s="399" t="s">
        <v>2329</v>
      </c>
      <c r="K306" s="789">
        <v>44621</v>
      </c>
      <c r="L306" s="399">
        <v>0</v>
      </c>
      <c r="M306" s="399">
        <v>0</v>
      </c>
      <c r="N306" s="399">
        <v>28.777000000000001</v>
      </c>
      <c r="O306" s="399">
        <v>28.777000000000001</v>
      </c>
      <c r="P306" s="399">
        <v>28.777000000000001</v>
      </c>
      <c r="Q306" s="399">
        <v>28.777000000000001</v>
      </c>
      <c r="R306" s="399"/>
      <c r="S306" s="399">
        <v>96.28</v>
      </c>
      <c r="T306" s="399">
        <v>128.11000000000001</v>
      </c>
      <c r="U306" s="399"/>
      <c r="V306" s="399">
        <v>6457.2710300000008</v>
      </c>
      <c r="W306" s="399">
        <v>6457.2710300000008</v>
      </c>
      <c r="X306" s="399">
        <v>6464.4652800000003</v>
      </c>
      <c r="Y306" s="399">
        <v>0</v>
      </c>
      <c r="Z306" s="399">
        <v>1532.6044268651833</v>
      </c>
      <c r="AA306" s="399">
        <v>0</v>
      </c>
      <c r="AB306" s="399">
        <v>0</v>
      </c>
      <c r="AC306" s="399">
        <v>0</v>
      </c>
      <c r="AD306" s="399">
        <v>0</v>
      </c>
      <c r="AE306" s="399">
        <v>0</v>
      </c>
      <c r="AF306" s="399">
        <v>3686.6515829774912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272.05345333926277</v>
      </c>
      <c r="AM306" s="399"/>
      <c r="AN306" s="399">
        <v>14.14679198252154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150.75163289720248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/>
      <c r="BS306" s="399"/>
      <c r="BT306" s="399"/>
      <c r="BU306" s="399"/>
      <c r="BV306" s="399">
        <v>3837.4032158746936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6465.1392000000005</v>
      </c>
      <c r="CJ306" s="399">
        <v>7.8381699999990815</v>
      </c>
      <c r="CK306" s="399"/>
      <c r="CL306" s="399"/>
      <c r="CM306" s="399"/>
      <c r="CN306" s="399"/>
      <c r="CO306" s="399">
        <v>-161.43896999999998</v>
      </c>
      <c r="CP306" s="399">
        <v>168.63321999999957</v>
      </c>
      <c r="CQ306" s="399">
        <v>31</v>
      </c>
      <c r="CR306" s="399">
        <v>7.160944575418398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0</v>
      </c>
      <c r="DA306" s="399">
        <v>0</v>
      </c>
      <c r="DB306" s="399">
        <v>0</v>
      </c>
      <c r="DC306" s="399">
        <v>168.61693962937306</v>
      </c>
      <c r="DD306" s="399">
        <v>0</v>
      </c>
      <c r="DE306" s="399">
        <v>0</v>
      </c>
      <c r="DF306" s="399">
        <v>0</v>
      </c>
      <c r="DG306" s="399">
        <v>6.8949501766383889</v>
      </c>
      <c r="DH306" s="399">
        <v>0</v>
      </c>
      <c r="DI306" s="399">
        <v>-144.97086510394934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-21.72253806342718</v>
      </c>
      <c r="DP306" s="399">
        <v>-1.6575420632157023</v>
      </c>
      <c r="DQ306" s="399">
        <v>0</v>
      </c>
      <c r="DR306" s="399">
        <v>0</v>
      </c>
      <c r="DS306" s="399"/>
      <c r="DT306" s="399"/>
      <c r="DU306" s="399"/>
      <c r="DV306" s="399">
        <v>0</v>
      </c>
      <c r="DW306" s="399">
        <v>0</v>
      </c>
      <c r="DX306" s="399">
        <v>0</v>
      </c>
      <c r="DY306" s="399">
        <v>-161.43897000000015</v>
      </c>
      <c r="DZ306" s="399">
        <v>168.63321999999971</v>
      </c>
      <c r="EA306" s="399">
        <v>0</v>
      </c>
      <c r="EB306" s="399">
        <v>0</v>
      </c>
      <c r="EC306" s="399">
        <v>0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801.11449774280402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230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305</v>
      </c>
      <c r="B307" s="399" t="s">
        <v>956</v>
      </c>
      <c r="C307" s="399" t="s">
        <v>2337</v>
      </c>
      <c r="D307" s="399" t="s">
        <v>533</v>
      </c>
      <c r="E307" s="399" t="s">
        <v>2341</v>
      </c>
      <c r="F307" s="399" t="s">
        <v>1239</v>
      </c>
      <c r="G307" s="399" t="s">
        <v>1239</v>
      </c>
      <c r="H307" s="399" t="s">
        <v>1239</v>
      </c>
      <c r="I307" s="399" t="s">
        <v>1239</v>
      </c>
      <c r="J307" s="399" t="s">
        <v>2329</v>
      </c>
      <c r="K307" s="789">
        <v>44621</v>
      </c>
      <c r="L307" s="399">
        <v>320</v>
      </c>
      <c r="M307" s="399">
        <v>320</v>
      </c>
      <c r="N307" s="399">
        <v>0</v>
      </c>
      <c r="O307" s="399">
        <v>0</v>
      </c>
      <c r="P307" s="399">
        <v>0</v>
      </c>
      <c r="Q307" s="399">
        <v>0</v>
      </c>
      <c r="R307" s="399">
        <v>18.12</v>
      </c>
      <c r="S307" s="399"/>
      <c r="T307" s="399"/>
      <c r="U307" s="399">
        <v>5798.4000000000005</v>
      </c>
      <c r="V307" s="399"/>
      <c r="W307" s="399">
        <v>5798.4000000000005</v>
      </c>
      <c r="X307" s="399">
        <v>4624</v>
      </c>
      <c r="Y307" s="399">
        <v>0</v>
      </c>
      <c r="Z307" s="399">
        <v>0</v>
      </c>
      <c r="AA307" s="399">
        <v>0</v>
      </c>
      <c r="AB307" s="399">
        <v>0</v>
      </c>
      <c r="AC307" s="399">
        <v>0</v>
      </c>
      <c r="AD307" s="399">
        <v>0</v>
      </c>
      <c r="AE307" s="399">
        <v>4178.8602617558081</v>
      </c>
      <c r="AF307" s="399"/>
      <c r="AG307" s="399"/>
      <c r="AH307" s="399"/>
      <c r="AI307" s="399">
        <v>0</v>
      </c>
      <c r="AJ307" s="399">
        <v>0</v>
      </c>
      <c r="AK307" s="399">
        <v>0</v>
      </c>
      <c r="AL307" s="399">
        <v>0</v>
      </c>
      <c r="AM307" s="399"/>
      <c r="AN307" s="399">
        <v>0</v>
      </c>
      <c r="AO307" s="399">
        <v>254.35853183039231</v>
      </c>
      <c r="AP307" s="399">
        <v>1363.6227327519455</v>
      </c>
      <c r="AQ307" s="399">
        <v>0</v>
      </c>
      <c r="AR307" s="399">
        <v>0</v>
      </c>
      <c r="AS307" s="399"/>
      <c r="AT307" s="399"/>
      <c r="AU307" s="399">
        <v>0</v>
      </c>
      <c r="AV307" s="399">
        <v>0</v>
      </c>
      <c r="AW307" s="399">
        <v>0</v>
      </c>
      <c r="AX307" s="399"/>
      <c r="AY307" s="399"/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/>
      <c r="BG307" s="399">
        <v>0</v>
      </c>
      <c r="BH307" s="399">
        <v>0</v>
      </c>
      <c r="BI307" s="399">
        <v>0</v>
      </c>
      <c r="BJ307" s="399">
        <v>0</v>
      </c>
      <c r="BK307" s="399">
        <v>5441.69</v>
      </c>
      <c r="BL307" s="399">
        <v>3</v>
      </c>
      <c r="BM307" s="399"/>
      <c r="BN307" s="399"/>
      <c r="BO307" s="399"/>
      <c r="BP307" s="399"/>
      <c r="BQ307" s="399"/>
      <c r="BR307" s="399"/>
      <c r="BS307" s="399"/>
      <c r="BT307" s="399"/>
      <c r="BU307" s="399"/>
      <c r="BV307" s="399">
        <v>0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4624</v>
      </c>
      <c r="CJ307" s="399">
        <v>-1174.4300000000012</v>
      </c>
      <c r="CK307" s="399"/>
      <c r="CL307" s="399"/>
      <c r="CM307" s="399"/>
      <c r="CN307" s="399"/>
      <c r="CO307" s="399">
        <v>-1174.4000000000005</v>
      </c>
      <c r="CP307" s="399">
        <v>0</v>
      </c>
      <c r="CQ307" s="399">
        <v>31</v>
      </c>
      <c r="CR307" s="399">
        <v>118.1058531983806</v>
      </c>
      <c r="CS307" s="399">
        <v>18.567107096799731</v>
      </c>
      <c r="CT307" s="399">
        <v>99.538746101580955</v>
      </c>
      <c r="CU307" s="399">
        <v>0</v>
      </c>
      <c r="CV307" s="399">
        <v>0</v>
      </c>
      <c r="CW307" s="399"/>
      <c r="CX307" s="399"/>
      <c r="CY307" s="399"/>
      <c r="CZ307" s="399">
        <v>0</v>
      </c>
      <c r="DA307" s="399">
        <v>0</v>
      </c>
      <c r="DB307" s="399">
        <v>0</v>
      </c>
      <c r="DC307" s="399"/>
      <c r="DD307" s="399"/>
      <c r="DE307" s="399">
        <v>0</v>
      </c>
      <c r="DF307" s="399">
        <v>0</v>
      </c>
      <c r="DG307" s="399">
        <v>0</v>
      </c>
      <c r="DH307" s="399">
        <v>0</v>
      </c>
      <c r="DI307" s="399">
        <v>0</v>
      </c>
      <c r="DJ307" s="399"/>
      <c r="DK307" s="399">
        <v>0</v>
      </c>
      <c r="DL307" s="399">
        <v>0</v>
      </c>
      <c r="DM307" s="399"/>
      <c r="DN307" s="399">
        <v>0</v>
      </c>
      <c r="DO307" s="399">
        <v>0</v>
      </c>
      <c r="DP307" s="399">
        <v>0</v>
      </c>
      <c r="DQ307" s="399">
        <v>0</v>
      </c>
      <c r="DR307" s="399">
        <v>0</v>
      </c>
      <c r="DS307" s="399"/>
      <c r="DT307" s="399"/>
      <c r="DU307" s="399">
        <v>4178.8602617558081</v>
      </c>
      <c r="DV307" s="399"/>
      <c r="DW307" s="399">
        <v>0</v>
      </c>
      <c r="DX307" s="399">
        <v>0</v>
      </c>
      <c r="DY307" s="399">
        <v>-1174.4000000000005</v>
      </c>
      <c r="DZ307" s="399"/>
      <c r="EA307" s="399">
        <v>0</v>
      </c>
      <c r="EB307" s="399"/>
      <c r="EC307" s="399">
        <v>-1292.1074580173949</v>
      </c>
      <c r="ED307" s="399"/>
      <c r="EE307" s="399">
        <v>0</v>
      </c>
      <c r="EF307" s="399">
        <v>0</v>
      </c>
      <c r="EG307" s="399"/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/>
      <c r="EN307" s="399"/>
      <c r="EO307" s="399">
        <v>0</v>
      </c>
      <c r="EP307" s="399">
        <v>0</v>
      </c>
      <c r="EQ307" s="399"/>
      <c r="ER307" s="399">
        <v>0</v>
      </c>
      <c r="ES307" s="399"/>
      <c r="ET307" s="399">
        <v>0</v>
      </c>
      <c r="EU307" s="399"/>
      <c r="EV307" s="399">
        <v>230</v>
      </c>
      <c r="EW307" s="399"/>
      <c r="EX307" s="399"/>
      <c r="EY307" s="399"/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306</v>
      </c>
      <c r="B308" s="399" t="s">
        <v>956</v>
      </c>
      <c r="C308" s="399" t="s">
        <v>2328</v>
      </c>
      <c r="D308" s="399" t="s">
        <v>2342</v>
      </c>
      <c r="E308" s="399" t="s">
        <v>2343</v>
      </c>
      <c r="F308" s="399" t="s">
        <v>2344</v>
      </c>
      <c r="G308" s="399" t="s">
        <v>1239</v>
      </c>
      <c r="H308" s="399" t="s">
        <v>1239</v>
      </c>
      <c r="I308" s="399" t="s">
        <v>1239</v>
      </c>
      <c r="J308" s="399" t="s">
        <v>2329</v>
      </c>
      <c r="K308" s="789">
        <v>44621</v>
      </c>
      <c r="L308" s="399">
        <v>0</v>
      </c>
      <c r="M308" s="399">
        <v>0</v>
      </c>
      <c r="N308" s="399">
        <v>880.73500000000001</v>
      </c>
      <c r="O308" s="399">
        <v>880.73500000000001</v>
      </c>
      <c r="P308" s="399">
        <v>880.73500000000001</v>
      </c>
      <c r="Q308" s="399">
        <v>880.73500000000001</v>
      </c>
      <c r="R308" s="399"/>
      <c r="S308" s="399">
        <v>183.49</v>
      </c>
      <c r="T308" s="399">
        <v>70.459999999999994</v>
      </c>
      <c r="U308" s="399"/>
      <c r="V308" s="399">
        <v>223662.65325</v>
      </c>
      <c r="W308" s="399">
        <v>223662.65325</v>
      </c>
      <c r="X308" s="399">
        <v>195223.72010000001</v>
      </c>
      <c r="Y308" s="399">
        <v>0</v>
      </c>
      <c r="Z308" s="399">
        <v>29653.315005410557</v>
      </c>
      <c r="AA308" s="399">
        <v>0</v>
      </c>
      <c r="AB308" s="399">
        <v>0</v>
      </c>
      <c r="AC308" s="399">
        <v>0</v>
      </c>
      <c r="AD308" s="399">
        <v>0</v>
      </c>
      <c r="AE308" s="399">
        <v>94214.785048080113</v>
      </c>
      <c r="AF308" s="399">
        <v>62057.535360306174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4579.4853189948735</v>
      </c>
      <c r="AM308" s="399"/>
      <c r="AN308" s="399">
        <v>416.77555844305408</v>
      </c>
      <c r="AO308" s="399">
        <v>1683.7989426667432</v>
      </c>
      <c r="AP308" s="399">
        <v>8982.131482011755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6572.5764990027046</v>
      </c>
      <c r="BH308" s="399">
        <v>0</v>
      </c>
      <c r="BI308" s="399">
        <v>0</v>
      </c>
      <c r="BJ308" s="399">
        <v>0</v>
      </c>
      <c r="BK308" s="399">
        <v>106762.57</v>
      </c>
      <c r="BL308" s="399">
        <v>13</v>
      </c>
      <c r="BM308" s="399"/>
      <c r="BN308" s="399"/>
      <c r="BO308" s="399"/>
      <c r="BP308" s="399"/>
      <c r="BQ308" s="399"/>
      <c r="BR308" s="399"/>
      <c r="BS308" s="399"/>
      <c r="BT308" s="399"/>
      <c r="BU308" s="399"/>
      <c r="BV308" s="399">
        <v>68630.111859308876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195224.8284</v>
      </c>
      <c r="CJ308" s="399">
        <v>-28437.854850000032</v>
      </c>
      <c r="CK308" s="399"/>
      <c r="CL308" s="399"/>
      <c r="CM308" s="399"/>
      <c r="CN308" s="399"/>
      <c r="CO308" s="399">
        <v>-31274.899850000016</v>
      </c>
      <c r="CP308" s="399">
        <v>2835.9667000000118</v>
      </c>
      <c r="CQ308" s="399">
        <v>31</v>
      </c>
      <c r="CR308" s="399">
        <v>698.08314877045632</v>
      </c>
      <c r="CS308" s="399">
        <v>122.91026793164178</v>
      </c>
      <c r="CT308" s="399">
        <v>655.65796430715454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0</v>
      </c>
      <c r="DA308" s="399">
        <v>0</v>
      </c>
      <c r="DB308" s="399">
        <v>0</v>
      </c>
      <c r="DC308" s="399">
        <v>2838.3348569502632</v>
      </c>
      <c r="DD308" s="399">
        <v>0</v>
      </c>
      <c r="DE308" s="399">
        <v>0</v>
      </c>
      <c r="DF308" s="399">
        <v>0</v>
      </c>
      <c r="DG308" s="399">
        <v>300.61092289243788</v>
      </c>
      <c r="DH308" s="399">
        <v>0</v>
      </c>
      <c r="DI308" s="399">
        <v>-2804.9421326070878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-365.65624487301193</v>
      </c>
      <c r="DP308" s="399">
        <v>-48.832485830928874</v>
      </c>
      <c r="DQ308" s="399">
        <v>0</v>
      </c>
      <c r="DR308" s="399">
        <v>0</v>
      </c>
      <c r="DS308" s="399"/>
      <c r="DT308" s="399"/>
      <c r="DU308" s="399"/>
      <c r="DV308" s="399">
        <v>94214.785048080113</v>
      </c>
      <c r="DW308" s="399">
        <v>0</v>
      </c>
      <c r="DX308" s="399">
        <v>0</v>
      </c>
      <c r="DY308" s="399">
        <v>-31274.899850000016</v>
      </c>
      <c r="DZ308" s="399">
        <v>2835.9667000000118</v>
      </c>
      <c r="EA308" s="399">
        <v>0</v>
      </c>
      <c r="EB308" s="399">
        <v>0</v>
      </c>
      <c r="EC308" s="399">
        <v>-29131.298677353079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15500.216585932125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230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307</v>
      </c>
      <c r="B309" s="399" t="s">
        <v>956</v>
      </c>
      <c r="C309" s="399" t="s">
        <v>2328</v>
      </c>
      <c r="D309" s="399" t="s">
        <v>1826</v>
      </c>
      <c r="E309" s="399" t="s">
        <v>921</v>
      </c>
      <c r="F309" s="399" t="s">
        <v>2345</v>
      </c>
      <c r="G309" s="399" t="s">
        <v>1239</v>
      </c>
      <c r="H309" s="399" t="s">
        <v>1239</v>
      </c>
      <c r="I309" s="399" t="s">
        <v>1239</v>
      </c>
      <c r="J309" s="399" t="s">
        <v>2329</v>
      </c>
      <c r="K309" s="789">
        <v>44621</v>
      </c>
      <c r="L309" s="399">
        <v>0</v>
      </c>
      <c r="M309" s="399">
        <v>0</v>
      </c>
      <c r="N309" s="399">
        <v>73.941999999999993</v>
      </c>
      <c r="O309" s="399">
        <v>69.505480000000006</v>
      </c>
      <c r="P309" s="399">
        <v>73.941999999999993</v>
      </c>
      <c r="Q309" s="399">
        <v>69.505480000000006</v>
      </c>
      <c r="R309" s="399"/>
      <c r="S309" s="399">
        <v>333.61</v>
      </c>
      <c r="T309" s="399">
        <v>128.11000000000001</v>
      </c>
      <c r="U309" s="399"/>
      <c r="V309" s="399">
        <v>34140.500240000001</v>
      </c>
      <c r="W309" s="399">
        <v>34140.500240000001</v>
      </c>
      <c r="X309" s="399">
        <v>29800.844259999998</v>
      </c>
      <c r="Y309" s="399">
        <v>0</v>
      </c>
      <c r="Z309" s="399">
        <v>4526.4372022542466</v>
      </c>
      <c r="AA309" s="399">
        <v>0</v>
      </c>
      <c r="AB309" s="399">
        <v>0</v>
      </c>
      <c r="AC309" s="399">
        <v>0</v>
      </c>
      <c r="AD309" s="399">
        <v>0</v>
      </c>
      <c r="AE309" s="399">
        <v>14381.437892060423</v>
      </c>
      <c r="AF309" s="399">
        <v>9472.7869947708805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699.03660724925339</v>
      </c>
      <c r="AM309" s="399"/>
      <c r="AN309" s="399">
        <v>63.618802564998788</v>
      </c>
      <c r="AO309" s="399">
        <v>257.02388329306393</v>
      </c>
      <c r="AP309" s="399">
        <v>1371.0795601874147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1003.2724764269916</v>
      </c>
      <c r="BH309" s="399">
        <v>0</v>
      </c>
      <c r="BI309" s="399">
        <v>0</v>
      </c>
      <c r="BJ309" s="399">
        <v>0</v>
      </c>
      <c r="BK309" s="399">
        <v>12837.32</v>
      </c>
      <c r="BL309" s="399">
        <v>28</v>
      </c>
      <c r="BM309" s="399"/>
      <c r="BN309" s="399"/>
      <c r="BO309" s="399"/>
      <c r="BP309" s="399"/>
      <c r="BQ309" s="399">
        <v>1788.0506555999948</v>
      </c>
      <c r="BR309" s="399"/>
      <c r="BS309" s="399"/>
      <c r="BT309" s="399"/>
      <c r="BU309" s="399"/>
      <c r="BV309" s="399">
        <v>10476.059471197872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28014.615300000001</v>
      </c>
      <c r="CJ309" s="399">
        <v>-4077.4849256000016</v>
      </c>
      <c r="CK309" s="399"/>
      <c r="CL309" s="399"/>
      <c r="CM309" s="399"/>
      <c r="CN309" s="399"/>
      <c r="CO309" s="399">
        <v>-4772.9561000000003</v>
      </c>
      <c r="CP309" s="399">
        <v>433.30011999999886</v>
      </c>
      <c r="CQ309" s="399">
        <v>31</v>
      </c>
      <c r="CR309" s="399">
        <v>106.55906546317783</v>
      </c>
      <c r="CS309" s="399">
        <v>18.761666586123908</v>
      </c>
      <c r="CT309" s="399">
        <v>100.08306326130901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0</v>
      </c>
      <c r="DA309" s="399">
        <v>0</v>
      </c>
      <c r="DB309" s="399">
        <v>0</v>
      </c>
      <c r="DC309" s="399">
        <v>433.25828787139289</v>
      </c>
      <c r="DD309" s="399">
        <v>0</v>
      </c>
      <c r="DE309" s="399">
        <v>0</v>
      </c>
      <c r="DF309" s="399">
        <v>0</v>
      </c>
      <c r="DG309" s="399">
        <v>45.886824610868757</v>
      </c>
      <c r="DH309" s="399">
        <v>0</v>
      </c>
      <c r="DI309" s="399">
        <v>-428.16104765643468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-55.815682992873917</v>
      </c>
      <c r="DP309" s="399">
        <v>-7.4540462172050397</v>
      </c>
      <c r="DQ309" s="399">
        <v>0</v>
      </c>
      <c r="DR309" s="399">
        <v>0</v>
      </c>
      <c r="DS309" s="399"/>
      <c r="DT309" s="399"/>
      <c r="DU309" s="399"/>
      <c r="DV309" s="399">
        <v>14381.437892060423</v>
      </c>
      <c r="DW309" s="399">
        <v>0</v>
      </c>
      <c r="DX309" s="399">
        <v>0</v>
      </c>
      <c r="DY309" s="399">
        <v>-4772.9561000000031</v>
      </c>
      <c r="DZ309" s="399">
        <v>433.30011999999988</v>
      </c>
      <c r="EA309" s="399">
        <v>0</v>
      </c>
      <c r="EB309" s="399">
        <v>0</v>
      </c>
      <c r="EC309" s="399">
        <v>-4446.7538978050379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2366.0341848713988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230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308</v>
      </c>
      <c r="B310" s="399" t="s">
        <v>956</v>
      </c>
      <c r="C310" s="399" t="s">
        <v>2336</v>
      </c>
      <c r="D310" s="399" t="s">
        <v>533</v>
      </c>
      <c r="E310" s="399" t="s">
        <v>921</v>
      </c>
      <c r="F310" s="399" t="s">
        <v>2345</v>
      </c>
      <c r="G310" s="399" t="s">
        <v>1239</v>
      </c>
      <c r="H310" s="399" t="s">
        <v>1239</v>
      </c>
      <c r="I310" s="399" t="s">
        <v>893</v>
      </c>
      <c r="J310" s="399" t="s">
        <v>2329</v>
      </c>
      <c r="K310" s="789">
        <v>44621</v>
      </c>
      <c r="L310" s="399">
        <v>415</v>
      </c>
      <c r="M310" s="399">
        <v>390.1</v>
      </c>
      <c r="N310" s="399">
        <v>21.170999999999999</v>
      </c>
      <c r="O310" s="399">
        <v>19.900739999999999</v>
      </c>
      <c r="P310" s="399">
        <v>21.170999999999999</v>
      </c>
      <c r="Q310" s="399">
        <v>19.900739999999999</v>
      </c>
      <c r="R310" s="399">
        <v>52.19</v>
      </c>
      <c r="S310" s="399">
        <v>96.28</v>
      </c>
      <c r="T310" s="399">
        <v>128.11000000000001</v>
      </c>
      <c r="U310" s="399">
        <v>21658.85</v>
      </c>
      <c r="V310" s="399">
        <v>4750.5606900000002</v>
      </c>
      <c r="W310" s="399">
        <v>26409.410690000001</v>
      </c>
      <c r="X310" s="399">
        <v>20583.953439999997</v>
      </c>
      <c r="Y310" s="399">
        <v>0</v>
      </c>
      <c r="Z310" s="399">
        <v>1127.5243535171419</v>
      </c>
      <c r="AA310" s="399">
        <v>0</v>
      </c>
      <c r="AB310" s="399">
        <v>0</v>
      </c>
      <c r="AC310" s="399">
        <v>0</v>
      </c>
      <c r="AD310" s="399">
        <v>0</v>
      </c>
      <c r="AE310" s="399">
        <v>19394.463309363731</v>
      </c>
      <c r="AF310" s="399">
        <v>2712.238963867549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200.14746709683189</v>
      </c>
      <c r="AM310" s="399"/>
      <c r="AN310" s="399">
        <v>10.407677418145168</v>
      </c>
      <c r="AO310" s="399">
        <v>358.40629837801117</v>
      </c>
      <c r="AP310" s="399">
        <v>1906.6278870683873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110.90672481727329</v>
      </c>
      <c r="BH310" s="399">
        <v>0</v>
      </c>
      <c r="BI310" s="399">
        <v>0</v>
      </c>
      <c r="BJ310" s="399">
        <v>0</v>
      </c>
      <c r="BK310" s="399">
        <v>0</v>
      </c>
      <c r="BL310" s="399">
        <v>0</v>
      </c>
      <c r="BM310" s="399"/>
      <c r="BN310" s="399"/>
      <c r="BO310" s="399"/>
      <c r="BP310" s="399"/>
      <c r="BQ310" s="399">
        <v>1235.0372063999994</v>
      </c>
      <c r="BR310" s="399"/>
      <c r="BS310" s="399"/>
      <c r="BT310" s="399"/>
      <c r="BU310" s="399"/>
      <c r="BV310" s="399">
        <v>2823.1456886848223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19348.75</v>
      </c>
      <c r="CJ310" s="399">
        <v>-5476.1260485999956</v>
      </c>
      <c r="CK310" s="399"/>
      <c r="CL310" s="399"/>
      <c r="CM310" s="399"/>
      <c r="CN310" s="399"/>
      <c r="CO310" s="399">
        <v>-5949.5193099999988</v>
      </c>
      <c r="CP310" s="399">
        <v>124.06205999999969</v>
      </c>
      <c r="CQ310" s="399">
        <v>31</v>
      </c>
      <c r="CR310" s="399">
        <v>170.60625283547597</v>
      </c>
      <c r="CS310" s="399">
        <v>26.162158109127006</v>
      </c>
      <c r="CT310" s="399">
        <v>139.17584725071924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0</v>
      </c>
      <c r="DA310" s="399">
        <v>0</v>
      </c>
      <c r="DB310" s="399">
        <v>0</v>
      </c>
      <c r="DC310" s="399">
        <v>124.05008266648565</v>
      </c>
      <c r="DD310" s="399">
        <v>0</v>
      </c>
      <c r="DE310" s="399">
        <v>0</v>
      </c>
      <c r="DF310" s="399">
        <v>0</v>
      </c>
      <c r="DG310" s="399">
        <v>5.0725576046707914</v>
      </c>
      <c r="DH310" s="399">
        <v>0</v>
      </c>
      <c r="DI310" s="399">
        <v>-106.65386194237442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-15.981090917775191</v>
      </c>
      <c r="DP310" s="399">
        <v>-1.2194399353768492</v>
      </c>
      <c r="DQ310" s="399">
        <v>0</v>
      </c>
      <c r="DR310" s="399">
        <v>0</v>
      </c>
      <c r="DS310" s="399"/>
      <c r="DT310" s="399"/>
      <c r="DU310" s="399">
        <v>19394.463309363731</v>
      </c>
      <c r="DV310" s="399">
        <v>0</v>
      </c>
      <c r="DW310" s="399">
        <v>0</v>
      </c>
      <c r="DX310" s="399">
        <v>0</v>
      </c>
      <c r="DY310" s="399">
        <v>-5949.5193099999997</v>
      </c>
      <c r="DZ310" s="399">
        <v>124.06205999999975</v>
      </c>
      <c r="EA310" s="399">
        <v>0</v>
      </c>
      <c r="EB310" s="399">
        <v>0</v>
      </c>
      <c r="EC310" s="399">
        <v>-5996.785993447962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589.37328532205936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230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309</v>
      </c>
      <c r="B311" s="399" t="s">
        <v>956</v>
      </c>
      <c r="C311" s="399" t="s">
        <v>2336</v>
      </c>
      <c r="D311" s="399" t="s">
        <v>533</v>
      </c>
      <c r="E311" s="399" t="s">
        <v>921</v>
      </c>
      <c r="F311" s="399" t="s">
        <v>2345</v>
      </c>
      <c r="G311" s="399" t="s">
        <v>1239</v>
      </c>
      <c r="H311" s="399" t="s">
        <v>1239</v>
      </c>
      <c r="I311" s="399" t="s">
        <v>2326</v>
      </c>
      <c r="J311" s="399" t="s">
        <v>2329</v>
      </c>
      <c r="K311" s="789">
        <v>44621</v>
      </c>
      <c r="L311" s="399">
        <v>447</v>
      </c>
      <c r="M311" s="399">
        <v>420.18</v>
      </c>
      <c r="N311" s="399">
        <v>160.24100000000001</v>
      </c>
      <c r="O311" s="399">
        <v>150.62654000000001</v>
      </c>
      <c r="P311" s="399">
        <v>160.24100000000001</v>
      </c>
      <c r="Q311" s="399">
        <v>150.62654000000001</v>
      </c>
      <c r="R311" s="399">
        <v>18.12</v>
      </c>
      <c r="S311" s="399">
        <v>96.28</v>
      </c>
      <c r="T311" s="399">
        <v>128.11000000000001</v>
      </c>
      <c r="U311" s="399">
        <v>8099.64</v>
      </c>
      <c r="V311" s="399">
        <v>35956.477990000007</v>
      </c>
      <c r="W311" s="399">
        <v>44056.117990000006</v>
      </c>
      <c r="X311" s="399">
        <v>42455.688240000003</v>
      </c>
      <c r="Y311" s="399">
        <v>0</v>
      </c>
      <c r="Z311" s="399">
        <v>8534.1093917122653</v>
      </c>
      <c r="AA311" s="399">
        <v>0</v>
      </c>
      <c r="AB311" s="399">
        <v>0</v>
      </c>
      <c r="AC311" s="399">
        <v>0</v>
      </c>
      <c r="AD311" s="399">
        <v>0</v>
      </c>
      <c r="AE311" s="399">
        <v>5837.3454281401446</v>
      </c>
      <c r="AF311" s="399">
        <v>20528.64219021775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1514.894444053821</v>
      </c>
      <c r="AM311" s="399"/>
      <c r="AN311" s="399">
        <v>78.774580188040247</v>
      </c>
      <c r="AO311" s="399">
        <v>355.30707415057924</v>
      </c>
      <c r="AP311" s="399">
        <v>1904.8105048128739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839.4409565653342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>
        <v>2547.3412944000015</v>
      </c>
      <c r="BR311" s="399"/>
      <c r="BS311" s="399"/>
      <c r="BT311" s="399"/>
      <c r="BU311" s="399"/>
      <c r="BV311" s="399">
        <v>21368.083146783083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39909.124199999998</v>
      </c>
      <c r="CJ311" s="399">
        <v>-1503.6567106000002</v>
      </c>
      <c r="CK311" s="399"/>
      <c r="CL311" s="399"/>
      <c r="CM311" s="399"/>
      <c r="CN311" s="399"/>
      <c r="CO311" s="399">
        <v>-2539.4420100000007</v>
      </c>
      <c r="CP311" s="399">
        <v>939.0122599999977</v>
      </c>
      <c r="CQ311" s="399">
        <v>31</v>
      </c>
      <c r="CR311" s="399">
        <v>204.8539067403035</v>
      </c>
      <c r="CS311" s="399">
        <v>25.935927725842078</v>
      </c>
      <c r="CT311" s="399">
        <v>139.04318596064581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0</v>
      </c>
      <c r="DA311" s="399">
        <v>0</v>
      </c>
      <c r="DB311" s="399">
        <v>0</v>
      </c>
      <c r="DC311" s="399">
        <v>938.92160486326975</v>
      </c>
      <c r="DD311" s="399">
        <v>0</v>
      </c>
      <c r="DE311" s="399">
        <v>0</v>
      </c>
      <c r="DF311" s="399">
        <v>0</v>
      </c>
      <c r="DG311" s="399">
        <v>38.39363767087309</v>
      </c>
      <c r="DH311" s="399">
        <v>0</v>
      </c>
      <c r="DI311" s="399">
        <v>-807.25149929186318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-120.95914173894539</v>
      </c>
      <c r="DP311" s="399">
        <v>-9.2298084495168808</v>
      </c>
      <c r="DQ311" s="399">
        <v>0</v>
      </c>
      <c r="DR311" s="399">
        <v>0</v>
      </c>
      <c r="DS311" s="399"/>
      <c r="DT311" s="399"/>
      <c r="DU311" s="399">
        <v>5837.3454281401446</v>
      </c>
      <c r="DV311" s="399">
        <v>0</v>
      </c>
      <c r="DW311" s="399">
        <v>0</v>
      </c>
      <c r="DX311" s="399">
        <v>0</v>
      </c>
      <c r="DY311" s="399">
        <v>-2539.4420100000025</v>
      </c>
      <c r="DZ311" s="399">
        <v>939.01225999999951</v>
      </c>
      <c r="EA311" s="399">
        <v>0</v>
      </c>
      <c r="EB311" s="399">
        <v>0</v>
      </c>
      <c r="EC311" s="399">
        <v>-1804.9126054180488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4460.9023954131653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230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310</v>
      </c>
      <c r="B312" s="399" t="s">
        <v>956</v>
      </c>
      <c r="C312" s="399" t="s">
        <v>2336</v>
      </c>
      <c r="D312" s="399" t="s">
        <v>533</v>
      </c>
      <c r="E312" s="399" t="s">
        <v>921</v>
      </c>
      <c r="F312" s="399" t="s">
        <v>2345</v>
      </c>
      <c r="G312" s="399" t="s">
        <v>1239</v>
      </c>
      <c r="H312" s="399" t="s">
        <v>1239</v>
      </c>
      <c r="I312" s="399" t="s">
        <v>1239</v>
      </c>
      <c r="J312" s="399" t="s">
        <v>2329</v>
      </c>
      <c r="K312" s="789">
        <v>44621</v>
      </c>
      <c r="L312" s="399">
        <v>0</v>
      </c>
      <c r="M312" s="399">
        <v>0</v>
      </c>
      <c r="N312" s="399">
        <v>0</v>
      </c>
      <c r="O312" s="399">
        <v>0</v>
      </c>
      <c r="P312" s="399">
        <v>0</v>
      </c>
      <c r="Q312" s="399">
        <v>0</v>
      </c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>
        <v>0</v>
      </c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>
        <v>0</v>
      </c>
      <c r="BA312" s="399"/>
      <c r="BB312" s="399"/>
      <c r="BC312" s="399"/>
      <c r="BD312" s="399"/>
      <c r="BE312" s="399"/>
      <c r="BF312" s="399"/>
      <c r="BG312" s="399"/>
      <c r="BH312" s="399"/>
      <c r="BI312" s="399">
        <v>0</v>
      </c>
      <c r="BJ312" s="399">
        <v>0</v>
      </c>
      <c r="BK312" s="399">
        <v>28023.66</v>
      </c>
      <c r="BL312" s="399">
        <v>2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/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/>
      <c r="CJ312" s="399">
        <v>-0.03</v>
      </c>
      <c r="CK312" s="399"/>
      <c r="CL312" s="399"/>
      <c r="CM312" s="399"/>
      <c r="CN312" s="399"/>
      <c r="CO312" s="399">
        <v>0</v>
      </c>
      <c r="CP312" s="399">
        <v>0</v>
      </c>
      <c r="CQ312" s="399">
        <v>31</v>
      </c>
      <c r="CR312" s="399"/>
      <c r="CS312" s="399"/>
      <c r="CT312" s="399"/>
      <c r="CU312" s="399"/>
      <c r="CV312" s="399"/>
      <c r="CW312" s="399"/>
      <c r="CX312" s="399"/>
      <c r="CY312" s="399"/>
      <c r="CZ312" s="399"/>
      <c r="DA312" s="399"/>
      <c r="DB312" s="399"/>
      <c r="DC312" s="399"/>
      <c r="DD312" s="399"/>
      <c r="DE312" s="399"/>
      <c r="DF312" s="399"/>
      <c r="DG312" s="399"/>
      <c r="DH312" s="399"/>
      <c r="DI312" s="399"/>
      <c r="DJ312" s="399"/>
      <c r="DK312" s="399">
        <v>0</v>
      </c>
      <c r="DL312" s="399"/>
      <c r="DM312" s="399"/>
      <c r="DN312" s="399"/>
      <c r="DO312" s="399"/>
      <c r="DP312" s="399"/>
      <c r="DQ312" s="399"/>
      <c r="DR312" s="399"/>
      <c r="DS312" s="399"/>
      <c r="DT312" s="399"/>
      <c r="DU312" s="399"/>
      <c r="DV312" s="399"/>
      <c r="DW312" s="399"/>
      <c r="DX312" s="399"/>
      <c r="DY312" s="399"/>
      <c r="DZ312" s="399"/>
      <c r="EA312" s="399"/>
      <c r="EB312" s="399"/>
      <c r="EC312" s="399"/>
      <c r="ED312" s="399"/>
      <c r="EE312" s="399"/>
      <c r="EF312" s="399"/>
      <c r="EG312" s="399"/>
      <c r="EH312" s="399"/>
      <c r="EI312" s="399"/>
      <c r="EJ312" s="399"/>
      <c r="EK312" s="399"/>
      <c r="EL312" s="399"/>
      <c r="EM312" s="399"/>
      <c r="EN312" s="399"/>
      <c r="EO312" s="399"/>
      <c r="EP312" s="399"/>
      <c r="EQ312" s="399"/>
      <c r="ER312" s="399"/>
      <c r="ES312" s="399"/>
      <c r="ET312" s="399"/>
      <c r="EU312" s="399"/>
      <c r="EV312" s="399">
        <v>230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311</v>
      </c>
      <c r="B313" s="399" t="s">
        <v>956</v>
      </c>
      <c r="C313" s="399" t="s">
        <v>2328</v>
      </c>
      <c r="D313" s="399" t="s">
        <v>1826</v>
      </c>
      <c r="E313" s="399" t="s">
        <v>2346</v>
      </c>
      <c r="F313" s="399" t="s">
        <v>1239</v>
      </c>
      <c r="G313" s="399" t="s">
        <v>1239</v>
      </c>
      <c r="H313" s="399" t="s">
        <v>1239</v>
      </c>
      <c r="I313" s="399" t="s">
        <v>1239</v>
      </c>
      <c r="J313" s="399" t="s">
        <v>2329</v>
      </c>
      <c r="K313" s="789">
        <v>44621</v>
      </c>
      <c r="L313" s="399">
        <v>0</v>
      </c>
      <c r="M313" s="399">
        <v>0</v>
      </c>
      <c r="N313" s="399">
        <v>1.0189999999999999</v>
      </c>
      <c r="O313" s="399">
        <v>1.0189999999999999</v>
      </c>
      <c r="P313" s="399">
        <v>1.0189999999999999</v>
      </c>
      <c r="Q313" s="399">
        <v>1.0189999999999999</v>
      </c>
      <c r="R313" s="399"/>
      <c r="S313" s="399">
        <v>333.61</v>
      </c>
      <c r="T313" s="399">
        <v>128.11000000000001</v>
      </c>
      <c r="U313" s="399"/>
      <c r="V313" s="399">
        <v>470.49267999999995</v>
      </c>
      <c r="W313" s="399">
        <v>470.49267999999995</v>
      </c>
      <c r="X313" s="399">
        <v>410.68756999999994</v>
      </c>
      <c r="Y313" s="399">
        <v>0</v>
      </c>
      <c r="Z313" s="399">
        <v>62.379155406901049</v>
      </c>
      <c r="AA313" s="399">
        <v>0</v>
      </c>
      <c r="AB313" s="399">
        <v>0</v>
      </c>
      <c r="AC313" s="399">
        <v>0</v>
      </c>
      <c r="AD313" s="399">
        <v>0</v>
      </c>
      <c r="AE313" s="399">
        <v>198.19162603134308</v>
      </c>
      <c r="AF313" s="399">
        <v>130.54515630726146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9.6334735710014492</v>
      </c>
      <c r="AM313" s="399"/>
      <c r="AN313" s="399">
        <v>0.87673527648337568</v>
      </c>
      <c r="AO313" s="399">
        <v>3.5420645516165661</v>
      </c>
      <c r="AP313" s="399">
        <v>18.894945657826074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13.826169882869067</v>
      </c>
      <c r="BH313" s="399">
        <v>0</v>
      </c>
      <c r="BI313" s="399">
        <v>0</v>
      </c>
      <c r="BJ313" s="399">
        <v>0</v>
      </c>
      <c r="BK313" s="399">
        <v>185.1</v>
      </c>
      <c r="BL313" s="399">
        <v>3</v>
      </c>
      <c r="BM313" s="399"/>
      <c r="BN313" s="399"/>
      <c r="BO313" s="399"/>
      <c r="BP313" s="399"/>
      <c r="BQ313" s="399"/>
      <c r="BR313" s="399"/>
      <c r="BS313" s="399"/>
      <c r="BT313" s="399"/>
      <c r="BU313" s="399"/>
      <c r="BV313" s="399">
        <v>144.37132619013053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411.09059999999999</v>
      </c>
      <c r="CJ313" s="399">
        <v>-59.432079999999928</v>
      </c>
      <c r="CK313" s="399"/>
      <c r="CL313" s="399"/>
      <c r="CM313" s="399"/>
      <c r="CN313" s="399"/>
      <c r="CO313" s="399">
        <v>-65.776450000000011</v>
      </c>
      <c r="CP313" s="399">
        <v>5.9713399999999845</v>
      </c>
      <c r="CQ313" s="399">
        <v>31</v>
      </c>
      <c r="CR313" s="399">
        <v>1.4684981161854012</v>
      </c>
      <c r="CS313" s="399">
        <v>0.25855587151091752</v>
      </c>
      <c r="CT313" s="399">
        <v>1.3792518658309767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0</v>
      </c>
      <c r="DA313" s="399">
        <v>0</v>
      </c>
      <c r="DB313" s="399">
        <v>0</v>
      </c>
      <c r="DC313" s="399">
        <v>5.9707635084383526</v>
      </c>
      <c r="DD313" s="399">
        <v>0</v>
      </c>
      <c r="DE313" s="399">
        <v>0</v>
      </c>
      <c r="DF313" s="399">
        <v>0</v>
      </c>
      <c r="DG313" s="399">
        <v>0.63236961778792988</v>
      </c>
      <c r="DH313" s="399">
        <v>0</v>
      </c>
      <c r="DI313" s="399">
        <v>-5.9005180758149294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-0.76919992656052649</v>
      </c>
      <c r="DP313" s="399">
        <v>-0.1027247450073292</v>
      </c>
      <c r="DQ313" s="399">
        <v>0</v>
      </c>
      <c r="DR313" s="399">
        <v>0</v>
      </c>
      <c r="DS313" s="399"/>
      <c r="DT313" s="399"/>
      <c r="DU313" s="399"/>
      <c r="DV313" s="399">
        <v>198.19162603134308</v>
      </c>
      <c r="DW313" s="399">
        <v>0</v>
      </c>
      <c r="DX313" s="399">
        <v>0</v>
      </c>
      <c r="DY313" s="399">
        <v>-65.776450000000011</v>
      </c>
      <c r="DZ313" s="399">
        <v>5.9713399999999695</v>
      </c>
      <c r="EA313" s="399">
        <v>0</v>
      </c>
      <c r="EB313" s="399">
        <v>0</v>
      </c>
      <c r="EC313" s="399">
        <v>-61.281034078917685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32.606486629844404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230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312</v>
      </c>
      <c r="B314" s="399" t="s">
        <v>956</v>
      </c>
      <c r="C314" s="399" t="s">
        <v>2337</v>
      </c>
      <c r="D314" s="399" t="s">
        <v>533</v>
      </c>
      <c r="E314" s="399" t="s">
        <v>2346</v>
      </c>
      <c r="F314" s="399" t="s">
        <v>1239</v>
      </c>
      <c r="G314" s="399" t="s">
        <v>1239</v>
      </c>
      <c r="H314" s="399" t="s">
        <v>1239</v>
      </c>
      <c r="I314" s="399" t="s">
        <v>893</v>
      </c>
      <c r="J314" s="399" t="s">
        <v>2329</v>
      </c>
      <c r="K314" s="789">
        <v>44621</v>
      </c>
      <c r="L314" s="399">
        <v>0</v>
      </c>
      <c r="M314" s="399">
        <v>0</v>
      </c>
      <c r="N314" s="399">
        <v>1.284</v>
      </c>
      <c r="O314" s="399">
        <v>1.284</v>
      </c>
      <c r="P314" s="399">
        <v>1.284</v>
      </c>
      <c r="Q314" s="399">
        <v>1.284</v>
      </c>
      <c r="R314" s="399"/>
      <c r="S314" s="399">
        <v>1351.49</v>
      </c>
      <c r="T314" s="399">
        <v>128.11000000000001</v>
      </c>
      <c r="U314" s="399"/>
      <c r="V314" s="399">
        <v>1899.8064000000002</v>
      </c>
      <c r="W314" s="399">
        <v>1899.8064000000002</v>
      </c>
      <c r="X314" s="399">
        <v>1466.21244</v>
      </c>
      <c r="Y314" s="399">
        <v>0</v>
      </c>
      <c r="Z314" s="399">
        <v>68.383225634878386</v>
      </c>
      <c r="AA314" s="399">
        <v>0</v>
      </c>
      <c r="AB314" s="399">
        <v>0</v>
      </c>
      <c r="AC314" s="399">
        <v>0</v>
      </c>
      <c r="AD314" s="399">
        <v>0</v>
      </c>
      <c r="AE314" s="399">
        <v>1443.144906129143</v>
      </c>
      <c r="AF314" s="399">
        <v>164.49458360993498</v>
      </c>
      <c r="AG314" s="399">
        <v>0</v>
      </c>
      <c r="AH314" s="399">
        <v>0</v>
      </c>
      <c r="AI314" s="399">
        <v>0</v>
      </c>
      <c r="AJ314" s="399">
        <v>0</v>
      </c>
      <c r="AK314" s="399">
        <v>0</v>
      </c>
      <c r="AL314" s="399">
        <v>12.138743930486617</v>
      </c>
      <c r="AM314" s="399"/>
      <c r="AN314" s="399">
        <v>0.6312152380567001</v>
      </c>
      <c r="AO314" s="399">
        <v>26.671927380704748</v>
      </c>
      <c r="AP314" s="399">
        <v>141.87182751635197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6.7263820634537295</v>
      </c>
      <c r="BH314" s="399">
        <v>0</v>
      </c>
      <c r="BI314" s="399">
        <v>0</v>
      </c>
      <c r="BJ314" s="399">
        <v>0</v>
      </c>
      <c r="BK314" s="399">
        <v>0</v>
      </c>
      <c r="BL314" s="399">
        <v>0</v>
      </c>
      <c r="BM314" s="399"/>
      <c r="BN314" s="399"/>
      <c r="BO314" s="399"/>
      <c r="BP314" s="399"/>
      <c r="BQ314" s="399"/>
      <c r="BR314" s="399"/>
      <c r="BS314" s="399"/>
      <c r="BT314" s="399"/>
      <c r="BU314" s="399"/>
      <c r="BV314" s="399">
        <v>171.22096567338872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1461.6448000000003</v>
      </c>
      <c r="CJ314" s="399">
        <v>-438.19159999999988</v>
      </c>
      <c r="CK314" s="399"/>
      <c r="CL314" s="399"/>
      <c r="CM314" s="399"/>
      <c r="CN314" s="399"/>
      <c r="CO314" s="399">
        <v>-441.11819999999994</v>
      </c>
      <c r="CP314" s="399">
        <v>7.5242399999999812</v>
      </c>
      <c r="CQ314" s="399">
        <v>31</v>
      </c>
      <c r="CR314" s="399">
        <v>12.622501879003892</v>
      </c>
      <c r="CS314" s="399">
        <v>1.9469389471308425</v>
      </c>
      <c r="CT314" s="399">
        <v>10.356048985497921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0</v>
      </c>
      <c r="DA314" s="399">
        <v>0</v>
      </c>
      <c r="DB314" s="399">
        <v>0</v>
      </c>
      <c r="DC314" s="399">
        <v>7.523513586687784</v>
      </c>
      <c r="DD314" s="399">
        <v>0</v>
      </c>
      <c r="DE314" s="399">
        <v>0</v>
      </c>
      <c r="DF314" s="399">
        <v>0</v>
      </c>
      <c r="DG314" s="399">
        <v>0.30764555119726555</v>
      </c>
      <c r="DH314" s="399">
        <v>0</v>
      </c>
      <c r="DI314" s="399">
        <v>-6.4684501787354804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-0.9692371989241586</v>
      </c>
      <c r="DP314" s="399">
        <v>-7.3957813850261012E-2</v>
      </c>
      <c r="DQ314" s="399">
        <v>0</v>
      </c>
      <c r="DR314" s="399">
        <v>0</v>
      </c>
      <c r="DS314" s="399"/>
      <c r="DT314" s="399"/>
      <c r="DU314" s="399"/>
      <c r="DV314" s="399">
        <v>1443.144906129143</v>
      </c>
      <c r="DW314" s="399">
        <v>0</v>
      </c>
      <c r="DX314" s="399">
        <v>0</v>
      </c>
      <c r="DY314" s="399">
        <v>-441.11820000000012</v>
      </c>
      <c r="DZ314" s="399">
        <v>7.5242399999999918</v>
      </c>
      <c r="EA314" s="399">
        <v>0</v>
      </c>
      <c r="EB314" s="399">
        <v>0</v>
      </c>
      <c r="EC314" s="399">
        <v>-446.22173975872215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35.74490096611045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230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313</v>
      </c>
      <c r="B315" s="399" t="s">
        <v>956</v>
      </c>
      <c r="C315" s="399" t="s">
        <v>2337</v>
      </c>
      <c r="D315" s="399" t="s">
        <v>533</v>
      </c>
      <c r="E315" s="399" t="s">
        <v>2346</v>
      </c>
      <c r="F315" s="399" t="s">
        <v>1239</v>
      </c>
      <c r="G315" s="399" t="s">
        <v>1239</v>
      </c>
      <c r="H315" s="399" t="s">
        <v>1239</v>
      </c>
      <c r="I315" s="399" t="s">
        <v>2326</v>
      </c>
      <c r="J315" s="399" t="s">
        <v>2329</v>
      </c>
      <c r="K315" s="789">
        <v>44621</v>
      </c>
      <c r="L315" s="399">
        <v>0</v>
      </c>
      <c r="M315" s="399">
        <v>0</v>
      </c>
      <c r="N315" s="399">
        <v>17.056999999999999</v>
      </c>
      <c r="O315" s="399">
        <v>17.056999999999999</v>
      </c>
      <c r="P315" s="399">
        <v>17.056999999999999</v>
      </c>
      <c r="Q315" s="399">
        <v>17.056999999999999</v>
      </c>
      <c r="R315" s="399"/>
      <c r="S315" s="399">
        <v>96.28</v>
      </c>
      <c r="T315" s="399">
        <v>128.11000000000001</v>
      </c>
      <c r="U315" s="399"/>
      <c r="V315" s="399">
        <v>3827.4202299999997</v>
      </c>
      <c r="W315" s="399">
        <v>3827.4202299999997</v>
      </c>
      <c r="X315" s="399">
        <v>3831.6844799999999</v>
      </c>
      <c r="Y315" s="399">
        <v>0</v>
      </c>
      <c r="Z315" s="399">
        <v>908.42109007330259</v>
      </c>
      <c r="AA315" s="399">
        <v>0</v>
      </c>
      <c r="AB315" s="399">
        <v>0</v>
      </c>
      <c r="AC315" s="399">
        <v>0</v>
      </c>
      <c r="AD315" s="399">
        <v>0</v>
      </c>
      <c r="AE315" s="399">
        <v>0</v>
      </c>
      <c r="AF315" s="399">
        <v>2185.1901188743459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161.25432649712633</v>
      </c>
      <c r="AM315" s="399"/>
      <c r="AN315" s="399">
        <v>8.3852323329697285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89.355061414587425</v>
      </c>
      <c r="BH315" s="399">
        <v>0</v>
      </c>
      <c r="BI315" s="399">
        <v>0</v>
      </c>
      <c r="BJ315" s="399">
        <v>0</v>
      </c>
      <c r="BK315" s="399">
        <v>0</v>
      </c>
      <c r="BL315" s="399">
        <v>0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2274.5451802889334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3832.3583999999996</v>
      </c>
      <c r="CJ315" s="399">
        <v>4.9081699999992452</v>
      </c>
      <c r="CK315" s="399"/>
      <c r="CL315" s="399"/>
      <c r="CM315" s="399"/>
      <c r="CN315" s="399"/>
      <c r="CO315" s="399">
        <v>-95.689769999999982</v>
      </c>
      <c r="CP315" s="399">
        <v>99.954019999999744</v>
      </c>
      <c r="CQ315" s="399">
        <v>31</v>
      </c>
      <c r="CR315" s="399">
        <v>4.2445088655153995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0</v>
      </c>
      <c r="DA315" s="399">
        <v>0</v>
      </c>
      <c r="DB315" s="399">
        <v>0</v>
      </c>
      <c r="DC315" s="399">
        <v>99.944370130945572</v>
      </c>
      <c r="DD315" s="399">
        <v>0</v>
      </c>
      <c r="DE315" s="399">
        <v>0</v>
      </c>
      <c r="DF315" s="399">
        <v>0</v>
      </c>
      <c r="DG315" s="399">
        <v>4.0868459242770712</v>
      </c>
      <c r="DH315" s="399">
        <v>0</v>
      </c>
      <c r="DI315" s="399">
        <v>-85.928625154743827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-12.875606621533763</v>
      </c>
      <c r="DP315" s="399">
        <v>-0.98247541342982991</v>
      </c>
      <c r="DQ315" s="399">
        <v>0</v>
      </c>
      <c r="DR315" s="399">
        <v>0</v>
      </c>
      <c r="DS315" s="399"/>
      <c r="DT315" s="399"/>
      <c r="DU315" s="399"/>
      <c r="DV315" s="399">
        <v>0</v>
      </c>
      <c r="DW315" s="399">
        <v>0</v>
      </c>
      <c r="DX315" s="399">
        <v>0</v>
      </c>
      <c r="DY315" s="399">
        <v>-95.689769999999953</v>
      </c>
      <c r="DZ315" s="399">
        <v>99.954019999999673</v>
      </c>
      <c r="EA315" s="399">
        <v>0</v>
      </c>
      <c r="EB315" s="399">
        <v>0</v>
      </c>
      <c r="EC315" s="399">
        <v>0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474.84484094933475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230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314</v>
      </c>
      <c r="B316" s="399" t="s">
        <v>956</v>
      </c>
      <c r="C316" s="399" t="s">
        <v>2337</v>
      </c>
      <c r="D316" s="399" t="s">
        <v>533</v>
      </c>
      <c r="E316" s="399" t="s">
        <v>2346</v>
      </c>
      <c r="F316" s="399" t="s">
        <v>1239</v>
      </c>
      <c r="G316" s="399" t="s">
        <v>1239</v>
      </c>
      <c r="H316" s="399" t="s">
        <v>1239</v>
      </c>
      <c r="I316" s="399" t="s">
        <v>1239</v>
      </c>
      <c r="J316" s="399" t="s">
        <v>2329</v>
      </c>
      <c r="K316" s="789">
        <v>44621</v>
      </c>
      <c r="L316" s="399">
        <v>96</v>
      </c>
      <c r="M316" s="399">
        <v>96</v>
      </c>
      <c r="N316" s="399">
        <v>0</v>
      </c>
      <c r="O316" s="399">
        <v>0</v>
      </c>
      <c r="P316" s="399">
        <v>0</v>
      </c>
      <c r="Q316" s="399">
        <v>0</v>
      </c>
      <c r="R316" s="399">
        <v>18.12</v>
      </c>
      <c r="S316" s="399"/>
      <c r="T316" s="399"/>
      <c r="U316" s="399">
        <v>1739.52</v>
      </c>
      <c r="V316" s="399"/>
      <c r="W316" s="399">
        <v>1739.52</v>
      </c>
      <c r="X316" s="399">
        <v>1387.1999999999998</v>
      </c>
      <c r="Y316" s="399">
        <v>0</v>
      </c>
      <c r="Z316" s="399">
        <v>0</v>
      </c>
      <c r="AA316" s="399">
        <v>0</v>
      </c>
      <c r="AB316" s="399">
        <v>0</v>
      </c>
      <c r="AC316" s="399">
        <v>0</v>
      </c>
      <c r="AD316" s="399">
        <v>0</v>
      </c>
      <c r="AE316" s="399">
        <v>1253.6580785267424</v>
      </c>
      <c r="AF316" s="399"/>
      <c r="AG316" s="399"/>
      <c r="AH316" s="399"/>
      <c r="AI316" s="399">
        <v>0</v>
      </c>
      <c r="AJ316" s="399">
        <v>0</v>
      </c>
      <c r="AK316" s="399">
        <v>0</v>
      </c>
      <c r="AL316" s="399">
        <v>0</v>
      </c>
      <c r="AM316" s="399"/>
      <c r="AN316" s="399">
        <v>0</v>
      </c>
      <c r="AO316" s="399">
        <v>76.307559549117698</v>
      </c>
      <c r="AP316" s="399">
        <v>409.08681982558369</v>
      </c>
      <c r="AQ316" s="399">
        <v>0</v>
      </c>
      <c r="AR316" s="399">
        <v>0</v>
      </c>
      <c r="AS316" s="399"/>
      <c r="AT316" s="399"/>
      <c r="AU316" s="399">
        <v>0</v>
      </c>
      <c r="AV316" s="399">
        <v>0</v>
      </c>
      <c r="AW316" s="399">
        <v>0</v>
      </c>
      <c r="AX316" s="399"/>
      <c r="AY316" s="399"/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/>
      <c r="BG316" s="399">
        <v>0</v>
      </c>
      <c r="BH316" s="399">
        <v>0</v>
      </c>
      <c r="BI316" s="399">
        <v>0</v>
      </c>
      <c r="BJ316" s="399">
        <v>0</v>
      </c>
      <c r="BK316" s="399">
        <v>3096.49</v>
      </c>
      <c r="BL316" s="399">
        <v>1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0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1387.1999999999998</v>
      </c>
      <c r="CJ316" s="399">
        <v>-352.35000000000014</v>
      </c>
      <c r="CK316" s="399"/>
      <c r="CL316" s="399"/>
      <c r="CM316" s="399"/>
      <c r="CN316" s="399"/>
      <c r="CO316" s="399">
        <v>-352.32000000000016</v>
      </c>
      <c r="CP316" s="399">
        <v>0</v>
      </c>
      <c r="CQ316" s="399">
        <v>31</v>
      </c>
      <c r="CR316" s="399">
        <v>35.431755959514192</v>
      </c>
      <c r="CS316" s="399">
        <v>5.5701321290399051</v>
      </c>
      <c r="CT316" s="399">
        <v>29.861623830474286</v>
      </c>
      <c r="CU316" s="399">
        <v>0</v>
      </c>
      <c r="CV316" s="399">
        <v>0</v>
      </c>
      <c r="CW316" s="399"/>
      <c r="CX316" s="399"/>
      <c r="CY316" s="399"/>
      <c r="CZ316" s="399">
        <v>0</v>
      </c>
      <c r="DA316" s="399">
        <v>0</v>
      </c>
      <c r="DB316" s="399">
        <v>0</v>
      </c>
      <c r="DC316" s="399"/>
      <c r="DD316" s="399"/>
      <c r="DE316" s="399">
        <v>0</v>
      </c>
      <c r="DF316" s="399">
        <v>0</v>
      </c>
      <c r="DG316" s="399">
        <v>0</v>
      </c>
      <c r="DH316" s="399">
        <v>0</v>
      </c>
      <c r="DI316" s="399">
        <v>0</v>
      </c>
      <c r="DJ316" s="399"/>
      <c r="DK316" s="399">
        <v>0</v>
      </c>
      <c r="DL316" s="399">
        <v>0</v>
      </c>
      <c r="DM316" s="399"/>
      <c r="DN316" s="399">
        <v>0</v>
      </c>
      <c r="DO316" s="399">
        <v>0</v>
      </c>
      <c r="DP316" s="399">
        <v>0</v>
      </c>
      <c r="DQ316" s="399">
        <v>0</v>
      </c>
      <c r="DR316" s="399">
        <v>0</v>
      </c>
      <c r="DS316" s="399"/>
      <c r="DT316" s="399"/>
      <c r="DU316" s="399">
        <v>1253.6580785267424</v>
      </c>
      <c r="DV316" s="399"/>
      <c r="DW316" s="399">
        <v>0</v>
      </c>
      <c r="DX316" s="399">
        <v>0</v>
      </c>
      <c r="DY316" s="399">
        <v>-352.32000000000016</v>
      </c>
      <c r="DZ316" s="399"/>
      <c r="EA316" s="399">
        <v>0</v>
      </c>
      <c r="EB316" s="399"/>
      <c r="EC316" s="399">
        <v>-387.63223740521858</v>
      </c>
      <c r="ED316" s="399"/>
      <c r="EE316" s="399">
        <v>0</v>
      </c>
      <c r="EF316" s="399">
        <v>0</v>
      </c>
      <c r="EG316" s="399"/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/>
      <c r="EN316" s="399"/>
      <c r="EO316" s="399">
        <v>0</v>
      </c>
      <c r="EP316" s="399">
        <v>0</v>
      </c>
      <c r="EQ316" s="399"/>
      <c r="ER316" s="399">
        <v>0</v>
      </c>
      <c r="ES316" s="399"/>
      <c r="ET316" s="399">
        <v>0</v>
      </c>
      <c r="EU316" s="399"/>
      <c r="EV316" s="399">
        <v>230</v>
      </c>
      <c r="EW316" s="399"/>
      <c r="EX316" s="399"/>
      <c r="EY316" s="399"/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315</v>
      </c>
      <c r="B317" s="399" t="s">
        <v>956</v>
      </c>
      <c r="C317" s="399" t="s">
        <v>2328</v>
      </c>
      <c r="D317" s="399" t="s">
        <v>2340</v>
      </c>
      <c r="E317" s="399" t="s">
        <v>894</v>
      </c>
      <c r="F317" s="399" t="s">
        <v>2347</v>
      </c>
      <c r="G317" s="399" t="s">
        <v>2348</v>
      </c>
      <c r="H317" s="399" t="s">
        <v>1239</v>
      </c>
      <c r="I317" s="399" t="s">
        <v>1239</v>
      </c>
      <c r="J317" s="399" t="s">
        <v>2329</v>
      </c>
      <c r="K317" s="789">
        <v>44621</v>
      </c>
      <c r="L317" s="399">
        <v>0</v>
      </c>
      <c r="M317" s="399">
        <v>0</v>
      </c>
      <c r="N317" s="399">
        <v>0</v>
      </c>
      <c r="O317" s="399">
        <v>0</v>
      </c>
      <c r="P317" s="399">
        <v>0</v>
      </c>
      <c r="Q317" s="399">
        <v>0</v>
      </c>
      <c r="R317" s="399"/>
      <c r="S317" s="399"/>
      <c r="T317" s="399"/>
      <c r="U317" s="399"/>
      <c r="V317" s="399"/>
      <c r="W317" s="399"/>
      <c r="X317" s="399"/>
      <c r="Y317" s="399"/>
      <c r="Z317" s="399"/>
      <c r="AA317" s="399">
        <v>0</v>
      </c>
      <c r="AB317" s="399"/>
      <c r="AC317" s="399"/>
      <c r="AD317" s="399"/>
      <c r="AE317" s="399"/>
      <c r="AF317" s="399"/>
      <c r="AG317" s="399"/>
      <c r="AH317" s="399"/>
      <c r="AI317" s="399"/>
      <c r="AJ317" s="399"/>
      <c r="AK317" s="399"/>
      <c r="AL317" s="399"/>
      <c r="AM317" s="399"/>
      <c r="AN317" s="399"/>
      <c r="AO317" s="399"/>
      <c r="AP317" s="399"/>
      <c r="AQ317" s="399"/>
      <c r="AR317" s="399"/>
      <c r="AS317" s="399"/>
      <c r="AT317" s="399"/>
      <c r="AU317" s="399"/>
      <c r="AV317" s="399"/>
      <c r="AW317" s="399"/>
      <c r="AX317" s="399"/>
      <c r="AY317" s="399"/>
      <c r="AZ317" s="399">
        <v>0</v>
      </c>
      <c r="BA317" s="399"/>
      <c r="BB317" s="399"/>
      <c r="BC317" s="399"/>
      <c r="BD317" s="399"/>
      <c r="BE317" s="399"/>
      <c r="BF317" s="399"/>
      <c r="BG317" s="399"/>
      <c r="BH317" s="399"/>
      <c r="BI317" s="399">
        <v>0</v>
      </c>
      <c r="BJ317" s="399">
        <v>0</v>
      </c>
      <c r="BK317" s="399">
        <v>2944.49</v>
      </c>
      <c r="BL317" s="399">
        <v>126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/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/>
      <c r="CJ317" s="399">
        <v>-0.03</v>
      </c>
      <c r="CK317" s="399"/>
      <c r="CL317" s="399"/>
      <c r="CM317" s="399"/>
      <c r="CN317" s="399"/>
      <c r="CO317" s="399">
        <v>0</v>
      </c>
      <c r="CP317" s="399">
        <v>0</v>
      </c>
      <c r="CQ317" s="399">
        <v>31</v>
      </c>
      <c r="CR317" s="399"/>
      <c r="CS317" s="399"/>
      <c r="CT317" s="399"/>
      <c r="CU317" s="399"/>
      <c r="CV317" s="399"/>
      <c r="CW317" s="399"/>
      <c r="CX317" s="399"/>
      <c r="CY317" s="399"/>
      <c r="CZ317" s="399"/>
      <c r="DA317" s="399"/>
      <c r="DB317" s="399"/>
      <c r="DC317" s="399"/>
      <c r="DD317" s="399"/>
      <c r="DE317" s="399"/>
      <c r="DF317" s="399"/>
      <c r="DG317" s="399"/>
      <c r="DH317" s="399"/>
      <c r="DI317" s="399"/>
      <c r="DJ317" s="399"/>
      <c r="DK317" s="399">
        <v>0</v>
      </c>
      <c r="DL317" s="399"/>
      <c r="DM317" s="399"/>
      <c r="DN317" s="399"/>
      <c r="DO317" s="399"/>
      <c r="DP317" s="399"/>
      <c r="DQ317" s="399"/>
      <c r="DR317" s="399"/>
      <c r="DS317" s="399"/>
      <c r="DT317" s="399"/>
      <c r="DU317" s="399"/>
      <c r="DV317" s="399"/>
      <c r="DW317" s="399"/>
      <c r="DX317" s="399"/>
      <c r="DY317" s="399"/>
      <c r="DZ317" s="399"/>
      <c r="EA317" s="399"/>
      <c r="EB317" s="399"/>
      <c r="EC317" s="399"/>
      <c r="ED317" s="399"/>
      <c r="EE317" s="399"/>
      <c r="EF317" s="399"/>
      <c r="EG317" s="399"/>
      <c r="EH317" s="399"/>
      <c r="EI317" s="399"/>
      <c r="EJ317" s="399"/>
      <c r="EK317" s="399"/>
      <c r="EL317" s="399"/>
      <c r="EM317" s="399"/>
      <c r="EN317" s="399"/>
      <c r="EO317" s="399"/>
      <c r="EP317" s="399"/>
      <c r="EQ317" s="399"/>
      <c r="ER317" s="399"/>
      <c r="ES317" s="399"/>
      <c r="ET317" s="399"/>
      <c r="EU317" s="399"/>
      <c r="EV317" s="399">
        <v>230</v>
      </c>
      <c r="EW317" s="399"/>
      <c r="EX317" s="399"/>
      <c r="EY317" s="399"/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316</v>
      </c>
      <c r="B318" s="399" t="s">
        <v>2331</v>
      </c>
      <c r="C318" s="399" t="s">
        <v>2328</v>
      </c>
      <c r="D318" s="399" t="s">
        <v>2340</v>
      </c>
      <c r="E318" s="399" t="s">
        <v>894</v>
      </c>
      <c r="F318" s="399" t="s">
        <v>2347</v>
      </c>
      <c r="G318" s="399" t="s">
        <v>2348</v>
      </c>
      <c r="H318" s="399" t="s">
        <v>1239</v>
      </c>
      <c r="I318" s="399" t="s">
        <v>1239</v>
      </c>
      <c r="J318" s="399" t="s">
        <v>2329</v>
      </c>
      <c r="K318" s="789">
        <v>44621</v>
      </c>
      <c r="L318" s="399">
        <v>0</v>
      </c>
      <c r="M318" s="399">
        <v>0</v>
      </c>
      <c r="N318" s="399">
        <v>0</v>
      </c>
      <c r="O318" s="399">
        <v>0</v>
      </c>
      <c r="P318" s="399">
        <v>0</v>
      </c>
      <c r="Q318" s="399">
        <v>0</v>
      </c>
      <c r="R318" s="399"/>
      <c r="S318" s="399"/>
      <c r="T318" s="399"/>
      <c r="U318" s="399"/>
      <c r="V318" s="399"/>
      <c r="W318" s="399"/>
      <c r="X318" s="399"/>
      <c r="Y318" s="399"/>
      <c r="Z318" s="399"/>
      <c r="AA318" s="399">
        <v>0</v>
      </c>
      <c r="AB318" s="399"/>
      <c r="AC318" s="399"/>
      <c r="AD318" s="399"/>
      <c r="AE318" s="399"/>
      <c r="AF318" s="399"/>
      <c r="AG318" s="399"/>
      <c r="AH318" s="399"/>
      <c r="AI318" s="399"/>
      <c r="AJ318" s="399"/>
      <c r="AK318" s="399"/>
      <c r="AL318" s="399"/>
      <c r="AM318" s="399"/>
      <c r="AN318" s="399"/>
      <c r="AO318" s="399"/>
      <c r="AP318" s="399"/>
      <c r="AQ318" s="399"/>
      <c r="AR318" s="399"/>
      <c r="AS318" s="399"/>
      <c r="AT318" s="399"/>
      <c r="AU318" s="399"/>
      <c r="AV318" s="399"/>
      <c r="AW318" s="399"/>
      <c r="AX318" s="399"/>
      <c r="AY318" s="399"/>
      <c r="AZ318" s="399">
        <v>0</v>
      </c>
      <c r="BA318" s="399"/>
      <c r="BB318" s="399"/>
      <c r="BC318" s="399"/>
      <c r="BD318" s="399"/>
      <c r="BE318" s="399"/>
      <c r="BF318" s="399"/>
      <c r="BG318" s="399"/>
      <c r="BH318" s="399"/>
      <c r="BI318" s="399">
        <v>0</v>
      </c>
      <c r="BJ318" s="399">
        <v>0</v>
      </c>
      <c r="BK318" s="399">
        <v>9.7100000000000009</v>
      </c>
      <c r="BL318" s="399">
        <v>1</v>
      </c>
      <c r="BM318" s="399"/>
      <c r="BN318" s="399"/>
      <c r="BO318" s="399"/>
      <c r="BP318" s="399"/>
      <c r="BQ318" s="399"/>
      <c r="BR318" s="399"/>
      <c r="BS318" s="399"/>
      <c r="BT318" s="399"/>
      <c r="BU318" s="399"/>
      <c r="BV318" s="399"/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/>
      <c r="CJ318" s="399">
        <v>-0.03</v>
      </c>
      <c r="CK318" s="399"/>
      <c r="CL318" s="399"/>
      <c r="CM318" s="399"/>
      <c r="CN318" s="399"/>
      <c r="CO318" s="399">
        <v>0</v>
      </c>
      <c r="CP318" s="399">
        <v>0</v>
      </c>
      <c r="CQ318" s="399">
        <v>31</v>
      </c>
      <c r="CR318" s="399"/>
      <c r="CS318" s="399"/>
      <c r="CT318" s="399"/>
      <c r="CU318" s="399"/>
      <c r="CV318" s="399"/>
      <c r="CW318" s="399"/>
      <c r="CX318" s="399"/>
      <c r="CY318" s="399"/>
      <c r="CZ318" s="399"/>
      <c r="DA318" s="399"/>
      <c r="DB318" s="399"/>
      <c r="DC318" s="399"/>
      <c r="DD318" s="399"/>
      <c r="DE318" s="399"/>
      <c r="DF318" s="399"/>
      <c r="DG318" s="399"/>
      <c r="DH318" s="399"/>
      <c r="DI318" s="399"/>
      <c r="DJ318" s="399"/>
      <c r="DK318" s="399">
        <v>0</v>
      </c>
      <c r="DL318" s="399"/>
      <c r="DM318" s="399"/>
      <c r="DN318" s="399"/>
      <c r="DO318" s="399"/>
      <c r="DP318" s="399"/>
      <c r="DQ318" s="399"/>
      <c r="DR318" s="399"/>
      <c r="DS318" s="399"/>
      <c r="DT318" s="399"/>
      <c r="DU318" s="399"/>
      <c r="DV318" s="399"/>
      <c r="DW318" s="399"/>
      <c r="DX318" s="399"/>
      <c r="DY318" s="399"/>
      <c r="DZ318" s="399"/>
      <c r="EA318" s="399"/>
      <c r="EB318" s="399"/>
      <c r="EC318" s="399"/>
      <c r="ED318" s="399"/>
      <c r="EE318" s="399"/>
      <c r="EF318" s="399"/>
      <c r="EG318" s="399"/>
      <c r="EH318" s="399"/>
      <c r="EI318" s="399"/>
      <c r="EJ318" s="399"/>
      <c r="EK318" s="399"/>
      <c r="EL318" s="399"/>
      <c r="EM318" s="399"/>
      <c r="EN318" s="399"/>
      <c r="EO318" s="399"/>
      <c r="EP318" s="399"/>
      <c r="EQ318" s="399"/>
      <c r="ER318" s="399"/>
      <c r="ES318" s="399"/>
      <c r="ET318" s="399"/>
      <c r="EU318" s="399"/>
      <c r="EV318" s="399">
        <v>230</v>
      </c>
      <c r="EW318" s="399"/>
      <c r="EX318" s="399"/>
      <c r="EY318" s="399"/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317</v>
      </c>
      <c r="B319" s="399" t="s">
        <v>956</v>
      </c>
      <c r="C319" s="399" t="s">
        <v>2328</v>
      </c>
      <c r="D319" s="399" t="s">
        <v>2340</v>
      </c>
      <c r="E319" s="399" t="s">
        <v>894</v>
      </c>
      <c r="F319" s="399" t="s">
        <v>2347</v>
      </c>
      <c r="G319" s="399" t="s">
        <v>2348</v>
      </c>
      <c r="H319" s="399" t="s">
        <v>1239</v>
      </c>
      <c r="I319" s="399" t="s">
        <v>1239</v>
      </c>
      <c r="J319" s="399" t="s">
        <v>2329</v>
      </c>
      <c r="K319" s="789">
        <v>44621</v>
      </c>
      <c r="L319" s="399">
        <v>0</v>
      </c>
      <c r="M319" s="399">
        <v>0</v>
      </c>
      <c r="N319" s="399">
        <v>23.201000000000001</v>
      </c>
      <c r="O319" s="399">
        <v>23.201000000000001</v>
      </c>
      <c r="P319" s="399">
        <v>23.201000000000001</v>
      </c>
      <c r="Q319" s="399">
        <v>23.201000000000001</v>
      </c>
      <c r="R319" s="399"/>
      <c r="S319" s="399">
        <v>333.61</v>
      </c>
      <c r="T319" s="399">
        <v>128.11000000000001</v>
      </c>
      <c r="U319" s="399"/>
      <c r="V319" s="399">
        <v>10712.365720000002</v>
      </c>
      <c r="W319" s="399">
        <v>10712.365720000002</v>
      </c>
      <c r="X319" s="399">
        <v>9350.6990299999998</v>
      </c>
      <c r="Y319" s="399">
        <v>0</v>
      </c>
      <c r="Z319" s="399">
        <v>1420.2735864529061</v>
      </c>
      <c r="AA319" s="399">
        <v>0</v>
      </c>
      <c r="AB319" s="399">
        <v>0</v>
      </c>
      <c r="AC319" s="399">
        <v>0</v>
      </c>
      <c r="AD319" s="399">
        <v>0</v>
      </c>
      <c r="AE319" s="399">
        <v>4512.5062959305114</v>
      </c>
      <c r="AF319" s="399">
        <v>2972.3043881106705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219.33878343552959</v>
      </c>
      <c r="AM319" s="399"/>
      <c r="AN319" s="399">
        <v>19.961859813239254</v>
      </c>
      <c r="AO319" s="399">
        <v>80.647143927434698</v>
      </c>
      <c r="AP319" s="399">
        <v>430.20768813270149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314.7997717884644</v>
      </c>
      <c r="BH319" s="399">
        <v>0</v>
      </c>
      <c r="BI319" s="399">
        <v>0</v>
      </c>
      <c r="BJ319" s="399">
        <v>0</v>
      </c>
      <c r="BK319" s="399">
        <v>0</v>
      </c>
      <c r="BL319" s="399">
        <v>0</v>
      </c>
      <c r="BM319" s="399"/>
      <c r="BN319" s="399"/>
      <c r="BO319" s="399"/>
      <c r="BP319" s="399"/>
      <c r="BQ319" s="399"/>
      <c r="BR319" s="399">
        <v>1122.2323699999997</v>
      </c>
      <c r="BS319" s="399"/>
      <c r="BT319" s="399"/>
      <c r="BU319" s="399"/>
      <c r="BV319" s="399">
        <v>3287.1041598991351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8228.112000000001</v>
      </c>
      <c r="CJ319" s="399">
        <v>-1198.9483199999995</v>
      </c>
      <c r="CK319" s="399"/>
      <c r="CL319" s="399"/>
      <c r="CM319" s="399"/>
      <c r="CN319" s="399"/>
      <c r="CO319" s="399">
        <v>-1497.6245500000002</v>
      </c>
      <c r="CP319" s="399">
        <v>135.95785999999967</v>
      </c>
      <c r="CQ319" s="399">
        <v>31</v>
      </c>
      <c r="CR319" s="399">
        <v>33.435353085003953</v>
      </c>
      <c r="CS319" s="399">
        <v>5.8869036064031377</v>
      </c>
      <c r="CT319" s="399">
        <v>31.403358723399833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</v>
      </c>
      <c r="DA319" s="399">
        <v>0</v>
      </c>
      <c r="DB319" s="399">
        <v>0</v>
      </c>
      <c r="DC319" s="399">
        <v>135.94473420930217</v>
      </c>
      <c r="DD319" s="399">
        <v>0</v>
      </c>
      <c r="DE319" s="399">
        <v>0</v>
      </c>
      <c r="DF319" s="399">
        <v>0</v>
      </c>
      <c r="DG319" s="399">
        <v>14.398044653874194</v>
      </c>
      <c r="DH319" s="399">
        <v>0</v>
      </c>
      <c r="DI319" s="399">
        <v>-134.34535807358407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-17.513451909843752</v>
      </c>
      <c r="DP319" s="399">
        <v>-2.3388781245486179</v>
      </c>
      <c r="DQ319" s="399">
        <v>0</v>
      </c>
      <c r="DR319" s="399">
        <v>0</v>
      </c>
      <c r="DS319" s="399"/>
      <c r="DT319" s="399"/>
      <c r="DU319" s="399"/>
      <c r="DV319" s="399">
        <v>4512.5062959305114</v>
      </c>
      <c r="DW319" s="399">
        <v>0</v>
      </c>
      <c r="DX319" s="399">
        <v>0</v>
      </c>
      <c r="DY319" s="399">
        <v>-1497.6245499999995</v>
      </c>
      <c r="DZ319" s="399">
        <v>135.95785999999953</v>
      </c>
      <c r="EA319" s="399">
        <v>0</v>
      </c>
      <c r="EB319" s="399">
        <v>0</v>
      </c>
      <c r="EC319" s="399">
        <v>-1395.2711203777912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742.39754298235539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230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318</v>
      </c>
      <c r="B320" s="399" t="s">
        <v>2331</v>
      </c>
      <c r="C320" s="399" t="s">
        <v>2328</v>
      </c>
      <c r="D320" s="399" t="s">
        <v>2340</v>
      </c>
      <c r="E320" s="399" t="s">
        <v>894</v>
      </c>
      <c r="F320" s="399" t="s">
        <v>2347</v>
      </c>
      <c r="G320" s="399" t="s">
        <v>2348</v>
      </c>
      <c r="H320" s="399" t="s">
        <v>1239</v>
      </c>
      <c r="I320" s="399" t="s">
        <v>1239</v>
      </c>
      <c r="J320" s="399" t="s">
        <v>2329</v>
      </c>
      <c r="K320" s="789">
        <v>44621</v>
      </c>
      <c r="L320" s="399">
        <v>0</v>
      </c>
      <c r="M320" s="399">
        <v>0</v>
      </c>
      <c r="N320" s="399">
        <v>0.1</v>
      </c>
      <c r="O320" s="399">
        <v>0.1</v>
      </c>
      <c r="P320" s="399">
        <v>0.1</v>
      </c>
      <c r="Q320" s="399">
        <v>0.1</v>
      </c>
      <c r="R320" s="399"/>
      <c r="S320" s="399">
        <v>333.61</v>
      </c>
      <c r="T320" s="399">
        <v>128.11000000000001</v>
      </c>
      <c r="U320" s="399"/>
      <c r="V320" s="399">
        <v>46.172000000000004</v>
      </c>
      <c r="W320" s="399">
        <v>46.172000000000004</v>
      </c>
      <c r="X320" s="399">
        <v>40.303000000000004</v>
      </c>
      <c r="Y320" s="399">
        <v>0</v>
      </c>
      <c r="Z320" s="399">
        <v>6.12160504483818</v>
      </c>
      <c r="AA320" s="399">
        <v>0</v>
      </c>
      <c r="AB320" s="399">
        <v>0</v>
      </c>
      <c r="AC320" s="399">
        <v>0</v>
      </c>
      <c r="AD320" s="399">
        <v>0</v>
      </c>
      <c r="AE320" s="399">
        <v>19.449619826432102</v>
      </c>
      <c r="AF320" s="399">
        <v>12.8111046425183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0.9453850413151571</v>
      </c>
      <c r="AM320" s="399"/>
      <c r="AN320" s="399">
        <v>8.603879062643531E-2</v>
      </c>
      <c r="AO320" s="399">
        <v>0.34760201684166503</v>
      </c>
      <c r="AP320" s="399">
        <v>1.8542635581772402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1.3568370836966701</v>
      </c>
      <c r="BH320" s="399">
        <v>0</v>
      </c>
      <c r="BI320" s="399">
        <v>0</v>
      </c>
      <c r="BJ320" s="399">
        <v>0</v>
      </c>
      <c r="BK320" s="399">
        <v>0</v>
      </c>
      <c r="BL320" s="399">
        <v>0</v>
      </c>
      <c r="BM320" s="399"/>
      <c r="BN320" s="399"/>
      <c r="BO320" s="399"/>
      <c r="BP320" s="399"/>
      <c r="BQ320" s="399"/>
      <c r="BR320" s="399">
        <v>4.8369999999999989</v>
      </c>
      <c r="BS320" s="399"/>
      <c r="BT320" s="399"/>
      <c r="BU320" s="399"/>
      <c r="BV320" s="399">
        <v>14.16794172621497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35.466000000000008</v>
      </c>
      <c r="CJ320" s="399">
        <v>-5.1959999999999908</v>
      </c>
      <c r="CK320" s="399"/>
      <c r="CL320" s="399"/>
      <c r="CM320" s="399"/>
      <c r="CN320" s="399"/>
      <c r="CO320" s="399">
        <v>-6.4550000000000018</v>
      </c>
      <c r="CP320" s="399">
        <v>0.58599999999999852</v>
      </c>
      <c r="CQ320" s="399">
        <v>31</v>
      </c>
      <c r="CR320" s="399">
        <v>0.14411168951771458</v>
      </c>
      <c r="CS320" s="399">
        <v>2.5373490825408962E-2</v>
      </c>
      <c r="CT320" s="399">
        <v>0.13535347064092007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0</v>
      </c>
      <c r="DA320" s="399">
        <v>0</v>
      </c>
      <c r="DB320" s="399">
        <v>0</v>
      </c>
      <c r="DC320" s="399">
        <v>0.5859434257545022</v>
      </c>
      <c r="DD320" s="399">
        <v>0</v>
      </c>
      <c r="DE320" s="399">
        <v>0</v>
      </c>
      <c r="DF320" s="399">
        <v>0</v>
      </c>
      <c r="DG320" s="399">
        <v>6.2057862393320118E-2</v>
      </c>
      <c r="DH320" s="399">
        <v>0</v>
      </c>
      <c r="DI320" s="399">
        <v>-0.57904986023698957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-7.5485763156087016E-2</v>
      </c>
      <c r="DP320" s="399">
        <v>-1.0080936703368903E-2</v>
      </c>
      <c r="DQ320" s="399">
        <v>0</v>
      </c>
      <c r="DR320" s="399">
        <v>0</v>
      </c>
      <c r="DS320" s="399"/>
      <c r="DT320" s="399"/>
      <c r="DU320" s="399"/>
      <c r="DV320" s="399">
        <v>19.449619826432102</v>
      </c>
      <c r="DW320" s="399">
        <v>0</v>
      </c>
      <c r="DX320" s="399">
        <v>0</v>
      </c>
      <c r="DY320" s="399">
        <v>-6.4550000000000018</v>
      </c>
      <c r="DZ320" s="399">
        <v>0.58599999999999852</v>
      </c>
      <c r="EA320" s="399">
        <v>0</v>
      </c>
      <c r="EB320" s="399">
        <v>0</v>
      </c>
      <c r="EC320" s="399">
        <v>-6.0138404395405018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3.19985148477374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230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319</v>
      </c>
      <c r="B321" s="399" t="s">
        <v>956</v>
      </c>
      <c r="C321" s="399" t="s">
        <v>2328</v>
      </c>
      <c r="D321" s="399" t="s">
        <v>2340</v>
      </c>
      <c r="E321" s="399" t="s">
        <v>894</v>
      </c>
      <c r="F321" s="399" t="s">
        <v>2347</v>
      </c>
      <c r="G321" s="399" t="s">
        <v>2349</v>
      </c>
      <c r="H321" s="399" t="s">
        <v>1239</v>
      </c>
      <c r="I321" s="399" t="s">
        <v>1239</v>
      </c>
      <c r="J321" s="399" t="s">
        <v>2329</v>
      </c>
      <c r="K321" s="789">
        <v>44621</v>
      </c>
      <c r="L321" s="399">
        <v>0</v>
      </c>
      <c r="M321" s="399">
        <v>0</v>
      </c>
      <c r="N321" s="399">
        <v>14.337</v>
      </c>
      <c r="O321" s="399">
        <v>5.7347999999999999</v>
      </c>
      <c r="P321" s="399">
        <v>14.337</v>
      </c>
      <c r="Q321" s="399">
        <v>5.7347999999999999</v>
      </c>
      <c r="R321" s="399"/>
      <c r="S321" s="399">
        <v>333.61</v>
      </c>
      <c r="T321" s="399">
        <v>128.11000000000001</v>
      </c>
      <c r="U321" s="399"/>
      <c r="V321" s="399">
        <v>6619.6796400000003</v>
      </c>
      <c r="W321" s="399">
        <v>6619.6796400000003</v>
      </c>
      <c r="X321" s="399">
        <v>5778.2411099999999</v>
      </c>
      <c r="Y321" s="399">
        <v>0</v>
      </c>
      <c r="Z321" s="399">
        <v>877.65451527844982</v>
      </c>
      <c r="AA321" s="399">
        <v>0</v>
      </c>
      <c r="AB321" s="399">
        <v>0</v>
      </c>
      <c r="AC321" s="399">
        <v>0</v>
      </c>
      <c r="AD321" s="399">
        <v>0</v>
      </c>
      <c r="AE321" s="399">
        <v>2788.4919945155702</v>
      </c>
      <c r="AF321" s="399">
        <v>1836.7280725978485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135.53985337335408</v>
      </c>
      <c r="AM321" s="399"/>
      <c r="AN321" s="399">
        <v>12.33538141211203</v>
      </c>
      <c r="AO321" s="399">
        <v>49.835701154589508</v>
      </c>
      <c r="AP321" s="399">
        <v>265.84576633587091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194.52973268959158</v>
      </c>
      <c r="BH321" s="399">
        <v>0</v>
      </c>
      <c r="BI321" s="399">
        <v>0</v>
      </c>
      <c r="BJ321" s="399">
        <v>0</v>
      </c>
      <c r="BK321" s="399">
        <v>0</v>
      </c>
      <c r="BL321" s="399">
        <v>0</v>
      </c>
      <c r="BM321" s="399"/>
      <c r="BN321" s="399"/>
      <c r="BO321" s="399"/>
      <c r="BP321" s="399"/>
      <c r="BQ321" s="399"/>
      <c r="BR321" s="399"/>
      <c r="BS321" s="399">
        <v>3744.3369419999999</v>
      </c>
      <c r="BT321" s="399"/>
      <c r="BU321" s="399"/>
      <c r="BV321" s="399">
        <v>2031.2578052874401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2032.2018000000003</v>
      </c>
      <c r="CJ321" s="399">
        <v>-297.99213599999985</v>
      </c>
      <c r="CK321" s="399"/>
      <c r="CL321" s="399"/>
      <c r="CM321" s="399"/>
      <c r="CN321" s="399"/>
      <c r="CO321" s="399">
        <v>-925.45335000000011</v>
      </c>
      <c r="CP321" s="399">
        <v>84.014819999999787</v>
      </c>
      <c r="CQ321" s="399">
        <v>31</v>
      </c>
      <c r="CR321" s="399">
        <v>20.661292926153692</v>
      </c>
      <c r="CS321" s="399">
        <v>3.63779737963889</v>
      </c>
      <c r="CT321" s="399">
        <v>19.405627085788694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0</v>
      </c>
      <c r="DA321" s="399">
        <v>0</v>
      </c>
      <c r="DB321" s="399">
        <v>0</v>
      </c>
      <c r="DC321" s="399">
        <v>84.00670895042299</v>
      </c>
      <c r="DD321" s="399">
        <v>0</v>
      </c>
      <c r="DE321" s="399">
        <v>0</v>
      </c>
      <c r="DF321" s="399">
        <v>0</v>
      </c>
      <c r="DG321" s="399">
        <v>8.8972357313302837</v>
      </c>
      <c r="DH321" s="399">
        <v>0</v>
      </c>
      <c r="DI321" s="399">
        <v>-83.018378462177225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-10.822393863688205</v>
      </c>
      <c r="DP321" s="399">
        <v>-1.4453038951620005</v>
      </c>
      <c r="DQ321" s="399">
        <v>0</v>
      </c>
      <c r="DR321" s="399">
        <v>0</v>
      </c>
      <c r="DS321" s="399"/>
      <c r="DT321" s="399"/>
      <c r="DU321" s="399"/>
      <c r="DV321" s="399">
        <v>2788.4919945155702</v>
      </c>
      <c r="DW321" s="399">
        <v>0</v>
      </c>
      <c r="DX321" s="399">
        <v>0</v>
      </c>
      <c r="DY321" s="399">
        <v>-925.45335000000068</v>
      </c>
      <c r="DZ321" s="399">
        <v>84.014819999999645</v>
      </c>
      <c r="EA321" s="399">
        <v>0</v>
      </c>
      <c r="EB321" s="399">
        <v>0</v>
      </c>
      <c r="EC321" s="399">
        <v>-862.20430381692177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458.76270737201111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230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320</v>
      </c>
      <c r="B322" s="399" t="s">
        <v>956</v>
      </c>
      <c r="C322" s="399" t="s">
        <v>2328</v>
      </c>
      <c r="D322" s="399" t="s">
        <v>2340</v>
      </c>
      <c r="E322" s="399" t="s">
        <v>894</v>
      </c>
      <c r="F322" s="399" t="s">
        <v>2350</v>
      </c>
      <c r="G322" s="399" t="s">
        <v>2348</v>
      </c>
      <c r="H322" s="399" t="s">
        <v>1239</v>
      </c>
      <c r="I322" s="399" t="s">
        <v>1239</v>
      </c>
      <c r="J322" s="399" t="s">
        <v>2329</v>
      </c>
      <c r="K322" s="789">
        <v>44621</v>
      </c>
      <c r="L322" s="399">
        <v>0</v>
      </c>
      <c r="M322" s="399">
        <v>0</v>
      </c>
      <c r="N322" s="399">
        <v>0</v>
      </c>
      <c r="O322" s="399">
        <v>0</v>
      </c>
      <c r="P322" s="399">
        <v>0</v>
      </c>
      <c r="Q322" s="399">
        <v>0</v>
      </c>
      <c r="R322" s="399"/>
      <c r="S322" s="399"/>
      <c r="T322" s="399"/>
      <c r="U322" s="399"/>
      <c r="V322" s="399"/>
      <c r="W322" s="399"/>
      <c r="X322" s="399"/>
      <c r="Y322" s="399"/>
      <c r="Z322" s="399"/>
      <c r="AA322" s="399">
        <v>0</v>
      </c>
      <c r="AB322" s="399"/>
      <c r="AC322" s="399"/>
      <c r="AD322" s="399"/>
      <c r="AE322" s="399"/>
      <c r="AF322" s="399"/>
      <c r="AG322" s="399"/>
      <c r="AH322" s="399"/>
      <c r="AI322" s="399"/>
      <c r="AJ322" s="399"/>
      <c r="AK322" s="399"/>
      <c r="AL322" s="399"/>
      <c r="AM322" s="399"/>
      <c r="AN322" s="399"/>
      <c r="AO322" s="399"/>
      <c r="AP322" s="399"/>
      <c r="AQ322" s="399"/>
      <c r="AR322" s="399"/>
      <c r="AS322" s="399"/>
      <c r="AT322" s="399"/>
      <c r="AU322" s="399"/>
      <c r="AV322" s="399"/>
      <c r="AW322" s="399"/>
      <c r="AX322" s="399"/>
      <c r="AY322" s="399"/>
      <c r="AZ322" s="399">
        <v>0</v>
      </c>
      <c r="BA322" s="399"/>
      <c r="BB322" s="399"/>
      <c r="BC322" s="399"/>
      <c r="BD322" s="399"/>
      <c r="BE322" s="399"/>
      <c r="BF322" s="399"/>
      <c r="BG322" s="399"/>
      <c r="BH322" s="399"/>
      <c r="BI322" s="399">
        <v>0</v>
      </c>
      <c r="BJ322" s="399">
        <v>0</v>
      </c>
      <c r="BK322" s="399">
        <v>447.52</v>
      </c>
      <c r="BL322" s="399">
        <v>1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/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/>
      <c r="CJ322" s="399">
        <v>-0.03</v>
      </c>
      <c r="CK322" s="399"/>
      <c r="CL322" s="399"/>
      <c r="CM322" s="399"/>
      <c r="CN322" s="399"/>
      <c r="CO322" s="399">
        <v>0</v>
      </c>
      <c r="CP322" s="399">
        <v>0</v>
      </c>
      <c r="CQ322" s="399">
        <v>31</v>
      </c>
      <c r="CR322" s="399"/>
      <c r="CS322" s="399"/>
      <c r="CT322" s="399"/>
      <c r="CU322" s="399"/>
      <c r="CV322" s="399"/>
      <c r="CW322" s="399"/>
      <c r="CX322" s="399"/>
      <c r="CY322" s="399"/>
      <c r="CZ322" s="399"/>
      <c r="DA322" s="399"/>
      <c r="DB322" s="399"/>
      <c r="DC322" s="399"/>
      <c r="DD322" s="399"/>
      <c r="DE322" s="399"/>
      <c r="DF322" s="399"/>
      <c r="DG322" s="399"/>
      <c r="DH322" s="399"/>
      <c r="DI322" s="399"/>
      <c r="DJ322" s="399"/>
      <c r="DK322" s="399">
        <v>0</v>
      </c>
      <c r="DL322" s="399"/>
      <c r="DM322" s="399"/>
      <c r="DN322" s="399"/>
      <c r="DO322" s="399"/>
      <c r="DP322" s="399"/>
      <c r="DQ322" s="399"/>
      <c r="DR322" s="399"/>
      <c r="DS322" s="399"/>
      <c r="DT322" s="399"/>
      <c r="DU322" s="399"/>
      <c r="DV322" s="399"/>
      <c r="DW322" s="399"/>
      <c r="DX322" s="399"/>
      <c r="DY322" s="399"/>
      <c r="DZ322" s="399"/>
      <c r="EA322" s="399"/>
      <c r="EB322" s="399"/>
      <c r="EC322" s="399"/>
      <c r="ED322" s="399"/>
      <c r="EE322" s="399"/>
      <c r="EF322" s="399"/>
      <c r="EG322" s="399"/>
      <c r="EH322" s="399"/>
      <c r="EI322" s="399"/>
      <c r="EJ322" s="399"/>
      <c r="EK322" s="399"/>
      <c r="EL322" s="399"/>
      <c r="EM322" s="399"/>
      <c r="EN322" s="399"/>
      <c r="EO322" s="399"/>
      <c r="EP322" s="399"/>
      <c r="EQ322" s="399"/>
      <c r="ER322" s="399"/>
      <c r="ES322" s="399"/>
      <c r="ET322" s="399"/>
      <c r="EU322" s="399"/>
      <c r="EV322" s="399">
        <v>230</v>
      </c>
      <c r="EW322" s="399"/>
      <c r="EX322" s="399"/>
      <c r="EY322" s="399"/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321</v>
      </c>
      <c r="B323" s="399" t="s">
        <v>956</v>
      </c>
      <c r="C323" s="399" t="s">
        <v>2328</v>
      </c>
      <c r="D323" s="399" t="s">
        <v>2340</v>
      </c>
      <c r="E323" s="399" t="s">
        <v>894</v>
      </c>
      <c r="F323" s="399" t="s">
        <v>2350</v>
      </c>
      <c r="G323" s="399" t="s">
        <v>2348</v>
      </c>
      <c r="H323" s="399" t="s">
        <v>1239</v>
      </c>
      <c r="I323" s="399" t="s">
        <v>1239</v>
      </c>
      <c r="J323" s="399" t="s">
        <v>2329</v>
      </c>
      <c r="K323" s="789">
        <v>44621</v>
      </c>
      <c r="L323" s="399">
        <v>0</v>
      </c>
      <c r="M323" s="399">
        <v>0</v>
      </c>
      <c r="N323" s="399">
        <v>1.677</v>
      </c>
      <c r="O323" s="399">
        <v>1.677</v>
      </c>
      <c r="P323" s="399">
        <v>1.677</v>
      </c>
      <c r="Q323" s="399">
        <v>1.677</v>
      </c>
      <c r="R323" s="399"/>
      <c r="S323" s="399">
        <v>333.61</v>
      </c>
      <c r="T323" s="399">
        <v>128.11000000000001</v>
      </c>
      <c r="U323" s="399"/>
      <c r="V323" s="399">
        <v>774.30444000000011</v>
      </c>
      <c r="W323" s="399">
        <v>774.30444000000011</v>
      </c>
      <c r="X323" s="399">
        <v>675.88130999999998</v>
      </c>
      <c r="Y323" s="399">
        <v>0</v>
      </c>
      <c r="Z323" s="399">
        <v>102.65931660193628</v>
      </c>
      <c r="AA323" s="399">
        <v>0</v>
      </c>
      <c r="AB323" s="399">
        <v>0</v>
      </c>
      <c r="AC323" s="399">
        <v>0</v>
      </c>
      <c r="AD323" s="399">
        <v>0</v>
      </c>
      <c r="AE323" s="399">
        <v>326.17012448926636</v>
      </c>
      <c r="AF323" s="399">
        <v>214.84222485503187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15.854107142855185</v>
      </c>
      <c r="AM323" s="399"/>
      <c r="AN323" s="399">
        <v>1.4428705188053201</v>
      </c>
      <c r="AO323" s="399">
        <v>5.8292858224347226</v>
      </c>
      <c r="AP323" s="399">
        <v>31.095999870632319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22.754157893593156</v>
      </c>
      <c r="BH323" s="399">
        <v>0</v>
      </c>
      <c r="BI323" s="399">
        <v>0</v>
      </c>
      <c r="BJ323" s="399">
        <v>0</v>
      </c>
      <c r="BK323" s="399">
        <v>0</v>
      </c>
      <c r="BL323" s="399">
        <v>0</v>
      </c>
      <c r="BM323" s="399"/>
      <c r="BN323" s="399"/>
      <c r="BO323" s="399"/>
      <c r="BP323" s="399"/>
      <c r="BQ323" s="399"/>
      <c r="BR323" s="399">
        <v>81.116489999999985</v>
      </c>
      <c r="BS323" s="399"/>
      <c r="BT323" s="399"/>
      <c r="BU323" s="399"/>
      <c r="BV323" s="399">
        <v>237.59638274862502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595.8288</v>
      </c>
      <c r="CJ323" s="399">
        <v>-85.599839999999972</v>
      </c>
      <c r="CK323" s="399"/>
      <c r="CL323" s="399"/>
      <c r="CM323" s="399"/>
      <c r="CN323" s="399"/>
      <c r="CO323" s="399">
        <v>-108.25035000000003</v>
      </c>
      <c r="CP323" s="399">
        <v>9.8272199999999756</v>
      </c>
      <c r="CQ323" s="399">
        <v>31</v>
      </c>
      <c r="CR323" s="399">
        <v>2.4167530332118758</v>
      </c>
      <c r="CS323" s="399">
        <v>0.42551344114210821</v>
      </c>
      <c r="CT323" s="399">
        <v>2.2698777026482233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0</v>
      </c>
      <c r="DA323" s="399">
        <v>0</v>
      </c>
      <c r="DB323" s="399">
        <v>0</v>
      </c>
      <c r="DC323" s="399">
        <v>9.8262712499030158</v>
      </c>
      <c r="DD323" s="399">
        <v>0</v>
      </c>
      <c r="DE323" s="399">
        <v>0</v>
      </c>
      <c r="DF323" s="399">
        <v>0</v>
      </c>
      <c r="DG323" s="399">
        <v>1.040710352335978</v>
      </c>
      <c r="DH323" s="399">
        <v>0</v>
      </c>
      <c r="DI323" s="399">
        <v>-9.7106661561743266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-1.2658962481275804</v>
      </c>
      <c r="DP323" s="399">
        <v>-0.1690573085154965</v>
      </c>
      <c r="DQ323" s="399">
        <v>0</v>
      </c>
      <c r="DR323" s="399">
        <v>0</v>
      </c>
      <c r="DS323" s="399"/>
      <c r="DT323" s="399"/>
      <c r="DU323" s="399"/>
      <c r="DV323" s="399">
        <v>326.17012448926636</v>
      </c>
      <c r="DW323" s="399">
        <v>0</v>
      </c>
      <c r="DX323" s="399">
        <v>0</v>
      </c>
      <c r="DY323" s="399">
        <v>-108.25035000000003</v>
      </c>
      <c r="DZ323" s="399">
        <v>9.8272199999999543</v>
      </c>
      <c r="EA323" s="399">
        <v>0</v>
      </c>
      <c r="EB323" s="399">
        <v>0</v>
      </c>
      <c r="EC323" s="399">
        <v>-100.85210417109423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53.661509399655621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230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322</v>
      </c>
      <c r="B324" s="399" t="s">
        <v>956</v>
      </c>
      <c r="C324" s="399" t="s">
        <v>2328</v>
      </c>
      <c r="D324" s="399" t="s">
        <v>2340</v>
      </c>
      <c r="E324" s="399" t="s">
        <v>894</v>
      </c>
      <c r="F324" s="399" t="s">
        <v>2350</v>
      </c>
      <c r="G324" s="399" t="s">
        <v>2349</v>
      </c>
      <c r="H324" s="399" t="s">
        <v>1239</v>
      </c>
      <c r="I324" s="399" t="s">
        <v>1239</v>
      </c>
      <c r="J324" s="399" t="s">
        <v>2329</v>
      </c>
      <c r="K324" s="789">
        <v>44621</v>
      </c>
      <c r="L324" s="399">
        <v>0</v>
      </c>
      <c r="M324" s="399">
        <v>0</v>
      </c>
      <c r="N324" s="399">
        <v>3.2210000000000001</v>
      </c>
      <c r="O324" s="399">
        <v>1.2884</v>
      </c>
      <c r="P324" s="399">
        <v>3.2210000000000001</v>
      </c>
      <c r="Q324" s="399">
        <v>1.2884</v>
      </c>
      <c r="R324" s="399"/>
      <c r="S324" s="399">
        <v>333.61</v>
      </c>
      <c r="T324" s="399">
        <v>128.11000000000001</v>
      </c>
      <c r="U324" s="399"/>
      <c r="V324" s="399">
        <v>1487.20012</v>
      </c>
      <c r="W324" s="399">
        <v>1487.20012</v>
      </c>
      <c r="X324" s="399">
        <v>1298.1596300000001</v>
      </c>
      <c r="Y324" s="399">
        <v>0</v>
      </c>
      <c r="Z324" s="399">
        <v>197.17689849423778</v>
      </c>
      <c r="AA324" s="399">
        <v>0</v>
      </c>
      <c r="AB324" s="399">
        <v>0</v>
      </c>
      <c r="AC324" s="399">
        <v>0</v>
      </c>
      <c r="AD324" s="399">
        <v>0</v>
      </c>
      <c r="AE324" s="399">
        <v>626.47225460937796</v>
      </c>
      <c r="AF324" s="399">
        <v>412.64568053551443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30.45085218076121</v>
      </c>
      <c r="AM324" s="399"/>
      <c r="AN324" s="399">
        <v>2.7713094460774812</v>
      </c>
      <c r="AO324" s="399">
        <v>11.19626096247003</v>
      </c>
      <c r="AP324" s="399">
        <v>59.725829208888904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43.703722465869745</v>
      </c>
      <c r="BH324" s="399">
        <v>0</v>
      </c>
      <c r="BI324" s="399">
        <v>0</v>
      </c>
      <c r="BJ324" s="399">
        <v>0</v>
      </c>
      <c r="BK324" s="399">
        <v>0</v>
      </c>
      <c r="BL324" s="399">
        <v>0</v>
      </c>
      <c r="BM324" s="399"/>
      <c r="BN324" s="399"/>
      <c r="BO324" s="399"/>
      <c r="BP324" s="399"/>
      <c r="BQ324" s="399"/>
      <c r="BR324" s="399"/>
      <c r="BS324" s="399">
        <v>841.21568600000001</v>
      </c>
      <c r="BT324" s="399"/>
      <c r="BU324" s="399"/>
      <c r="BV324" s="399">
        <v>456.34940300138419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457.51140000000004</v>
      </c>
      <c r="CJ324" s="399">
        <v>-66.02128799999997</v>
      </c>
      <c r="CK324" s="399"/>
      <c r="CL324" s="399"/>
      <c r="CM324" s="399"/>
      <c r="CN324" s="399"/>
      <c r="CO324" s="399">
        <v>-207.91555000000005</v>
      </c>
      <c r="CP324" s="399">
        <v>18.875059999999952</v>
      </c>
      <c r="CQ324" s="399">
        <v>31</v>
      </c>
      <c r="CR324" s="399">
        <v>4.6418375193654811</v>
      </c>
      <c r="CS324" s="399">
        <v>0.81728013948642442</v>
      </c>
      <c r="CT324" s="399">
        <v>4.3597352893440373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0</v>
      </c>
      <c r="DA324" s="399">
        <v>0</v>
      </c>
      <c r="DB324" s="399">
        <v>0</v>
      </c>
      <c r="DC324" s="399">
        <v>18.873237743552522</v>
      </c>
      <c r="DD324" s="399">
        <v>0</v>
      </c>
      <c r="DE324" s="399">
        <v>0</v>
      </c>
      <c r="DF324" s="399">
        <v>0</v>
      </c>
      <c r="DG324" s="399">
        <v>1.9988837476888364</v>
      </c>
      <c r="DH324" s="399">
        <v>0</v>
      </c>
      <c r="DI324" s="399">
        <v>-18.651195998233447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-2.4313964312575642</v>
      </c>
      <c r="DP324" s="399">
        <v>-0.3247069712155124</v>
      </c>
      <c r="DQ324" s="399">
        <v>0</v>
      </c>
      <c r="DR324" s="399">
        <v>0</v>
      </c>
      <c r="DS324" s="399"/>
      <c r="DT324" s="399"/>
      <c r="DU324" s="399"/>
      <c r="DV324" s="399">
        <v>626.47225460937796</v>
      </c>
      <c r="DW324" s="399">
        <v>0</v>
      </c>
      <c r="DX324" s="399">
        <v>0</v>
      </c>
      <c r="DY324" s="399">
        <v>-207.91554999999994</v>
      </c>
      <c r="DZ324" s="399">
        <v>18.875059999999962</v>
      </c>
      <c r="EA324" s="399">
        <v>0</v>
      </c>
      <c r="EB324" s="399">
        <v>0</v>
      </c>
      <c r="EC324" s="399">
        <v>-193.70580055759956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103.06721632456217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230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323</v>
      </c>
      <c r="B325" s="399" t="s">
        <v>956</v>
      </c>
      <c r="C325" s="399" t="s">
        <v>2328</v>
      </c>
      <c r="D325" s="399" t="s">
        <v>1823</v>
      </c>
      <c r="E325" s="399" t="s">
        <v>889</v>
      </c>
      <c r="F325" s="399" t="s">
        <v>889</v>
      </c>
      <c r="G325" s="399" t="s">
        <v>1239</v>
      </c>
      <c r="H325" s="399" t="s">
        <v>1239</v>
      </c>
      <c r="I325" s="399" t="s">
        <v>1239</v>
      </c>
      <c r="J325" s="399" t="s">
        <v>2329</v>
      </c>
      <c r="K325" s="789">
        <v>44652</v>
      </c>
      <c r="L325" s="399">
        <v>0</v>
      </c>
      <c r="M325" s="399">
        <v>0</v>
      </c>
      <c r="N325" s="399">
        <v>4741.5280000000002</v>
      </c>
      <c r="O325" s="399">
        <v>4741.5280000000002</v>
      </c>
      <c r="P325" s="399">
        <v>4741.5280000000002</v>
      </c>
      <c r="Q325" s="399">
        <v>4741.5280000000002</v>
      </c>
      <c r="R325" s="399"/>
      <c r="S325" s="399">
        <v>333.61</v>
      </c>
      <c r="T325" s="399">
        <v>128.11000000000001</v>
      </c>
      <c r="U325" s="399"/>
      <c r="V325" s="399">
        <v>2189258.3081600005</v>
      </c>
      <c r="W325" s="399">
        <v>2189258.3081600005</v>
      </c>
      <c r="X325" s="399">
        <v>1910978.02984</v>
      </c>
      <c r="Y325" s="399">
        <v>0</v>
      </c>
      <c r="Z325" s="399">
        <v>290257.61725041486</v>
      </c>
      <c r="AA325" s="399">
        <v>0</v>
      </c>
      <c r="AB325" s="399">
        <v>0</v>
      </c>
      <c r="AC325" s="399">
        <v>0</v>
      </c>
      <c r="AD325" s="399">
        <v>0</v>
      </c>
      <c r="AE325" s="399">
        <v>922209.16996382957</v>
      </c>
      <c r="AF325" s="399">
        <v>607442.11373430514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44825.696441769745</v>
      </c>
      <c r="AM325" s="399"/>
      <c r="AN325" s="399">
        <v>4079.5533484138055</v>
      </c>
      <c r="AO325" s="399">
        <v>16481.646957112262</v>
      </c>
      <c r="AP325" s="399">
        <v>87920.42580477013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64334.810237861049</v>
      </c>
      <c r="BH325" s="399">
        <v>0</v>
      </c>
      <c r="BI325" s="399">
        <v>0</v>
      </c>
      <c r="BJ325" s="399">
        <v>0</v>
      </c>
      <c r="BK325" s="399">
        <v>543418.75</v>
      </c>
      <c r="BL325" s="399">
        <v>20577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671776.92397216614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1910978.8358999998</v>
      </c>
      <c r="CJ325" s="399">
        <v>-278279.50225999998</v>
      </c>
      <c r="CK325" s="399"/>
      <c r="CL325" s="399"/>
      <c r="CM325" s="399"/>
      <c r="CN325" s="399"/>
      <c r="CO325" s="399">
        <v>-306065.63240000006</v>
      </c>
      <c r="CP325" s="399">
        <v>27785.354079999932</v>
      </c>
      <c r="CQ325" s="399">
        <v>30</v>
      </c>
      <c r="CR325" s="399">
        <v>6833.0961097551044</v>
      </c>
      <c r="CS325" s="399">
        <v>1203.0911720641998</v>
      </c>
      <c r="CT325" s="399">
        <v>6417.8227094110043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0</v>
      </c>
      <c r="DA325" s="399">
        <v>0</v>
      </c>
      <c r="DB325" s="399">
        <v>0</v>
      </c>
      <c r="DC325" s="399">
        <v>27782.671596308821</v>
      </c>
      <c r="DD325" s="399">
        <v>0</v>
      </c>
      <c r="DE325" s="399">
        <v>0</v>
      </c>
      <c r="DF325" s="399">
        <v>0</v>
      </c>
      <c r="DG325" s="399">
        <v>2942.490921580742</v>
      </c>
      <c r="DH325" s="399">
        <v>0</v>
      </c>
      <c r="DI325" s="399">
        <v>-27455.811257097754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-3579.1785960595516</v>
      </c>
      <c r="DP325" s="399">
        <v>-477.99043645251368</v>
      </c>
      <c r="DQ325" s="399">
        <v>0</v>
      </c>
      <c r="DR325" s="399">
        <v>0</v>
      </c>
      <c r="DS325" s="399"/>
      <c r="DT325" s="399"/>
      <c r="DU325" s="399"/>
      <c r="DV325" s="399">
        <v>922209.16996382957</v>
      </c>
      <c r="DW325" s="399">
        <v>0</v>
      </c>
      <c r="DX325" s="399">
        <v>0</v>
      </c>
      <c r="DY325" s="399">
        <v>-306065.6324</v>
      </c>
      <c r="DZ325" s="399">
        <v>27785.354079999845</v>
      </c>
      <c r="EA325" s="399">
        <v>0</v>
      </c>
      <c r="EB325" s="399">
        <v>0</v>
      </c>
      <c r="EC325" s="399">
        <v>-285147.92831613601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151721.85410896264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230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324</v>
      </c>
      <c r="B326" s="399" t="s">
        <v>2330</v>
      </c>
      <c r="C326" s="399" t="s">
        <v>2328</v>
      </c>
      <c r="D326" s="399" t="s">
        <v>1823</v>
      </c>
      <c r="E326" s="399" t="s">
        <v>889</v>
      </c>
      <c r="F326" s="399" t="s">
        <v>889</v>
      </c>
      <c r="G326" s="399" t="s">
        <v>1239</v>
      </c>
      <c r="H326" s="399" t="s">
        <v>1239</v>
      </c>
      <c r="I326" s="399" t="s">
        <v>1239</v>
      </c>
      <c r="J326" s="399" t="s">
        <v>2329</v>
      </c>
      <c r="K326" s="789">
        <v>44652</v>
      </c>
      <c r="L326" s="399">
        <v>0</v>
      </c>
      <c r="M326" s="399">
        <v>0</v>
      </c>
      <c r="N326" s="399">
        <v>-0.46400000000000002</v>
      </c>
      <c r="O326" s="399">
        <v>-0.46400000000000002</v>
      </c>
      <c r="P326" s="399">
        <v>-0.46400000000000002</v>
      </c>
      <c r="Q326" s="399">
        <v>-0.46400000000000002</v>
      </c>
      <c r="R326" s="399"/>
      <c r="S326" s="399">
        <v>333.61</v>
      </c>
      <c r="T326" s="399">
        <v>128.11000000000001</v>
      </c>
      <c r="U326" s="399"/>
      <c r="V326" s="399">
        <v>-214.23808000000002</v>
      </c>
      <c r="W326" s="399">
        <v>-214.23808000000002</v>
      </c>
      <c r="X326" s="399">
        <v>-187.00592</v>
      </c>
      <c r="Y326" s="399">
        <v>0</v>
      </c>
      <c r="Z326" s="399">
        <v>-28.404247408049155</v>
      </c>
      <c r="AA326" s="399">
        <v>0</v>
      </c>
      <c r="AB326" s="399">
        <v>0</v>
      </c>
      <c r="AC326" s="399">
        <v>0</v>
      </c>
      <c r="AD326" s="399">
        <v>0</v>
      </c>
      <c r="AE326" s="399">
        <v>-90.246235994644948</v>
      </c>
      <c r="AF326" s="399">
        <v>-59.443525541284913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-4.3865865917023292</v>
      </c>
      <c r="AM326" s="399"/>
      <c r="AN326" s="399">
        <v>-0.3992199885066598</v>
      </c>
      <c r="AO326" s="399">
        <v>-1.6128733581453256</v>
      </c>
      <c r="AP326" s="399">
        <v>-8.6037829099423941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-6.2957240683525493</v>
      </c>
      <c r="BH326" s="399">
        <v>0</v>
      </c>
      <c r="BI326" s="399">
        <v>0</v>
      </c>
      <c r="BJ326" s="399">
        <v>0</v>
      </c>
      <c r="BK326" s="399">
        <v>-90.41</v>
      </c>
      <c r="BL326" s="399">
        <v>0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-65.739249609637469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-185.3938</v>
      </c>
      <c r="CJ326" s="399">
        <v>28.814280000000053</v>
      </c>
      <c r="CK326" s="399"/>
      <c r="CL326" s="399"/>
      <c r="CM326" s="399"/>
      <c r="CN326" s="399"/>
      <c r="CO326" s="399">
        <v>29.951200000000007</v>
      </c>
      <c r="CP326" s="399">
        <v>-2.7190399999999935</v>
      </c>
      <c r="CQ326" s="399">
        <v>30</v>
      </c>
      <c r="CR326" s="399">
        <v>-0.66867823936213711</v>
      </c>
      <c r="CS326" s="399">
        <v>-0.11773299742989773</v>
      </c>
      <c r="CT326" s="399">
        <v>-0.62804010377386987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0</v>
      </c>
      <c r="DA326" s="399">
        <v>0</v>
      </c>
      <c r="DB326" s="399">
        <v>0</v>
      </c>
      <c r="DC326" s="399">
        <v>-2.7187774955008877</v>
      </c>
      <c r="DD326" s="399">
        <v>0</v>
      </c>
      <c r="DE326" s="399">
        <v>0</v>
      </c>
      <c r="DF326" s="399">
        <v>0</v>
      </c>
      <c r="DG326" s="399">
        <v>-0.28794848150500485</v>
      </c>
      <c r="DH326" s="399">
        <v>0</v>
      </c>
      <c r="DI326" s="399">
        <v>2.6867913514996324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0.35025394104424379</v>
      </c>
      <c r="DP326" s="399">
        <v>4.6775546303631677E-2</v>
      </c>
      <c r="DQ326" s="399">
        <v>0</v>
      </c>
      <c r="DR326" s="399">
        <v>0</v>
      </c>
      <c r="DS326" s="399"/>
      <c r="DT326" s="399"/>
      <c r="DU326" s="399"/>
      <c r="DV326" s="399">
        <v>-90.246235994644948</v>
      </c>
      <c r="DW326" s="399">
        <v>0</v>
      </c>
      <c r="DX326" s="399">
        <v>0</v>
      </c>
      <c r="DY326" s="399">
        <v>29.951199999999986</v>
      </c>
      <c r="DZ326" s="399">
        <v>-2.7190399999999926</v>
      </c>
      <c r="EA326" s="399">
        <v>0</v>
      </c>
      <c r="EB326" s="399">
        <v>0</v>
      </c>
      <c r="EC326" s="399">
        <v>27.904219639467925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-14.847310889350155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230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325</v>
      </c>
      <c r="B327" s="399" t="s">
        <v>2331</v>
      </c>
      <c r="C327" s="399" t="s">
        <v>2328</v>
      </c>
      <c r="D327" s="399" t="s">
        <v>1823</v>
      </c>
      <c r="E327" s="399" t="s">
        <v>889</v>
      </c>
      <c r="F327" s="399" t="s">
        <v>889</v>
      </c>
      <c r="G327" s="399" t="s">
        <v>1239</v>
      </c>
      <c r="H327" s="399" t="s">
        <v>1239</v>
      </c>
      <c r="I327" s="399" t="s">
        <v>1239</v>
      </c>
      <c r="J327" s="399" t="s">
        <v>2329</v>
      </c>
      <c r="K327" s="789">
        <v>44652</v>
      </c>
      <c r="L327" s="399">
        <v>0</v>
      </c>
      <c r="M327" s="399">
        <v>0</v>
      </c>
      <c r="N327" s="399">
        <v>19.015000000000001</v>
      </c>
      <c r="O327" s="399">
        <v>19.015000000000001</v>
      </c>
      <c r="P327" s="399">
        <v>19.015000000000001</v>
      </c>
      <c r="Q327" s="399">
        <v>19.015000000000001</v>
      </c>
      <c r="R327" s="399"/>
      <c r="S327" s="399">
        <v>333.61</v>
      </c>
      <c r="T327" s="399">
        <v>128.11000000000001</v>
      </c>
      <c r="U327" s="399"/>
      <c r="V327" s="399">
        <v>8779.6058000000012</v>
      </c>
      <c r="W327" s="399">
        <v>8779.6058000000012</v>
      </c>
      <c r="X327" s="399">
        <v>7663.6154500000002</v>
      </c>
      <c r="Y327" s="399">
        <v>0</v>
      </c>
      <c r="Z327" s="399">
        <v>1164.02319927598</v>
      </c>
      <c r="AA327" s="399">
        <v>0</v>
      </c>
      <c r="AB327" s="399">
        <v>0</v>
      </c>
      <c r="AC327" s="399">
        <v>0</v>
      </c>
      <c r="AD327" s="399">
        <v>0</v>
      </c>
      <c r="AE327" s="399">
        <v>3698.3452099960641</v>
      </c>
      <c r="AF327" s="399">
        <v>2436.0315477748545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179.76496560607711</v>
      </c>
      <c r="AM327" s="399"/>
      <c r="AN327" s="399">
        <v>16.360276037616675</v>
      </c>
      <c r="AO327" s="399">
        <v>66.096523502442608</v>
      </c>
      <c r="AP327" s="399">
        <v>352.5882155874022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258.0025714649218</v>
      </c>
      <c r="BH327" s="399">
        <v>0</v>
      </c>
      <c r="BI327" s="399">
        <v>0</v>
      </c>
      <c r="BJ327" s="399">
        <v>0</v>
      </c>
      <c r="BK327" s="399">
        <v>4667.6400000000003</v>
      </c>
      <c r="BL327" s="399">
        <v>63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2694.0341192397764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7665.6306000000004</v>
      </c>
      <c r="CJ327" s="399">
        <v>-1114.0052000000014</v>
      </c>
      <c r="CK327" s="399"/>
      <c r="CL327" s="399"/>
      <c r="CM327" s="399"/>
      <c r="CN327" s="399"/>
      <c r="CO327" s="399">
        <v>-1227.4182500000002</v>
      </c>
      <c r="CP327" s="399">
        <v>111.42789999999972</v>
      </c>
      <c r="CQ327" s="399">
        <v>30</v>
      </c>
      <c r="CR327" s="399">
        <v>27.402837761792398</v>
      </c>
      <c r="CS327" s="399">
        <v>4.8247692804515196</v>
      </c>
      <c r="CT327" s="399">
        <v>25.737462442370941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0</v>
      </c>
      <c r="DA327" s="399">
        <v>0</v>
      </c>
      <c r="DB327" s="399">
        <v>0</v>
      </c>
      <c r="DC327" s="399">
        <v>111.41714240721876</v>
      </c>
      <c r="DD327" s="399">
        <v>0</v>
      </c>
      <c r="DE327" s="399">
        <v>0</v>
      </c>
      <c r="DF327" s="399">
        <v>0</v>
      </c>
      <c r="DG327" s="399">
        <v>11.800302534089838</v>
      </c>
      <c r="DH327" s="399">
        <v>0</v>
      </c>
      <c r="DI327" s="399">
        <v>-110.10633092406374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-14.353617864129944</v>
      </c>
      <c r="DP327" s="399">
        <v>-1.9168901141455983</v>
      </c>
      <c r="DQ327" s="399">
        <v>0</v>
      </c>
      <c r="DR327" s="399">
        <v>0</v>
      </c>
      <c r="DS327" s="399"/>
      <c r="DT327" s="399"/>
      <c r="DU327" s="399"/>
      <c r="DV327" s="399">
        <v>3698.3452099960641</v>
      </c>
      <c r="DW327" s="399">
        <v>0</v>
      </c>
      <c r="DX327" s="399">
        <v>0</v>
      </c>
      <c r="DY327" s="399">
        <v>-1227.4182500000006</v>
      </c>
      <c r="DZ327" s="399">
        <v>111.42789999999968</v>
      </c>
      <c r="EA327" s="399">
        <v>0</v>
      </c>
      <c r="EB327" s="399">
        <v>0</v>
      </c>
      <c r="EC327" s="399">
        <v>-1143.5317595786264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608.45175982972671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230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326</v>
      </c>
      <c r="B328" s="399" t="s">
        <v>956</v>
      </c>
      <c r="C328" s="399" t="s">
        <v>2328</v>
      </c>
      <c r="D328" s="399" t="s">
        <v>1823</v>
      </c>
      <c r="E328" s="399" t="s">
        <v>889</v>
      </c>
      <c r="F328" s="399" t="s">
        <v>2332</v>
      </c>
      <c r="G328" s="399" t="s">
        <v>1239</v>
      </c>
      <c r="H328" s="399" t="s">
        <v>1239</v>
      </c>
      <c r="I328" s="399" t="s">
        <v>1239</v>
      </c>
      <c r="J328" s="399" t="s">
        <v>2329</v>
      </c>
      <c r="K328" s="789">
        <v>44652</v>
      </c>
      <c r="L328" s="399">
        <v>0</v>
      </c>
      <c r="M328" s="399">
        <v>0</v>
      </c>
      <c r="N328" s="399">
        <v>21.99</v>
      </c>
      <c r="O328" s="399">
        <v>21.99</v>
      </c>
      <c r="P328" s="399">
        <v>21.99</v>
      </c>
      <c r="Q328" s="399">
        <v>21.99</v>
      </c>
      <c r="R328" s="399"/>
      <c r="S328" s="399">
        <v>230.94</v>
      </c>
      <c r="T328" s="399">
        <v>128.11000000000001</v>
      </c>
      <c r="U328" s="399"/>
      <c r="V328" s="399">
        <v>7895.5094999999992</v>
      </c>
      <c r="W328" s="399">
        <v>7895.5094999999992</v>
      </c>
      <c r="X328" s="399">
        <v>6748.7309999999998</v>
      </c>
      <c r="Y328" s="399">
        <v>0</v>
      </c>
      <c r="Z328" s="399">
        <v>0</v>
      </c>
      <c r="AA328" s="399">
        <v>0</v>
      </c>
      <c r="AB328" s="399">
        <v>0</v>
      </c>
      <c r="AC328" s="399">
        <v>0</v>
      </c>
      <c r="AD328" s="399">
        <v>0</v>
      </c>
      <c r="AE328" s="399">
        <v>4276.9713998324187</v>
      </c>
      <c r="AF328" s="399">
        <v>2817.1619108897739</v>
      </c>
      <c r="AG328" s="399">
        <v>0</v>
      </c>
      <c r="AH328" s="399">
        <v>0</v>
      </c>
      <c r="AI328" s="399">
        <v>0</v>
      </c>
      <c r="AJ328" s="399">
        <v>0</v>
      </c>
      <c r="AK328" s="399">
        <v>0</v>
      </c>
      <c r="AL328" s="399">
        <v>0</v>
      </c>
      <c r="AM328" s="399"/>
      <c r="AN328" s="399">
        <v>18.919930058753121</v>
      </c>
      <c r="AO328" s="399">
        <v>76.437683503482134</v>
      </c>
      <c r="AP328" s="399">
        <v>407.75255644317508</v>
      </c>
      <c r="AQ328" s="399">
        <v>0</v>
      </c>
      <c r="AR328" s="399">
        <v>0</v>
      </c>
      <c r="AS328" s="399">
        <v>0</v>
      </c>
      <c r="AT328" s="399">
        <v>0</v>
      </c>
      <c r="AU328" s="399">
        <v>0</v>
      </c>
      <c r="AV328" s="399">
        <v>0</v>
      </c>
      <c r="AW328" s="399">
        <v>0</v>
      </c>
      <c r="AX328" s="399">
        <v>0</v>
      </c>
      <c r="AY328" s="399">
        <v>0</v>
      </c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>
        <v>0</v>
      </c>
      <c r="BG328" s="399">
        <v>298.36847470489772</v>
      </c>
      <c r="BH328" s="399">
        <v>0</v>
      </c>
      <c r="BI328" s="399">
        <v>0</v>
      </c>
      <c r="BJ328" s="399">
        <v>0</v>
      </c>
      <c r="BK328" s="399">
        <v>315.2</v>
      </c>
      <c r="BL328" s="399">
        <v>17</v>
      </c>
      <c r="BM328" s="399"/>
      <c r="BN328" s="399"/>
      <c r="BO328" s="399"/>
      <c r="BP328" s="399"/>
      <c r="BQ328" s="399"/>
      <c r="BR328" s="399"/>
      <c r="BS328" s="399"/>
      <c r="BT328" s="399">
        <v>4386.5652</v>
      </c>
      <c r="BU328" s="399"/>
      <c r="BV328" s="399">
        <v>3115.5303855946718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2362.1657999999998</v>
      </c>
      <c r="CJ328" s="399">
        <v>-401.34750000000031</v>
      </c>
      <c r="CK328" s="399"/>
      <c r="CL328" s="399"/>
      <c r="CM328" s="399"/>
      <c r="CN328" s="399"/>
      <c r="CO328" s="399">
        <v>-1275.6398999999997</v>
      </c>
      <c r="CP328" s="399">
        <v>128.86139999999966</v>
      </c>
      <c r="CQ328" s="399">
        <v>30</v>
      </c>
      <c r="CR328" s="399">
        <v>175.62254410908099</v>
      </c>
      <c r="CS328" s="399">
        <v>5.5796306325074312</v>
      </c>
      <c r="CT328" s="399">
        <v>29.764228193938266</v>
      </c>
      <c r="CU328" s="399">
        <v>0</v>
      </c>
      <c r="CV328" s="399">
        <v>0</v>
      </c>
      <c r="CW328" s="399">
        <v>0</v>
      </c>
      <c r="CX328" s="399">
        <v>0</v>
      </c>
      <c r="CY328" s="399">
        <v>0</v>
      </c>
      <c r="CZ328" s="399">
        <v>0</v>
      </c>
      <c r="DA328" s="399">
        <v>0</v>
      </c>
      <c r="DB328" s="399">
        <v>0</v>
      </c>
      <c r="DC328" s="399">
        <v>128.84895932341487</v>
      </c>
      <c r="DD328" s="399">
        <v>0</v>
      </c>
      <c r="DE328" s="399">
        <v>0</v>
      </c>
      <c r="DF328" s="399">
        <v>0</v>
      </c>
      <c r="DG328" s="399">
        <v>13.646523940291047</v>
      </c>
      <c r="DH328" s="399">
        <v>0</v>
      </c>
      <c r="DI328" s="399">
        <v>0</v>
      </c>
      <c r="DJ328" s="399"/>
      <c r="DK328" s="399">
        <v>0</v>
      </c>
      <c r="DL328" s="399">
        <v>0</v>
      </c>
      <c r="DM328" s="399">
        <v>0</v>
      </c>
      <c r="DN328" s="399">
        <v>0</v>
      </c>
      <c r="DO328" s="399">
        <v>0</v>
      </c>
      <c r="DP328" s="399">
        <v>-2.2167979810708189</v>
      </c>
      <c r="DQ328" s="399">
        <v>0</v>
      </c>
      <c r="DR328" s="399">
        <v>0</v>
      </c>
      <c r="DS328" s="399"/>
      <c r="DT328" s="399"/>
      <c r="DU328" s="399"/>
      <c r="DV328" s="399">
        <v>4276.9713998324187</v>
      </c>
      <c r="DW328" s="399">
        <v>0</v>
      </c>
      <c r="DX328" s="399">
        <v>0</v>
      </c>
      <c r="DY328" s="399">
        <v>-1275.6398999999992</v>
      </c>
      <c r="DZ328" s="399">
        <v>128.86139999999978</v>
      </c>
      <c r="EA328" s="399">
        <v>0</v>
      </c>
      <c r="EB328" s="399">
        <v>0</v>
      </c>
      <c r="EC328" s="399">
        <v>-1322.4435126549561</v>
      </c>
      <c r="ED328" s="399">
        <v>0</v>
      </c>
      <c r="EE328" s="399">
        <v>0</v>
      </c>
      <c r="EF328" s="399">
        <v>0</v>
      </c>
      <c r="EG328" s="399">
        <v>0</v>
      </c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>
        <v>0</v>
      </c>
      <c r="EN328" s="399">
        <v>0</v>
      </c>
      <c r="EO328" s="399">
        <v>0</v>
      </c>
      <c r="EP328" s="399">
        <v>0</v>
      </c>
      <c r="EQ328" s="399">
        <v>0</v>
      </c>
      <c r="ER328" s="399">
        <v>0</v>
      </c>
      <c r="ES328" s="399">
        <v>0</v>
      </c>
      <c r="ET328" s="399">
        <v>0</v>
      </c>
      <c r="EU328" s="399">
        <v>0</v>
      </c>
      <c r="EV328" s="399">
        <v>230</v>
      </c>
      <c r="EW328" s="399">
        <v>0</v>
      </c>
      <c r="EX328" s="399">
        <v>0</v>
      </c>
      <c r="EY328" s="399">
        <v>0</v>
      </c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327</v>
      </c>
      <c r="B329" s="399" t="s">
        <v>956</v>
      </c>
      <c r="C329" s="399" t="s">
        <v>2328</v>
      </c>
      <c r="D329" s="399" t="s">
        <v>1823</v>
      </c>
      <c r="E329" s="399" t="s">
        <v>889</v>
      </c>
      <c r="F329" s="399" t="s">
        <v>2333</v>
      </c>
      <c r="G329" s="399" t="s">
        <v>1239</v>
      </c>
      <c r="H329" s="399" t="s">
        <v>1239</v>
      </c>
      <c r="I329" s="399" t="s">
        <v>1239</v>
      </c>
      <c r="J329" s="399" t="s">
        <v>2329</v>
      </c>
      <c r="K329" s="789">
        <v>44652</v>
      </c>
      <c r="L329" s="399">
        <v>0</v>
      </c>
      <c r="M329" s="399">
        <v>0</v>
      </c>
      <c r="N329" s="399">
        <v>47.735999999999997</v>
      </c>
      <c r="O329" s="399">
        <v>47.735999999999997</v>
      </c>
      <c r="P329" s="399">
        <v>47.735999999999997</v>
      </c>
      <c r="Q329" s="399">
        <v>47.735999999999997</v>
      </c>
      <c r="R329" s="399"/>
      <c r="S329" s="399">
        <v>230.94</v>
      </c>
      <c r="T329" s="399">
        <v>128.11000000000001</v>
      </c>
      <c r="U329" s="399"/>
      <c r="V329" s="399">
        <v>17139.610799999999</v>
      </c>
      <c r="W329" s="399">
        <v>17139.610799999999</v>
      </c>
      <c r="X329" s="399">
        <v>14650.178399999999</v>
      </c>
      <c r="Y329" s="399">
        <v>0</v>
      </c>
      <c r="Z329" s="399">
        <v>0</v>
      </c>
      <c r="AA329" s="399">
        <v>0</v>
      </c>
      <c r="AB329" s="399">
        <v>0</v>
      </c>
      <c r="AC329" s="399">
        <v>0</v>
      </c>
      <c r="AD329" s="399">
        <v>0</v>
      </c>
      <c r="AE329" s="399">
        <v>9284.4705203456269</v>
      </c>
      <c r="AF329" s="399">
        <v>6115.5089121525352</v>
      </c>
      <c r="AG329" s="399">
        <v>0</v>
      </c>
      <c r="AH329" s="399">
        <v>0</v>
      </c>
      <c r="AI329" s="399">
        <v>0</v>
      </c>
      <c r="AJ329" s="399">
        <v>0</v>
      </c>
      <c r="AK329" s="399">
        <v>0</v>
      </c>
      <c r="AL329" s="399">
        <v>0</v>
      </c>
      <c r="AM329" s="399"/>
      <c r="AN329" s="399">
        <v>41.071477093435156</v>
      </c>
      <c r="AO329" s="399">
        <v>165.93129875953719</v>
      </c>
      <c r="AP329" s="399">
        <v>885.15125213148735</v>
      </c>
      <c r="AQ329" s="399">
        <v>0</v>
      </c>
      <c r="AR329" s="399">
        <v>0</v>
      </c>
      <c r="AS329" s="399">
        <v>0</v>
      </c>
      <c r="AT329" s="399">
        <v>0</v>
      </c>
      <c r="AU329" s="399">
        <v>0</v>
      </c>
      <c r="AV329" s="399">
        <v>0</v>
      </c>
      <c r="AW329" s="399">
        <v>0</v>
      </c>
      <c r="AX329" s="399">
        <v>0</v>
      </c>
      <c r="AY329" s="399">
        <v>0</v>
      </c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>
        <v>0</v>
      </c>
      <c r="BG329" s="399">
        <v>647.69975027344231</v>
      </c>
      <c r="BH329" s="399">
        <v>0</v>
      </c>
      <c r="BI329" s="399">
        <v>0</v>
      </c>
      <c r="BJ329" s="399">
        <v>0</v>
      </c>
      <c r="BK329" s="399">
        <v>1200.25</v>
      </c>
      <c r="BL329" s="399">
        <v>101</v>
      </c>
      <c r="BM329" s="399"/>
      <c r="BN329" s="399"/>
      <c r="BO329" s="399"/>
      <c r="BP329" s="399"/>
      <c r="BQ329" s="399"/>
      <c r="BR329" s="399"/>
      <c r="BS329" s="399"/>
      <c r="BT329" s="399">
        <v>5860.0713599999999</v>
      </c>
      <c r="BU329" s="399"/>
      <c r="BV329" s="399">
        <v>6763.2086624259773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8790.8436000000002</v>
      </c>
      <c r="CJ329" s="399">
        <v>-1493.4302399999997</v>
      </c>
      <c r="CK329" s="399"/>
      <c r="CL329" s="399"/>
      <c r="CM329" s="399"/>
      <c r="CN329" s="399"/>
      <c r="CO329" s="399">
        <v>-2769.1653599999995</v>
      </c>
      <c r="CP329" s="399">
        <v>279.73295999999925</v>
      </c>
      <c r="CQ329" s="399">
        <v>30</v>
      </c>
      <c r="CR329" s="399">
        <v>381.24228129109179</v>
      </c>
      <c r="CS329" s="399">
        <v>12.11228958041724</v>
      </c>
      <c r="CT329" s="399">
        <v>64.612332745149502</v>
      </c>
      <c r="CU329" s="399">
        <v>0</v>
      </c>
      <c r="CV329" s="399">
        <v>0</v>
      </c>
      <c r="CW329" s="399">
        <v>0</v>
      </c>
      <c r="CX329" s="399">
        <v>0</v>
      </c>
      <c r="CY329" s="399">
        <v>0</v>
      </c>
      <c r="CZ329" s="399">
        <v>0</v>
      </c>
      <c r="DA329" s="399">
        <v>0</v>
      </c>
      <c r="DB329" s="399">
        <v>0</v>
      </c>
      <c r="DC329" s="399">
        <v>279.70595371816853</v>
      </c>
      <c r="DD329" s="399">
        <v>0</v>
      </c>
      <c r="DE329" s="399">
        <v>0</v>
      </c>
      <c r="DF329" s="399">
        <v>0</v>
      </c>
      <c r="DG329" s="399">
        <v>29.623941192075335</v>
      </c>
      <c r="DH329" s="399">
        <v>0</v>
      </c>
      <c r="DI329" s="399">
        <v>0</v>
      </c>
      <c r="DJ329" s="399"/>
      <c r="DK329" s="399">
        <v>0</v>
      </c>
      <c r="DL329" s="399">
        <v>0</v>
      </c>
      <c r="DM329" s="399">
        <v>0</v>
      </c>
      <c r="DN329" s="399">
        <v>0</v>
      </c>
      <c r="DO329" s="399">
        <v>0</v>
      </c>
      <c r="DP329" s="399">
        <v>-4.8122359447201859</v>
      </c>
      <c r="DQ329" s="399">
        <v>0</v>
      </c>
      <c r="DR329" s="399">
        <v>0</v>
      </c>
      <c r="DS329" s="399"/>
      <c r="DT329" s="399"/>
      <c r="DU329" s="399"/>
      <c r="DV329" s="399">
        <v>9284.4705203456269</v>
      </c>
      <c r="DW329" s="399">
        <v>0</v>
      </c>
      <c r="DX329" s="399">
        <v>0</v>
      </c>
      <c r="DY329" s="399">
        <v>-2769.1653599999991</v>
      </c>
      <c r="DZ329" s="399">
        <v>279.73295999999937</v>
      </c>
      <c r="EA329" s="399">
        <v>0</v>
      </c>
      <c r="EB329" s="399">
        <v>0</v>
      </c>
      <c r="EC329" s="399">
        <v>-2870.7668722190538</v>
      </c>
      <c r="ED329" s="399">
        <v>0</v>
      </c>
      <c r="EE329" s="399">
        <v>0</v>
      </c>
      <c r="EF329" s="399">
        <v>0</v>
      </c>
      <c r="EG329" s="399">
        <v>0</v>
      </c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>
        <v>0</v>
      </c>
      <c r="EN329" s="399">
        <v>0</v>
      </c>
      <c r="EO329" s="399">
        <v>0</v>
      </c>
      <c r="EP329" s="399">
        <v>0</v>
      </c>
      <c r="EQ329" s="399">
        <v>0</v>
      </c>
      <c r="ER329" s="399">
        <v>0</v>
      </c>
      <c r="ES329" s="399">
        <v>0</v>
      </c>
      <c r="ET329" s="399">
        <v>0</v>
      </c>
      <c r="EU329" s="399">
        <v>0</v>
      </c>
      <c r="EV329" s="399">
        <v>230</v>
      </c>
      <c r="EW329" s="399">
        <v>0</v>
      </c>
      <c r="EX329" s="399">
        <v>0</v>
      </c>
      <c r="EY329" s="399">
        <v>0</v>
      </c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328</v>
      </c>
      <c r="B330" s="399" t="s">
        <v>956</v>
      </c>
      <c r="C330" s="399" t="s">
        <v>2328</v>
      </c>
      <c r="D330" s="399" t="s">
        <v>1823</v>
      </c>
      <c r="E330" s="399" t="s">
        <v>889</v>
      </c>
      <c r="F330" s="399" t="s">
        <v>2334</v>
      </c>
      <c r="G330" s="399" t="s">
        <v>1239</v>
      </c>
      <c r="H330" s="399" t="s">
        <v>1239</v>
      </c>
      <c r="I330" s="399" t="s">
        <v>1239</v>
      </c>
      <c r="J330" s="399" t="s">
        <v>2329</v>
      </c>
      <c r="K330" s="789">
        <v>44652</v>
      </c>
      <c r="L330" s="399">
        <v>0</v>
      </c>
      <c r="M330" s="399">
        <v>0</v>
      </c>
      <c r="N330" s="399">
        <v>54.87</v>
      </c>
      <c r="O330" s="399">
        <v>54.87</v>
      </c>
      <c r="P330" s="399">
        <v>54.87</v>
      </c>
      <c r="Q330" s="399">
        <v>54.87</v>
      </c>
      <c r="R330" s="399"/>
      <c r="S330" s="399">
        <v>230.94</v>
      </c>
      <c r="T330" s="399">
        <v>128.11000000000001</v>
      </c>
      <c r="U330" s="399"/>
      <c r="V330" s="399">
        <v>19701.073499999999</v>
      </c>
      <c r="W330" s="399">
        <v>19701.073499999999</v>
      </c>
      <c r="X330" s="399">
        <v>16839.602999999999</v>
      </c>
      <c r="Y330" s="399">
        <v>0</v>
      </c>
      <c r="Z330" s="399">
        <v>0</v>
      </c>
      <c r="AA330" s="399">
        <v>0</v>
      </c>
      <c r="AB330" s="399">
        <v>0</v>
      </c>
      <c r="AC330" s="399">
        <v>0</v>
      </c>
      <c r="AD330" s="399">
        <v>0</v>
      </c>
      <c r="AE330" s="399">
        <v>10672.006398763293</v>
      </c>
      <c r="AF330" s="399">
        <v>7029.4531173497908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0</v>
      </c>
      <c r="AM330" s="399"/>
      <c r="AN330" s="399">
        <v>47.209484416725047</v>
      </c>
      <c r="AO330" s="399">
        <v>190.72922664102157</v>
      </c>
      <c r="AP330" s="399">
        <v>1017.4344143718516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744.49650782436277</v>
      </c>
      <c r="BH330" s="399">
        <v>0</v>
      </c>
      <c r="BI330" s="399">
        <v>0</v>
      </c>
      <c r="BJ330" s="399">
        <v>0</v>
      </c>
      <c r="BK330" s="399">
        <v>3521.3</v>
      </c>
      <c r="BL330" s="399">
        <v>331</v>
      </c>
      <c r="BM330" s="399"/>
      <c r="BN330" s="399"/>
      <c r="BO330" s="399"/>
      <c r="BP330" s="399"/>
      <c r="BQ330" s="399"/>
      <c r="BR330" s="399"/>
      <c r="BS330" s="399"/>
      <c r="BT330" s="399">
        <v>1683.9603000000013</v>
      </c>
      <c r="BU330" s="399"/>
      <c r="BV330" s="399">
        <v>7773.9496251741539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15155.642699999997</v>
      </c>
      <c r="CJ330" s="399">
        <v>-2575.627800000002</v>
      </c>
      <c r="CK330" s="399"/>
      <c r="CL330" s="399"/>
      <c r="CM330" s="399"/>
      <c r="CN330" s="399"/>
      <c r="CO330" s="399">
        <v>-3183.0086999999994</v>
      </c>
      <c r="CP330" s="399">
        <v>321.53819999999916</v>
      </c>
      <c r="CQ330" s="399">
        <v>30</v>
      </c>
      <c r="CR330" s="399">
        <v>438.21778059414646</v>
      </c>
      <c r="CS330" s="399">
        <v>13.922434415901932</v>
      </c>
      <c r="CT330" s="399">
        <v>74.268449340672873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0</v>
      </c>
      <c r="DA330" s="399">
        <v>0</v>
      </c>
      <c r="DB330" s="399">
        <v>0</v>
      </c>
      <c r="DC330" s="399">
        <v>321.50715771149498</v>
      </c>
      <c r="DD330" s="399">
        <v>0</v>
      </c>
      <c r="DE330" s="399">
        <v>0</v>
      </c>
      <c r="DF330" s="399">
        <v>0</v>
      </c>
      <c r="DG330" s="399">
        <v>34.051149095214782</v>
      </c>
      <c r="DH330" s="399">
        <v>0</v>
      </c>
      <c r="DI330" s="399">
        <v>0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0</v>
      </c>
      <c r="DP330" s="399">
        <v>-5.5314099691385152</v>
      </c>
      <c r="DQ330" s="399">
        <v>0</v>
      </c>
      <c r="DR330" s="399">
        <v>0</v>
      </c>
      <c r="DS330" s="399"/>
      <c r="DT330" s="399"/>
      <c r="DU330" s="399"/>
      <c r="DV330" s="399">
        <v>10672.006398763293</v>
      </c>
      <c r="DW330" s="399">
        <v>0</v>
      </c>
      <c r="DX330" s="399">
        <v>0</v>
      </c>
      <c r="DY330" s="399">
        <v>-3183.0087000000003</v>
      </c>
      <c r="DZ330" s="399">
        <v>321.53819999999996</v>
      </c>
      <c r="EA330" s="399">
        <v>0</v>
      </c>
      <c r="EB330" s="399">
        <v>0</v>
      </c>
      <c r="EC330" s="399">
        <v>-3299.7942491758731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230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329</v>
      </c>
      <c r="B331" s="399" t="s">
        <v>956</v>
      </c>
      <c r="C331" s="399" t="s">
        <v>2328</v>
      </c>
      <c r="D331" s="399" t="s">
        <v>1823</v>
      </c>
      <c r="E331" s="399" t="s">
        <v>889</v>
      </c>
      <c r="F331" s="399" t="s">
        <v>2335</v>
      </c>
      <c r="G331" s="399" t="s">
        <v>1239</v>
      </c>
      <c r="H331" s="399" t="s">
        <v>1239</v>
      </c>
      <c r="I331" s="399" t="s">
        <v>1239</v>
      </c>
      <c r="J331" s="399" t="s">
        <v>2329</v>
      </c>
      <c r="K331" s="789">
        <v>44652</v>
      </c>
      <c r="L331" s="399">
        <v>0</v>
      </c>
      <c r="M331" s="399">
        <v>0</v>
      </c>
      <c r="N331" s="399">
        <v>28.201000000000001</v>
      </c>
      <c r="O331" s="399">
        <v>28.201000000000001</v>
      </c>
      <c r="P331" s="399">
        <v>28.201000000000001</v>
      </c>
      <c r="Q331" s="399">
        <v>28.201000000000001</v>
      </c>
      <c r="R331" s="399"/>
      <c r="S331" s="399">
        <v>230.94</v>
      </c>
      <c r="T331" s="399">
        <v>128.11000000000001</v>
      </c>
      <c r="U331" s="399"/>
      <c r="V331" s="399">
        <v>10125.56905</v>
      </c>
      <c r="W331" s="399">
        <v>10125.56905</v>
      </c>
      <c r="X331" s="399">
        <v>8654.8868999999995</v>
      </c>
      <c r="Y331" s="399">
        <v>0</v>
      </c>
      <c r="Z331" s="399">
        <v>0</v>
      </c>
      <c r="AA331" s="399">
        <v>0</v>
      </c>
      <c r="AB331" s="399">
        <v>0</v>
      </c>
      <c r="AC331" s="399">
        <v>0</v>
      </c>
      <c r="AD331" s="399">
        <v>0</v>
      </c>
      <c r="AE331" s="399">
        <v>5484.9872872521173</v>
      </c>
      <c r="AF331" s="399">
        <v>3612.8596202365857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0</v>
      </c>
      <c r="AM331" s="399"/>
      <c r="AN331" s="399">
        <v>24.263799344561019</v>
      </c>
      <c r="AO331" s="399">
        <v>98.027244769517949</v>
      </c>
      <c r="AP331" s="399">
        <v>522.9208660415635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382.64162597329789</v>
      </c>
      <c r="BH331" s="399">
        <v>0</v>
      </c>
      <c r="BI331" s="399">
        <v>0</v>
      </c>
      <c r="BJ331" s="399">
        <v>0</v>
      </c>
      <c r="BK331" s="399">
        <v>2883.46</v>
      </c>
      <c r="BL331" s="399">
        <v>284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3995.5012462098834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8654.58</v>
      </c>
      <c r="CJ331" s="399">
        <v>-1471.0190500000008</v>
      </c>
      <c r="CK331" s="399"/>
      <c r="CL331" s="399"/>
      <c r="CM331" s="399"/>
      <c r="CN331" s="399"/>
      <c r="CO331" s="399">
        <v>-1635.9400099999998</v>
      </c>
      <c r="CP331" s="399">
        <v>165.2578599999996</v>
      </c>
      <c r="CQ331" s="399">
        <v>30</v>
      </c>
      <c r="CR331" s="399">
        <v>225.22652871396986</v>
      </c>
      <c r="CS331" s="399">
        <v>7.1555781476735945</v>
      </c>
      <c r="CT331" s="399">
        <v>38.17103225544588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0</v>
      </c>
      <c r="DA331" s="399">
        <v>0</v>
      </c>
      <c r="DB331" s="399">
        <v>0</v>
      </c>
      <c r="DC331" s="399">
        <v>165.24190549702689</v>
      </c>
      <c r="DD331" s="399">
        <v>0</v>
      </c>
      <c r="DE331" s="399">
        <v>0</v>
      </c>
      <c r="DF331" s="399">
        <v>0</v>
      </c>
      <c r="DG331" s="399">
        <v>17.500937773540215</v>
      </c>
      <c r="DH331" s="399">
        <v>0</v>
      </c>
      <c r="DI331" s="399">
        <v>0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0</v>
      </c>
      <c r="DP331" s="399">
        <v>-2.8429249597170632</v>
      </c>
      <c r="DQ331" s="399">
        <v>0</v>
      </c>
      <c r="DR331" s="399">
        <v>0</v>
      </c>
      <c r="DS331" s="399"/>
      <c r="DT331" s="399"/>
      <c r="DU331" s="399"/>
      <c r="DV331" s="399">
        <v>5484.9872872521173</v>
      </c>
      <c r="DW331" s="399">
        <v>0</v>
      </c>
      <c r="DX331" s="399">
        <v>0</v>
      </c>
      <c r="DY331" s="399">
        <v>-1635.9400100000003</v>
      </c>
      <c r="DZ331" s="399">
        <v>165.25785999999971</v>
      </c>
      <c r="EA331" s="399">
        <v>0</v>
      </c>
      <c r="EB331" s="399">
        <v>0</v>
      </c>
      <c r="EC331" s="399">
        <v>-1695.9631423548176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230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330</v>
      </c>
      <c r="B332" s="399" t="s">
        <v>956</v>
      </c>
      <c r="C332" s="399" t="s">
        <v>2328</v>
      </c>
      <c r="D332" s="399" t="s">
        <v>1826</v>
      </c>
      <c r="E332" s="399" t="s">
        <v>890</v>
      </c>
      <c r="F332" s="399" t="s">
        <v>1239</v>
      </c>
      <c r="G332" s="399" t="s">
        <v>1239</v>
      </c>
      <c r="H332" s="399" t="s">
        <v>1239</v>
      </c>
      <c r="I332" s="399" t="s">
        <v>1239</v>
      </c>
      <c r="J332" s="399" t="s">
        <v>2329</v>
      </c>
      <c r="K332" s="789">
        <v>44652</v>
      </c>
      <c r="L332" s="399">
        <v>0</v>
      </c>
      <c r="M332" s="399">
        <v>0</v>
      </c>
      <c r="N332" s="399">
        <v>439.601</v>
      </c>
      <c r="O332" s="399">
        <v>439.601</v>
      </c>
      <c r="P332" s="399">
        <v>439.601</v>
      </c>
      <c r="Q332" s="399">
        <v>439.601</v>
      </c>
      <c r="R332" s="399"/>
      <c r="S332" s="399">
        <v>333.61</v>
      </c>
      <c r="T332" s="399">
        <v>128.11000000000001</v>
      </c>
      <c r="U332" s="399"/>
      <c r="V332" s="399">
        <v>202972.57372000001</v>
      </c>
      <c r="W332" s="399">
        <v>202972.57372000001</v>
      </c>
      <c r="X332" s="399">
        <v>177172.39103</v>
      </c>
      <c r="Y332" s="399">
        <v>0</v>
      </c>
      <c r="Z332" s="399">
        <v>26910.636993159089</v>
      </c>
      <c r="AA332" s="399">
        <v>0</v>
      </c>
      <c r="AB332" s="399">
        <v>0</v>
      </c>
      <c r="AC332" s="399">
        <v>0</v>
      </c>
      <c r="AD332" s="399">
        <v>0</v>
      </c>
      <c r="AE332" s="399">
        <v>85500.723253193777</v>
      </c>
      <c r="AF332" s="399">
        <v>56317.744119556868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4155.9220954718439</v>
      </c>
      <c r="AM332" s="399"/>
      <c r="AN332" s="399">
        <v>378.22738398171583</v>
      </c>
      <c r="AO332" s="399">
        <v>1528.0619420561277</v>
      </c>
      <c r="AP332" s="399">
        <v>8151.3611443827294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5964.6693883013986</v>
      </c>
      <c r="BH332" s="399">
        <v>0</v>
      </c>
      <c r="BI332" s="399">
        <v>0</v>
      </c>
      <c r="BJ332" s="399">
        <v>0</v>
      </c>
      <c r="BK332" s="399">
        <v>77263.41</v>
      </c>
      <c r="BL332" s="399">
        <v>229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62282.413507858269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177171.98800000001</v>
      </c>
      <c r="CJ332" s="399">
        <v>-25800.615720000031</v>
      </c>
      <c r="CK332" s="399"/>
      <c r="CL332" s="399"/>
      <c r="CM332" s="399"/>
      <c r="CN332" s="399"/>
      <c r="CO332" s="399">
        <v>-28376.244550000007</v>
      </c>
      <c r="CP332" s="399">
        <v>2576.0618599999934</v>
      </c>
      <c r="CQ332" s="399">
        <v>30</v>
      </c>
      <c r="CR332" s="399">
        <v>633.51642823673319</v>
      </c>
      <c r="CS332" s="399">
        <v>111.54211940340633</v>
      </c>
      <c r="CT332" s="399">
        <v>595.01521047219012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0</v>
      </c>
      <c r="DA332" s="399">
        <v>0</v>
      </c>
      <c r="DB332" s="399">
        <v>0</v>
      </c>
      <c r="DC332" s="399">
        <v>2575.8131590510457</v>
      </c>
      <c r="DD332" s="399">
        <v>0</v>
      </c>
      <c r="DE332" s="399">
        <v>0</v>
      </c>
      <c r="DF332" s="399">
        <v>0</v>
      </c>
      <c r="DG332" s="399">
        <v>272.80698365965873</v>
      </c>
      <c r="DH332" s="399">
        <v>0</v>
      </c>
      <c r="DI332" s="399">
        <v>-2545.5089761004128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-331.83616969179047</v>
      </c>
      <c r="DP332" s="399">
        <v>-44.315898557376727</v>
      </c>
      <c r="DQ332" s="399">
        <v>0</v>
      </c>
      <c r="DR332" s="399">
        <v>0</v>
      </c>
      <c r="DS332" s="399"/>
      <c r="DT332" s="399"/>
      <c r="DU332" s="399"/>
      <c r="DV332" s="399">
        <v>85500.723253193777</v>
      </c>
      <c r="DW332" s="399">
        <v>0</v>
      </c>
      <c r="DX332" s="399">
        <v>0</v>
      </c>
      <c r="DY332" s="399">
        <v>-28376.244550000003</v>
      </c>
      <c r="DZ332" s="399">
        <v>2576.0618599999943</v>
      </c>
      <c r="EA332" s="399">
        <v>0</v>
      </c>
      <c r="EB332" s="399">
        <v>0</v>
      </c>
      <c r="EC332" s="399">
        <v>-26436.902710624439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14066.579125580209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230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331</v>
      </c>
      <c r="B333" s="399" t="s">
        <v>2331</v>
      </c>
      <c r="C333" s="399" t="s">
        <v>2328</v>
      </c>
      <c r="D333" s="399" t="s">
        <v>1826</v>
      </c>
      <c r="E333" s="399" t="s">
        <v>890</v>
      </c>
      <c r="F333" s="399" t="s">
        <v>1239</v>
      </c>
      <c r="G333" s="399" t="s">
        <v>1239</v>
      </c>
      <c r="H333" s="399" t="s">
        <v>1239</v>
      </c>
      <c r="I333" s="399" t="s">
        <v>1239</v>
      </c>
      <c r="J333" s="399" t="s">
        <v>2329</v>
      </c>
      <c r="K333" s="789">
        <v>44652</v>
      </c>
      <c r="L333" s="399">
        <v>0</v>
      </c>
      <c r="M333" s="399">
        <v>0</v>
      </c>
      <c r="N333" s="399">
        <v>2.9140000000000001</v>
      </c>
      <c r="O333" s="399">
        <v>2.9140000000000001</v>
      </c>
      <c r="P333" s="399">
        <v>2.9140000000000001</v>
      </c>
      <c r="Q333" s="399">
        <v>2.9140000000000001</v>
      </c>
      <c r="R333" s="399"/>
      <c r="S333" s="399">
        <v>333.61</v>
      </c>
      <c r="T333" s="399">
        <v>128.11000000000001</v>
      </c>
      <c r="U333" s="399"/>
      <c r="V333" s="399">
        <v>1345.4520800000003</v>
      </c>
      <c r="W333" s="399">
        <v>1345.4520800000003</v>
      </c>
      <c r="X333" s="399">
        <v>1174.4294199999999</v>
      </c>
      <c r="Y333" s="399">
        <v>0</v>
      </c>
      <c r="Z333" s="399">
        <v>178.38357100658459</v>
      </c>
      <c r="AA333" s="399">
        <v>0</v>
      </c>
      <c r="AB333" s="399">
        <v>0</v>
      </c>
      <c r="AC333" s="399">
        <v>0</v>
      </c>
      <c r="AD333" s="399">
        <v>0</v>
      </c>
      <c r="AE333" s="399">
        <v>566.76192174223149</v>
      </c>
      <c r="AF333" s="399">
        <v>373.31558928298324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27.548520103923678</v>
      </c>
      <c r="AM333" s="399"/>
      <c r="AN333" s="399">
        <v>2.5071703588543248</v>
      </c>
      <c r="AO333" s="399">
        <v>10.129122770766118</v>
      </c>
      <c r="AP333" s="399">
        <v>54.033240085284781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39.538232618920965</v>
      </c>
      <c r="BH333" s="399">
        <v>0</v>
      </c>
      <c r="BI333" s="399">
        <v>0</v>
      </c>
      <c r="BJ333" s="399">
        <v>0</v>
      </c>
      <c r="BK333" s="399">
        <v>1574.67</v>
      </c>
      <c r="BL333" s="399">
        <v>2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412.85382190190421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1172.8173000000002</v>
      </c>
      <c r="CJ333" s="399">
        <v>-172.66478000000006</v>
      </c>
      <c r="CK333" s="399"/>
      <c r="CL333" s="399"/>
      <c r="CM333" s="399"/>
      <c r="CN333" s="399"/>
      <c r="CO333" s="399">
        <v>-188.09870000000004</v>
      </c>
      <c r="CP333" s="399">
        <v>17.076039999999956</v>
      </c>
      <c r="CQ333" s="399">
        <v>30</v>
      </c>
      <c r="CR333" s="399">
        <v>4.1994146325461088</v>
      </c>
      <c r="CS333" s="399">
        <v>0.73938352265241924</v>
      </c>
      <c r="CT333" s="399">
        <v>3.9442001344764037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0</v>
      </c>
      <c r="DA333" s="399">
        <v>0</v>
      </c>
      <c r="DB333" s="399">
        <v>0</v>
      </c>
      <c r="DC333" s="399">
        <v>17.074391426486216</v>
      </c>
      <c r="DD333" s="399">
        <v>0</v>
      </c>
      <c r="DE333" s="399">
        <v>0</v>
      </c>
      <c r="DF333" s="399">
        <v>0</v>
      </c>
      <c r="DG333" s="399">
        <v>1.8083661101413497</v>
      </c>
      <c r="DH333" s="399">
        <v>0</v>
      </c>
      <c r="DI333" s="399">
        <v>-16.87351292730591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-2.199655138368378</v>
      </c>
      <c r="DP333" s="399">
        <v>-0.29375849553616984</v>
      </c>
      <c r="DQ333" s="399">
        <v>0</v>
      </c>
      <c r="DR333" s="399">
        <v>0</v>
      </c>
      <c r="DS333" s="399"/>
      <c r="DT333" s="399"/>
      <c r="DU333" s="399"/>
      <c r="DV333" s="399">
        <v>566.76192174223149</v>
      </c>
      <c r="DW333" s="399">
        <v>0</v>
      </c>
      <c r="DX333" s="399">
        <v>0</v>
      </c>
      <c r="DY333" s="399">
        <v>-188.09870000000012</v>
      </c>
      <c r="DZ333" s="399">
        <v>17.076039999999921</v>
      </c>
      <c r="EA333" s="399">
        <v>0</v>
      </c>
      <c r="EB333" s="399">
        <v>0</v>
      </c>
      <c r="EC333" s="399">
        <v>-175.24331040821028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93.243672266306788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230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332</v>
      </c>
      <c r="B334" s="399" t="s">
        <v>956</v>
      </c>
      <c r="C334" s="399" t="s">
        <v>2336</v>
      </c>
      <c r="D334" s="399" t="s">
        <v>535</v>
      </c>
      <c r="E334" s="399" t="s">
        <v>890</v>
      </c>
      <c r="F334" s="399" t="s">
        <v>1239</v>
      </c>
      <c r="G334" s="399" t="s">
        <v>1239</v>
      </c>
      <c r="H334" s="399" t="s">
        <v>1239</v>
      </c>
      <c r="I334" s="399" t="s">
        <v>893</v>
      </c>
      <c r="J334" s="399" t="s">
        <v>2329</v>
      </c>
      <c r="K334" s="789">
        <v>44652</v>
      </c>
      <c r="L334" s="399">
        <v>2505</v>
      </c>
      <c r="M334" s="399">
        <v>2505</v>
      </c>
      <c r="N334" s="399">
        <v>82.11</v>
      </c>
      <c r="O334" s="399">
        <v>82.11</v>
      </c>
      <c r="P334" s="399">
        <v>82.11</v>
      </c>
      <c r="Q334" s="399">
        <v>82.11</v>
      </c>
      <c r="R334" s="399">
        <v>28.46</v>
      </c>
      <c r="S334" s="399">
        <v>75.12</v>
      </c>
      <c r="T334" s="399">
        <v>128.11000000000001</v>
      </c>
      <c r="U334" s="399">
        <v>71292.3</v>
      </c>
      <c r="V334" s="399">
        <v>16687.2153</v>
      </c>
      <c r="W334" s="399">
        <v>87979.515299999999</v>
      </c>
      <c r="X334" s="399">
        <v>71280.171600000001</v>
      </c>
      <c r="Y334" s="399">
        <v>0</v>
      </c>
      <c r="Z334" s="399">
        <v>3367.7214345521411</v>
      </c>
      <c r="AA334" s="399">
        <v>0</v>
      </c>
      <c r="AB334" s="399">
        <v>0</v>
      </c>
      <c r="AC334" s="399">
        <v>0</v>
      </c>
      <c r="AD334" s="399">
        <v>0</v>
      </c>
      <c r="AE334" s="399">
        <v>57594.878458265797</v>
      </c>
      <c r="AF334" s="399">
        <v>10519.198021971775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776.2556574238755</v>
      </c>
      <c r="AM334" s="399"/>
      <c r="AN334" s="399">
        <v>20.096915148463872</v>
      </c>
      <c r="AO334" s="399">
        <v>2062.2937559686225</v>
      </c>
      <c r="AP334" s="399">
        <v>11625.550132007676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243.65164165779211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10762.849663629568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71280.171600000001</v>
      </c>
      <c r="CJ334" s="399">
        <v>-16699.373699999982</v>
      </c>
      <c r="CK334" s="399"/>
      <c r="CL334" s="399"/>
      <c r="CM334" s="399"/>
      <c r="CN334" s="399"/>
      <c r="CO334" s="399">
        <v>-17180.508300000001</v>
      </c>
      <c r="CP334" s="399">
        <v>481.16459999999876</v>
      </c>
      <c r="CQ334" s="399">
        <v>30</v>
      </c>
      <c r="CR334" s="399">
        <v>1108.5245171541319</v>
      </c>
      <c r="CS334" s="399">
        <v>150.53880346212964</v>
      </c>
      <c r="CT334" s="399">
        <v>848.61645020083051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0</v>
      </c>
      <c r="DA334" s="399">
        <v>0</v>
      </c>
      <c r="DB334" s="399">
        <v>0</v>
      </c>
      <c r="DC334" s="399">
        <v>481.11814688702179</v>
      </c>
      <c r="DD334" s="399">
        <v>0</v>
      </c>
      <c r="DE334" s="399">
        <v>0</v>
      </c>
      <c r="DF334" s="399">
        <v>0</v>
      </c>
      <c r="DG334" s="399">
        <v>11.143931892481532</v>
      </c>
      <c r="DH334" s="399">
        <v>0</v>
      </c>
      <c r="DI334" s="399">
        <v>-318.55675296120216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-61.981360127463063</v>
      </c>
      <c r="DP334" s="399">
        <v>-2.3547021996656348</v>
      </c>
      <c r="DQ334" s="399">
        <v>0</v>
      </c>
      <c r="DR334" s="399">
        <v>0</v>
      </c>
      <c r="DS334" s="399"/>
      <c r="DT334" s="399"/>
      <c r="DU334" s="399">
        <v>57594.878458265797</v>
      </c>
      <c r="DV334" s="399">
        <v>0</v>
      </c>
      <c r="DW334" s="399">
        <v>0</v>
      </c>
      <c r="DX334" s="399">
        <v>0</v>
      </c>
      <c r="DY334" s="399">
        <v>-17180.508300000001</v>
      </c>
      <c r="DZ334" s="399">
        <v>481.16460000000006</v>
      </c>
      <c r="EA334" s="399">
        <v>0</v>
      </c>
      <c r="EB334" s="399">
        <v>0</v>
      </c>
      <c r="EC334" s="399">
        <v>-17808.389689551848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1760.3566962789744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230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333</v>
      </c>
      <c r="B335" s="399" t="s">
        <v>956</v>
      </c>
      <c r="C335" s="399" t="s">
        <v>2336</v>
      </c>
      <c r="D335" s="399" t="s">
        <v>535</v>
      </c>
      <c r="E335" s="399" t="s">
        <v>890</v>
      </c>
      <c r="F335" s="399" t="s">
        <v>1239</v>
      </c>
      <c r="G335" s="399" t="s">
        <v>1239</v>
      </c>
      <c r="H335" s="399" t="s">
        <v>1239</v>
      </c>
      <c r="I335" s="399" t="s">
        <v>2326</v>
      </c>
      <c r="J335" s="399" t="s">
        <v>2329</v>
      </c>
      <c r="K335" s="789">
        <v>44652</v>
      </c>
      <c r="L335" s="399">
        <v>2500</v>
      </c>
      <c r="M335" s="399">
        <v>2500</v>
      </c>
      <c r="N335" s="399">
        <v>879.77</v>
      </c>
      <c r="O335" s="399">
        <v>879.77</v>
      </c>
      <c r="P335" s="399">
        <v>879.77</v>
      </c>
      <c r="Q335" s="399">
        <v>879.77</v>
      </c>
      <c r="R335" s="399">
        <v>9.92</v>
      </c>
      <c r="S335" s="399">
        <v>75.12</v>
      </c>
      <c r="T335" s="399">
        <v>128.11000000000001</v>
      </c>
      <c r="U335" s="399">
        <v>24800</v>
      </c>
      <c r="V335" s="399">
        <v>178795.65710000001</v>
      </c>
      <c r="W335" s="399">
        <v>203595.65710000001</v>
      </c>
      <c r="X335" s="399">
        <v>201865.7512</v>
      </c>
      <c r="Y335" s="399">
        <v>0</v>
      </c>
      <c r="Z335" s="399">
        <v>36083.549950991808</v>
      </c>
      <c r="AA335" s="399">
        <v>0</v>
      </c>
      <c r="AB335" s="399">
        <v>0</v>
      </c>
      <c r="AC335" s="399">
        <v>0</v>
      </c>
      <c r="AD335" s="399">
        <v>0</v>
      </c>
      <c r="AE335" s="399">
        <v>12300.546167828574</v>
      </c>
      <c r="AF335" s="399">
        <v>112708.25531348324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8317.2139779783574</v>
      </c>
      <c r="AM335" s="399"/>
      <c r="AN335" s="399">
        <v>215.32898599639583</v>
      </c>
      <c r="AO335" s="399">
        <v>1858.1087599355999</v>
      </c>
      <c r="AP335" s="399">
        <v>10633.863386614099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2610.61265109336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115318.8679645766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201865.7512</v>
      </c>
      <c r="CJ335" s="399">
        <v>-1729.9359000000113</v>
      </c>
      <c r="CK335" s="399"/>
      <c r="CL335" s="399"/>
      <c r="CM335" s="399"/>
      <c r="CN335" s="399"/>
      <c r="CO335" s="399">
        <v>-6885.3581000000013</v>
      </c>
      <c r="CP335" s="399">
        <v>5155.452199999987</v>
      </c>
      <c r="CQ335" s="399">
        <v>30</v>
      </c>
      <c r="CR335" s="399">
        <v>2083.7018041741685</v>
      </c>
      <c r="CS335" s="399">
        <v>135.63415425841004</v>
      </c>
      <c r="CT335" s="399">
        <v>776.22747281642478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0</v>
      </c>
      <c r="DA335" s="399">
        <v>0</v>
      </c>
      <c r="DB335" s="399">
        <v>0</v>
      </c>
      <c r="DC335" s="399">
        <v>5154.9544767603802</v>
      </c>
      <c r="DD335" s="399">
        <v>0</v>
      </c>
      <c r="DE335" s="399">
        <v>0</v>
      </c>
      <c r="DF335" s="399">
        <v>0</v>
      </c>
      <c r="DG335" s="399">
        <v>119.40198466750053</v>
      </c>
      <c r="DH335" s="399">
        <v>0</v>
      </c>
      <c r="DI335" s="399">
        <v>-3413.1856601227228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-664.10109851830748</v>
      </c>
      <c r="DP335" s="399">
        <v>-25.229525687490423</v>
      </c>
      <c r="DQ335" s="399">
        <v>0</v>
      </c>
      <c r="DR335" s="399">
        <v>0</v>
      </c>
      <c r="DS335" s="399"/>
      <c r="DT335" s="399"/>
      <c r="DU335" s="399">
        <v>12300.546167828574</v>
      </c>
      <c r="DV335" s="399">
        <v>0</v>
      </c>
      <c r="DW335" s="399">
        <v>0</v>
      </c>
      <c r="DX335" s="399">
        <v>0</v>
      </c>
      <c r="DY335" s="399">
        <v>-6885.3581000000122</v>
      </c>
      <c r="DZ335" s="399">
        <v>5155.4521999999852</v>
      </c>
      <c r="EA335" s="399">
        <v>0</v>
      </c>
      <c r="EB335" s="399">
        <v>0</v>
      </c>
      <c r="EC335" s="399">
        <v>-3803.3402520285745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18861.393383087969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230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334</v>
      </c>
      <c r="B336" s="399" t="s">
        <v>956</v>
      </c>
      <c r="C336" s="399" t="s">
        <v>2336</v>
      </c>
      <c r="D336" s="399" t="s">
        <v>535</v>
      </c>
      <c r="E336" s="399" t="s">
        <v>890</v>
      </c>
      <c r="F336" s="399" t="s">
        <v>1239</v>
      </c>
      <c r="G336" s="399" t="s">
        <v>1239</v>
      </c>
      <c r="H336" s="399" t="s">
        <v>1239</v>
      </c>
      <c r="I336" s="399" t="s">
        <v>1239</v>
      </c>
      <c r="J336" s="399" t="s">
        <v>2329</v>
      </c>
      <c r="K336" s="789">
        <v>44652</v>
      </c>
      <c r="L336" s="399">
        <v>0</v>
      </c>
      <c r="M336" s="399">
        <v>0</v>
      </c>
      <c r="N336" s="399">
        <v>0</v>
      </c>
      <c r="O336" s="399">
        <v>0</v>
      </c>
      <c r="P336" s="399">
        <v>0</v>
      </c>
      <c r="Q336" s="399">
        <v>0</v>
      </c>
      <c r="R336" s="399"/>
      <c r="S336" s="399"/>
      <c r="T336" s="399"/>
      <c r="U336" s="399"/>
      <c r="V336" s="399"/>
      <c r="W336" s="399"/>
      <c r="X336" s="399"/>
      <c r="Y336" s="399"/>
      <c r="Z336" s="399"/>
      <c r="AA336" s="399">
        <v>0</v>
      </c>
      <c r="AB336" s="399"/>
      <c r="AC336" s="399"/>
      <c r="AD336" s="399"/>
      <c r="AE336" s="399"/>
      <c r="AF336" s="399"/>
      <c r="AG336" s="399"/>
      <c r="AH336" s="399"/>
      <c r="AI336" s="399"/>
      <c r="AJ336" s="399"/>
      <c r="AK336" s="399"/>
      <c r="AL336" s="399"/>
      <c r="AM336" s="399"/>
      <c r="AN336" s="399"/>
      <c r="AO336" s="399"/>
      <c r="AP336" s="399"/>
      <c r="AQ336" s="399"/>
      <c r="AR336" s="399"/>
      <c r="AS336" s="399"/>
      <c r="AT336" s="399"/>
      <c r="AU336" s="399"/>
      <c r="AV336" s="399"/>
      <c r="AW336" s="399"/>
      <c r="AX336" s="399"/>
      <c r="AY336" s="399"/>
      <c r="AZ336" s="399">
        <v>0</v>
      </c>
      <c r="BA336" s="399"/>
      <c r="BB336" s="399"/>
      <c r="BC336" s="399"/>
      <c r="BD336" s="399"/>
      <c r="BE336" s="399"/>
      <c r="BF336" s="399"/>
      <c r="BG336" s="399"/>
      <c r="BH336" s="399"/>
      <c r="BI336" s="399">
        <v>0</v>
      </c>
      <c r="BJ336" s="399">
        <v>0</v>
      </c>
      <c r="BK336" s="399">
        <v>117343.43</v>
      </c>
      <c r="BL336" s="399">
        <v>1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/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/>
      <c r="CJ336" s="399">
        <v>-0.03</v>
      </c>
      <c r="CK336" s="399"/>
      <c r="CL336" s="399"/>
      <c r="CM336" s="399"/>
      <c r="CN336" s="399"/>
      <c r="CO336" s="399">
        <v>0</v>
      </c>
      <c r="CP336" s="399">
        <v>0</v>
      </c>
      <c r="CQ336" s="399">
        <v>30</v>
      </c>
      <c r="CR336" s="399"/>
      <c r="CS336" s="399"/>
      <c r="CT336" s="399"/>
      <c r="CU336" s="399"/>
      <c r="CV336" s="399"/>
      <c r="CW336" s="399"/>
      <c r="CX336" s="399"/>
      <c r="CY336" s="399"/>
      <c r="CZ336" s="399"/>
      <c r="DA336" s="399"/>
      <c r="DB336" s="399"/>
      <c r="DC336" s="399"/>
      <c r="DD336" s="399"/>
      <c r="DE336" s="399"/>
      <c r="DF336" s="399"/>
      <c r="DG336" s="399"/>
      <c r="DH336" s="399"/>
      <c r="DI336" s="399"/>
      <c r="DJ336" s="399"/>
      <c r="DK336" s="399">
        <v>0</v>
      </c>
      <c r="DL336" s="399"/>
      <c r="DM336" s="399"/>
      <c r="DN336" s="399"/>
      <c r="DO336" s="399"/>
      <c r="DP336" s="399"/>
      <c r="DQ336" s="399"/>
      <c r="DR336" s="399"/>
      <c r="DS336" s="399"/>
      <c r="DT336" s="399"/>
      <c r="DU336" s="399"/>
      <c r="DV336" s="399"/>
      <c r="DW336" s="399"/>
      <c r="DX336" s="399"/>
      <c r="DY336" s="399"/>
      <c r="DZ336" s="399"/>
      <c r="EA336" s="399"/>
      <c r="EB336" s="399"/>
      <c r="EC336" s="399"/>
      <c r="ED336" s="399"/>
      <c r="EE336" s="399"/>
      <c r="EF336" s="399"/>
      <c r="EG336" s="399"/>
      <c r="EH336" s="399"/>
      <c r="EI336" s="399"/>
      <c r="EJ336" s="399"/>
      <c r="EK336" s="399"/>
      <c r="EL336" s="399"/>
      <c r="EM336" s="399"/>
      <c r="EN336" s="399"/>
      <c r="EO336" s="399"/>
      <c r="EP336" s="399"/>
      <c r="EQ336" s="399"/>
      <c r="ER336" s="399"/>
      <c r="ES336" s="399"/>
      <c r="ET336" s="399"/>
      <c r="EU336" s="399"/>
      <c r="EV336" s="399">
        <v>230</v>
      </c>
      <c r="EW336" s="399"/>
      <c r="EX336" s="399"/>
      <c r="EY336" s="399"/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335</v>
      </c>
      <c r="B337" s="399" t="s">
        <v>956</v>
      </c>
      <c r="C337" s="399" t="s">
        <v>2336</v>
      </c>
      <c r="D337" s="399" t="s">
        <v>533</v>
      </c>
      <c r="E337" s="399" t="s">
        <v>890</v>
      </c>
      <c r="F337" s="399" t="s">
        <v>1239</v>
      </c>
      <c r="G337" s="399" t="s">
        <v>1239</v>
      </c>
      <c r="H337" s="399" t="s">
        <v>1239</v>
      </c>
      <c r="I337" s="399" t="s">
        <v>893</v>
      </c>
      <c r="J337" s="399" t="s">
        <v>2329</v>
      </c>
      <c r="K337" s="789">
        <v>44652</v>
      </c>
      <c r="L337" s="399">
        <v>6169</v>
      </c>
      <c r="M337" s="399">
        <v>6169</v>
      </c>
      <c r="N337" s="399">
        <v>298.16000000000003</v>
      </c>
      <c r="O337" s="399">
        <v>298.16000000000003</v>
      </c>
      <c r="P337" s="399">
        <v>298.16000000000003</v>
      </c>
      <c r="Q337" s="399">
        <v>298.16000000000003</v>
      </c>
      <c r="R337" s="399">
        <v>52.19</v>
      </c>
      <c r="S337" s="399">
        <v>96.28</v>
      </c>
      <c r="T337" s="399">
        <v>128.11000000000001</v>
      </c>
      <c r="U337" s="399">
        <v>321960.11</v>
      </c>
      <c r="V337" s="399">
        <v>66904.122400000007</v>
      </c>
      <c r="W337" s="399">
        <v>388864.23240000004</v>
      </c>
      <c r="X337" s="399">
        <v>302264.3224</v>
      </c>
      <c r="Y337" s="399">
        <v>0</v>
      </c>
      <c r="Z337" s="399">
        <v>15879.394513469892</v>
      </c>
      <c r="AA337" s="399">
        <v>0</v>
      </c>
      <c r="AB337" s="399">
        <v>0</v>
      </c>
      <c r="AC337" s="399">
        <v>0</v>
      </c>
      <c r="AD337" s="399">
        <v>0</v>
      </c>
      <c r="AE337" s="399">
        <v>288299.86543485505</v>
      </c>
      <c r="AF337" s="399">
        <v>38197.589602132561</v>
      </c>
      <c r="AG337" s="399">
        <v>0</v>
      </c>
      <c r="AH337" s="399">
        <v>0</v>
      </c>
      <c r="AI337" s="399">
        <v>0</v>
      </c>
      <c r="AJ337" s="399">
        <v>0</v>
      </c>
      <c r="AK337" s="399">
        <v>0</v>
      </c>
      <c r="AL337" s="399">
        <v>2818.7600391852725</v>
      </c>
      <c r="AM337" s="399"/>
      <c r="AN337" s="399">
        <v>146.57565060668668</v>
      </c>
      <c r="AO337" s="399">
        <v>5327.7312161300015</v>
      </c>
      <c r="AP337" s="399">
        <v>28342.138398373208</v>
      </c>
      <c r="AQ337" s="399">
        <v>0</v>
      </c>
      <c r="AR337" s="399">
        <v>0</v>
      </c>
      <c r="AS337" s="399">
        <v>0</v>
      </c>
      <c r="AT337" s="399">
        <v>0</v>
      </c>
      <c r="AU337" s="399">
        <v>0</v>
      </c>
      <c r="AV337" s="399">
        <v>0</v>
      </c>
      <c r="AW337" s="399">
        <v>0</v>
      </c>
      <c r="AX337" s="399">
        <v>0</v>
      </c>
      <c r="AY337" s="399">
        <v>0</v>
      </c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>
        <v>0</v>
      </c>
      <c r="BG337" s="399">
        <v>1561.9455420867323</v>
      </c>
      <c r="BH337" s="399">
        <v>0</v>
      </c>
      <c r="BI337" s="399">
        <v>0</v>
      </c>
      <c r="BJ337" s="399">
        <v>0</v>
      </c>
      <c r="BK337" s="399">
        <v>0</v>
      </c>
      <c r="BL337" s="399">
        <v>0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39759.535144219291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302264.3224</v>
      </c>
      <c r="CJ337" s="399">
        <v>-86599.940000000061</v>
      </c>
      <c r="CK337" s="399"/>
      <c r="CL337" s="399"/>
      <c r="CM337" s="399"/>
      <c r="CN337" s="399"/>
      <c r="CO337" s="399">
        <v>-88347.127599999978</v>
      </c>
      <c r="CP337" s="399">
        <v>1747.2175999999956</v>
      </c>
      <c r="CQ337" s="399">
        <v>30</v>
      </c>
      <c r="CR337" s="399">
        <v>2531.9543305513216</v>
      </c>
      <c r="CS337" s="399">
        <v>388.90205632579455</v>
      </c>
      <c r="CT337" s="399">
        <v>2068.8573534691241</v>
      </c>
      <c r="CU337" s="399">
        <v>0</v>
      </c>
      <c r="CV337" s="399">
        <v>0</v>
      </c>
      <c r="CW337" s="399">
        <v>0</v>
      </c>
      <c r="CX337" s="399">
        <v>0</v>
      </c>
      <c r="CY337" s="399">
        <v>0</v>
      </c>
      <c r="CZ337" s="399">
        <v>0</v>
      </c>
      <c r="DA337" s="399">
        <v>0</v>
      </c>
      <c r="DB337" s="399">
        <v>0</v>
      </c>
      <c r="DC337" s="399">
        <v>1747.0489182296224</v>
      </c>
      <c r="DD337" s="399">
        <v>0</v>
      </c>
      <c r="DE337" s="399">
        <v>0</v>
      </c>
      <c r="DF337" s="399">
        <v>0</v>
      </c>
      <c r="DG337" s="399">
        <v>71.438938897956632</v>
      </c>
      <c r="DH337" s="399">
        <v>0</v>
      </c>
      <c r="DI337" s="399">
        <v>-1502.0507050558954</v>
      </c>
      <c r="DJ337" s="399"/>
      <c r="DK337" s="399">
        <v>0</v>
      </c>
      <c r="DL337" s="399">
        <v>0</v>
      </c>
      <c r="DM337" s="399">
        <v>0</v>
      </c>
      <c r="DN337" s="399">
        <v>0</v>
      </c>
      <c r="DO337" s="399">
        <v>-225.06835142618911</v>
      </c>
      <c r="DP337" s="399">
        <v>-17.173879889091751</v>
      </c>
      <c r="DQ337" s="399">
        <v>0</v>
      </c>
      <c r="DR337" s="399">
        <v>0</v>
      </c>
      <c r="DS337" s="399"/>
      <c r="DT337" s="399"/>
      <c r="DU337" s="399">
        <v>288299.86543485505</v>
      </c>
      <c r="DV337" s="399">
        <v>0</v>
      </c>
      <c r="DW337" s="399">
        <v>0</v>
      </c>
      <c r="DX337" s="399">
        <v>0</v>
      </c>
      <c r="DY337" s="399">
        <v>-88347.127600000007</v>
      </c>
      <c r="DZ337" s="399">
        <v>1747.2175999999963</v>
      </c>
      <c r="EA337" s="399">
        <v>0</v>
      </c>
      <c r="EB337" s="399">
        <v>0</v>
      </c>
      <c r="EC337" s="399">
        <v>-89142.58504477219</v>
      </c>
      <c r="ED337" s="399">
        <v>0</v>
      </c>
      <c r="EE337" s="399">
        <v>0</v>
      </c>
      <c r="EF337" s="399">
        <v>0</v>
      </c>
      <c r="EG337" s="399">
        <v>0</v>
      </c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>
        <v>0</v>
      </c>
      <c r="EN337" s="399">
        <v>0</v>
      </c>
      <c r="EO337" s="399">
        <v>0</v>
      </c>
      <c r="EP337" s="399">
        <v>8300.3891526911939</v>
      </c>
      <c r="EQ337" s="399">
        <v>0</v>
      </c>
      <c r="ER337" s="399">
        <v>0</v>
      </c>
      <c r="ES337" s="399">
        <v>0</v>
      </c>
      <c r="ET337" s="399">
        <v>0</v>
      </c>
      <c r="EU337" s="399">
        <v>0</v>
      </c>
      <c r="EV337" s="399">
        <v>230</v>
      </c>
      <c r="EW337" s="399">
        <v>0</v>
      </c>
      <c r="EX337" s="399">
        <v>0</v>
      </c>
      <c r="EY337" s="399">
        <v>0</v>
      </c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336</v>
      </c>
      <c r="B338" s="399" t="s">
        <v>956</v>
      </c>
      <c r="C338" s="399" t="s">
        <v>2336</v>
      </c>
      <c r="D338" s="399" t="s">
        <v>533</v>
      </c>
      <c r="E338" s="399" t="s">
        <v>890</v>
      </c>
      <c r="F338" s="399" t="s">
        <v>1239</v>
      </c>
      <c r="G338" s="399" t="s">
        <v>1239</v>
      </c>
      <c r="H338" s="399" t="s">
        <v>1239</v>
      </c>
      <c r="I338" s="399" t="s">
        <v>2326</v>
      </c>
      <c r="J338" s="399" t="s">
        <v>2329</v>
      </c>
      <c r="K338" s="789">
        <v>44652</v>
      </c>
      <c r="L338" s="399">
        <v>6250</v>
      </c>
      <c r="M338" s="399">
        <v>6250</v>
      </c>
      <c r="N338" s="399">
        <v>2870.52</v>
      </c>
      <c r="O338" s="399">
        <v>2870.52</v>
      </c>
      <c r="P338" s="399">
        <v>2870.52</v>
      </c>
      <c r="Q338" s="399">
        <v>2870.52</v>
      </c>
      <c r="R338" s="399">
        <v>18.12</v>
      </c>
      <c r="S338" s="399">
        <v>96.28</v>
      </c>
      <c r="T338" s="399">
        <v>128.11000000000001</v>
      </c>
      <c r="U338" s="399">
        <v>113250</v>
      </c>
      <c r="V338" s="399">
        <v>644115.98280000011</v>
      </c>
      <c r="W338" s="399">
        <v>757365.98280000011</v>
      </c>
      <c r="X338" s="399">
        <v>735146.1128</v>
      </c>
      <c r="Y338" s="399">
        <v>0</v>
      </c>
      <c r="Z338" s="399">
        <v>152878.05050578745</v>
      </c>
      <c r="AA338" s="399">
        <v>0</v>
      </c>
      <c r="AB338" s="399">
        <v>0</v>
      </c>
      <c r="AC338" s="399">
        <v>0</v>
      </c>
      <c r="AD338" s="399">
        <v>0</v>
      </c>
      <c r="AE338" s="399">
        <v>81618.364487418134</v>
      </c>
      <c r="AF338" s="399">
        <v>367745.32098441629</v>
      </c>
      <c r="AG338" s="399">
        <v>0</v>
      </c>
      <c r="AH338" s="399">
        <v>0</v>
      </c>
      <c r="AI338" s="399">
        <v>0</v>
      </c>
      <c r="AJ338" s="399">
        <v>0</v>
      </c>
      <c r="AK338" s="399">
        <v>0</v>
      </c>
      <c r="AL338" s="399">
        <v>27137.466687959848</v>
      </c>
      <c r="AM338" s="399"/>
      <c r="AN338" s="399">
        <v>1411.1495055658245</v>
      </c>
      <c r="AO338" s="399">
        <v>4967.9400748123498</v>
      </c>
      <c r="AP338" s="399">
        <v>26633.256499061437</v>
      </c>
      <c r="AQ338" s="399">
        <v>0</v>
      </c>
      <c r="AR338" s="399">
        <v>0</v>
      </c>
      <c r="AS338" s="399">
        <v>0</v>
      </c>
      <c r="AT338" s="399">
        <v>0</v>
      </c>
      <c r="AU338" s="399">
        <v>0</v>
      </c>
      <c r="AV338" s="399">
        <v>0</v>
      </c>
      <c r="AW338" s="399">
        <v>0</v>
      </c>
      <c r="AX338" s="399">
        <v>0</v>
      </c>
      <c r="AY338" s="399">
        <v>0</v>
      </c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>
        <v>0</v>
      </c>
      <c r="BG338" s="399">
        <v>15037.550031764174</v>
      </c>
      <c r="BH338" s="399">
        <v>0</v>
      </c>
      <c r="BI338" s="399">
        <v>0</v>
      </c>
      <c r="BJ338" s="399">
        <v>0</v>
      </c>
      <c r="BK338" s="399">
        <v>0</v>
      </c>
      <c r="BL338" s="399">
        <v>0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382782.87101618049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735146.1128</v>
      </c>
      <c r="CJ338" s="399">
        <v>-22219.90000000014</v>
      </c>
      <c r="CK338" s="399"/>
      <c r="CL338" s="399"/>
      <c r="CM338" s="399"/>
      <c r="CN338" s="399"/>
      <c r="CO338" s="399">
        <v>-39041.117200000008</v>
      </c>
      <c r="CP338" s="399">
        <v>16821.247199999958</v>
      </c>
      <c r="CQ338" s="399">
        <v>30</v>
      </c>
      <c r="CR338" s="399">
        <v>3021.0627126862528</v>
      </c>
      <c r="CS338" s="399">
        <v>362.63881048436906</v>
      </c>
      <c r="CT338" s="399">
        <v>1944.1161347965026</v>
      </c>
      <c r="CU338" s="399">
        <v>0</v>
      </c>
      <c r="CV338" s="399">
        <v>0</v>
      </c>
      <c r="CW338" s="399">
        <v>0</v>
      </c>
      <c r="CX338" s="399">
        <v>0</v>
      </c>
      <c r="CY338" s="399">
        <v>0</v>
      </c>
      <c r="CZ338" s="399">
        <v>0</v>
      </c>
      <c r="DA338" s="399">
        <v>0</v>
      </c>
      <c r="DB338" s="399">
        <v>0</v>
      </c>
      <c r="DC338" s="399">
        <v>16819.623224968091</v>
      </c>
      <c r="DD338" s="399">
        <v>0</v>
      </c>
      <c r="DE338" s="399">
        <v>0</v>
      </c>
      <c r="DF338" s="399">
        <v>0</v>
      </c>
      <c r="DG338" s="399">
        <v>687.77469441026005</v>
      </c>
      <c r="DH338" s="399">
        <v>0</v>
      </c>
      <c r="DI338" s="399">
        <v>-14460.915581825364</v>
      </c>
      <c r="DJ338" s="399"/>
      <c r="DK338" s="399">
        <v>0</v>
      </c>
      <c r="DL338" s="399">
        <v>0</v>
      </c>
      <c r="DM338" s="399">
        <v>0</v>
      </c>
      <c r="DN338" s="399">
        <v>0</v>
      </c>
      <c r="DO338" s="399">
        <v>-2166.8339285481125</v>
      </c>
      <c r="DP338" s="399">
        <v>-165.34064159926106</v>
      </c>
      <c r="DQ338" s="399">
        <v>0</v>
      </c>
      <c r="DR338" s="399">
        <v>0</v>
      </c>
      <c r="DS338" s="399"/>
      <c r="DT338" s="399"/>
      <c r="DU338" s="399">
        <v>81618.364487418134</v>
      </c>
      <c r="DV338" s="399">
        <v>0</v>
      </c>
      <c r="DW338" s="399">
        <v>0</v>
      </c>
      <c r="DX338" s="399">
        <v>0</v>
      </c>
      <c r="DY338" s="399">
        <v>-39041.117200000037</v>
      </c>
      <c r="DZ338" s="399">
        <v>16821.247199999925</v>
      </c>
      <c r="EA338" s="399">
        <v>0</v>
      </c>
      <c r="EB338" s="399">
        <v>0</v>
      </c>
      <c r="EC338" s="399">
        <v>-25236.473789402255</v>
      </c>
      <c r="ED338" s="399">
        <v>0</v>
      </c>
      <c r="EE338" s="399">
        <v>0</v>
      </c>
      <c r="EF338" s="399">
        <v>0</v>
      </c>
      <c r="EG338" s="399">
        <v>0</v>
      </c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>
        <v>0</v>
      </c>
      <c r="EN338" s="399">
        <v>0</v>
      </c>
      <c r="EO338" s="399">
        <v>0</v>
      </c>
      <c r="EP338" s="399">
        <v>79911.567851432526</v>
      </c>
      <c r="EQ338" s="399">
        <v>0</v>
      </c>
      <c r="ER338" s="399">
        <v>0</v>
      </c>
      <c r="ES338" s="399">
        <v>0</v>
      </c>
      <c r="ET338" s="399">
        <v>0</v>
      </c>
      <c r="EU338" s="399">
        <v>0</v>
      </c>
      <c r="EV338" s="399">
        <v>230</v>
      </c>
      <c r="EW338" s="399">
        <v>0</v>
      </c>
      <c r="EX338" s="399">
        <v>0</v>
      </c>
      <c r="EY338" s="399">
        <v>0</v>
      </c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337</v>
      </c>
      <c r="B339" s="399" t="s">
        <v>956</v>
      </c>
      <c r="C339" s="399" t="s">
        <v>2336</v>
      </c>
      <c r="D339" s="399" t="s">
        <v>533</v>
      </c>
      <c r="E339" s="399" t="s">
        <v>890</v>
      </c>
      <c r="F339" s="399" t="s">
        <v>1239</v>
      </c>
      <c r="G339" s="399" t="s">
        <v>1239</v>
      </c>
      <c r="H339" s="399" t="s">
        <v>1239</v>
      </c>
      <c r="I339" s="399" t="s">
        <v>1239</v>
      </c>
      <c r="J339" s="399" t="s">
        <v>2329</v>
      </c>
      <c r="K339" s="789">
        <v>44652</v>
      </c>
      <c r="L339" s="399">
        <v>0</v>
      </c>
      <c r="M339" s="399">
        <v>0</v>
      </c>
      <c r="N339" s="399">
        <v>0</v>
      </c>
      <c r="O339" s="399">
        <v>0</v>
      </c>
      <c r="P339" s="399">
        <v>0</v>
      </c>
      <c r="Q339" s="399">
        <v>0</v>
      </c>
      <c r="R339" s="399"/>
      <c r="S339" s="399"/>
      <c r="T339" s="399"/>
      <c r="U339" s="399"/>
      <c r="V339" s="399"/>
      <c r="W339" s="399"/>
      <c r="X339" s="399"/>
      <c r="Y339" s="399"/>
      <c r="Z339" s="399"/>
      <c r="AA339" s="399">
        <v>0</v>
      </c>
      <c r="AB339" s="399"/>
      <c r="AC339" s="399"/>
      <c r="AD339" s="399"/>
      <c r="AE339" s="399"/>
      <c r="AF339" s="399"/>
      <c r="AG339" s="399"/>
      <c r="AH339" s="399"/>
      <c r="AI339" s="399"/>
      <c r="AJ339" s="399"/>
      <c r="AK339" s="399"/>
      <c r="AL339" s="399"/>
      <c r="AM339" s="399"/>
      <c r="AN339" s="399"/>
      <c r="AO339" s="399"/>
      <c r="AP339" s="399"/>
      <c r="AQ339" s="399"/>
      <c r="AR339" s="399"/>
      <c r="AS339" s="399"/>
      <c r="AT339" s="399"/>
      <c r="AU339" s="399"/>
      <c r="AV339" s="399"/>
      <c r="AW339" s="399"/>
      <c r="AX339" s="399"/>
      <c r="AY339" s="399"/>
      <c r="AZ339" s="399">
        <v>0</v>
      </c>
      <c r="BA339" s="399"/>
      <c r="BB339" s="399"/>
      <c r="BC339" s="399"/>
      <c r="BD339" s="399"/>
      <c r="BE339" s="399"/>
      <c r="BF339" s="399"/>
      <c r="BG339" s="399"/>
      <c r="BH339" s="399"/>
      <c r="BI339" s="399">
        <v>0</v>
      </c>
      <c r="BJ339" s="399">
        <v>0</v>
      </c>
      <c r="BK339" s="399">
        <v>0</v>
      </c>
      <c r="BL339" s="399">
        <v>1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/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/>
      <c r="CJ339" s="399">
        <v>-0.03</v>
      </c>
      <c r="CK339" s="399"/>
      <c r="CL339" s="399"/>
      <c r="CM339" s="399"/>
      <c r="CN339" s="399"/>
      <c r="CO339" s="399">
        <v>0</v>
      </c>
      <c r="CP339" s="399">
        <v>0</v>
      </c>
      <c r="CQ339" s="399">
        <v>30</v>
      </c>
      <c r="CR339" s="399"/>
      <c r="CS339" s="399"/>
      <c r="CT339" s="399"/>
      <c r="CU339" s="399"/>
      <c r="CV339" s="399"/>
      <c r="CW339" s="399"/>
      <c r="CX339" s="399"/>
      <c r="CY339" s="399"/>
      <c r="CZ339" s="399"/>
      <c r="DA339" s="399"/>
      <c r="DB339" s="399"/>
      <c r="DC339" s="399"/>
      <c r="DD339" s="399"/>
      <c r="DE339" s="399"/>
      <c r="DF339" s="399"/>
      <c r="DG339" s="399"/>
      <c r="DH339" s="399"/>
      <c r="DI339" s="399"/>
      <c r="DJ339" s="399"/>
      <c r="DK339" s="399">
        <v>0</v>
      </c>
      <c r="DL339" s="399"/>
      <c r="DM339" s="399"/>
      <c r="DN339" s="399"/>
      <c r="DO339" s="399"/>
      <c r="DP339" s="399"/>
      <c r="DQ339" s="399"/>
      <c r="DR339" s="399"/>
      <c r="DS339" s="399"/>
      <c r="DT339" s="399"/>
      <c r="DU339" s="399"/>
      <c r="DV339" s="399"/>
      <c r="DW339" s="399"/>
      <c r="DX339" s="399"/>
      <c r="DY339" s="399"/>
      <c r="DZ339" s="399"/>
      <c r="EA339" s="399"/>
      <c r="EB339" s="399"/>
      <c r="EC339" s="399"/>
      <c r="ED339" s="399"/>
      <c r="EE339" s="399"/>
      <c r="EF339" s="399"/>
      <c r="EG339" s="399"/>
      <c r="EH339" s="399"/>
      <c r="EI339" s="399"/>
      <c r="EJ339" s="399"/>
      <c r="EK339" s="399"/>
      <c r="EL339" s="399"/>
      <c r="EM339" s="399"/>
      <c r="EN339" s="399"/>
      <c r="EO339" s="399"/>
      <c r="EP339" s="399"/>
      <c r="EQ339" s="399"/>
      <c r="ER339" s="399"/>
      <c r="ES339" s="399"/>
      <c r="ET339" s="399"/>
      <c r="EU339" s="399"/>
      <c r="EV339" s="399">
        <v>230</v>
      </c>
      <c r="EW339" s="399"/>
      <c r="EX339" s="399"/>
      <c r="EY339" s="399"/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338</v>
      </c>
      <c r="B340" s="399" t="s">
        <v>956</v>
      </c>
      <c r="C340" s="399" t="s">
        <v>2337</v>
      </c>
      <c r="D340" s="399" t="s">
        <v>533</v>
      </c>
      <c r="E340" s="399" t="s">
        <v>890</v>
      </c>
      <c r="F340" s="399" t="s">
        <v>1239</v>
      </c>
      <c r="G340" s="399" t="s">
        <v>1239</v>
      </c>
      <c r="H340" s="399" t="s">
        <v>1239</v>
      </c>
      <c r="I340" s="399" t="s">
        <v>893</v>
      </c>
      <c r="J340" s="399" t="s">
        <v>2329</v>
      </c>
      <c r="K340" s="789">
        <v>44652</v>
      </c>
      <c r="L340" s="399">
        <v>0</v>
      </c>
      <c r="M340" s="399">
        <v>0</v>
      </c>
      <c r="N340" s="399">
        <v>770.42499999999995</v>
      </c>
      <c r="O340" s="399">
        <v>770.42499999999995</v>
      </c>
      <c r="P340" s="399">
        <v>770.42499999999995</v>
      </c>
      <c r="Q340" s="399">
        <v>770.42499999999995</v>
      </c>
      <c r="R340" s="399"/>
      <c r="S340" s="399">
        <v>1351.49</v>
      </c>
      <c r="T340" s="399">
        <v>128.11000000000001</v>
      </c>
      <c r="U340" s="399"/>
      <c r="V340" s="399">
        <v>1139920.83</v>
      </c>
      <c r="W340" s="399">
        <v>1139920.83</v>
      </c>
      <c r="X340" s="399">
        <v>879756.01174999995</v>
      </c>
      <c r="Y340" s="399">
        <v>0</v>
      </c>
      <c r="Z340" s="399">
        <v>41031.26683002428</v>
      </c>
      <c r="AA340" s="399">
        <v>0</v>
      </c>
      <c r="AB340" s="399">
        <v>0</v>
      </c>
      <c r="AC340" s="399">
        <v>0</v>
      </c>
      <c r="AD340" s="399">
        <v>0</v>
      </c>
      <c r="AE340" s="399">
        <v>865915.04229325929</v>
      </c>
      <c r="AF340" s="399">
        <v>98699.952942121599</v>
      </c>
      <c r="AG340" s="399">
        <v>0</v>
      </c>
      <c r="AH340" s="399">
        <v>0</v>
      </c>
      <c r="AI340" s="399">
        <v>0</v>
      </c>
      <c r="AJ340" s="399">
        <v>0</v>
      </c>
      <c r="AK340" s="399">
        <v>0</v>
      </c>
      <c r="AL340" s="399">
        <v>7283.4827045522989</v>
      </c>
      <c r="AM340" s="399"/>
      <c r="AN340" s="399">
        <v>378.74143285033733</v>
      </c>
      <c r="AO340" s="399">
        <v>16003.675741650664</v>
      </c>
      <c r="AP340" s="399">
        <v>85125.858811748796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4035.9602034550931</v>
      </c>
      <c r="BH340" s="399">
        <v>0</v>
      </c>
      <c r="BI340" s="399">
        <v>0</v>
      </c>
      <c r="BJ340" s="399">
        <v>0</v>
      </c>
      <c r="BK340" s="399">
        <v>0</v>
      </c>
      <c r="BL340" s="399">
        <v>0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102735.91314557669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879761.72130000009</v>
      </c>
      <c r="CJ340" s="399">
        <v>-260159.13870000001</v>
      </c>
      <c r="CK340" s="399"/>
      <c r="CL340" s="399"/>
      <c r="CM340" s="399"/>
      <c r="CN340" s="399"/>
      <c r="CO340" s="399">
        <v>-264679.50874999992</v>
      </c>
      <c r="CP340" s="399">
        <v>4514.6904999999888</v>
      </c>
      <c r="CQ340" s="399">
        <v>30</v>
      </c>
      <c r="CR340" s="399">
        <v>7573.7468926258734</v>
      </c>
      <c r="CS340" s="399">
        <v>1168.2012759682857</v>
      </c>
      <c r="CT340" s="399">
        <v>6213.8310277665441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0</v>
      </c>
      <c r="DA340" s="399">
        <v>0</v>
      </c>
      <c r="DB340" s="399">
        <v>0</v>
      </c>
      <c r="DC340" s="399">
        <v>4514.2546378691186</v>
      </c>
      <c r="DD340" s="399">
        <v>0</v>
      </c>
      <c r="DE340" s="399">
        <v>0</v>
      </c>
      <c r="DF340" s="399">
        <v>0</v>
      </c>
      <c r="DG340" s="399">
        <v>184.593320701832</v>
      </c>
      <c r="DH340" s="399">
        <v>0</v>
      </c>
      <c r="DI340" s="399">
        <v>-3881.1960505858879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-581.56119079528435</v>
      </c>
      <c r="DP340" s="399">
        <v>-44.37612829874405</v>
      </c>
      <c r="DQ340" s="399">
        <v>0</v>
      </c>
      <c r="DR340" s="399">
        <v>0</v>
      </c>
      <c r="DS340" s="399"/>
      <c r="DT340" s="399"/>
      <c r="DU340" s="399"/>
      <c r="DV340" s="399">
        <v>865915.04229325929</v>
      </c>
      <c r="DW340" s="399">
        <v>0</v>
      </c>
      <c r="DX340" s="399">
        <v>0</v>
      </c>
      <c r="DY340" s="399">
        <v>-264679.50875000004</v>
      </c>
      <c r="DZ340" s="399">
        <v>4514.690499999997</v>
      </c>
      <c r="EA340" s="399">
        <v>0</v>
      </c>
      <c r="EB340" s="399">
        <v>0</v>
      </c>
      <c r="EC340" s="399">
        <v>-267741.7319732192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21447.636547364204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230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339</v>
      </c>
      <c r="B341" s="399" t="s">
        <v>956</v>
      </c>
      <c r="C341" s="399" t="s">
        <v>2337</v>
      </c>
      <c r="D341" s="399" t="s">
        <v>533</v>
      </c>
      <c r="E341" s="399" t="s">
        <v>890</v>
      </c>
      <c r="F341" s="399" t="s">
        <v>1239</v>
      </c>
      <c r="G341" s="399" t="s">
        <v>1239</v>
      </c>
      <c r="H341" s="399" t="s">
        <v>1239</v>
      </c>
      <c r="I341" s="399" t="s">
        <v>2326</v>
      </c>
      <c r="J341" s="399" t="s">
        <v>2329</v>
      </c>
      <c r="K341" s="789">
        <v>44652</v>
      </c>
      <c r="L341" s="399">
        <v>0</v>
      </c>
      <c r="M341" s="399">
        <v>0</v>
      </c>
      <c r="N341" s="399">
        <v>13316.296</v>
      </c>
      <c r="O341" s="399">
        <v>13316.296</v>
      </c>
      <c r="P341" s="399">
        <v>13316.296</v>
      </c>
      <c r="Q341" s="399">
        <v>13316.296</v>
      </c>
      <c r="R341" s="399"/>
      <c r="S341" s="399">
        <v>96.28</v>
      </c>
      <c r="T341" s="399">
        <v>128.11000000000001</v>
      </c>
      <c r="U341" s="399"/>
      <c r="V341" s="399">
        <v>2988043.6594400005</v>
      </c>
      <c r="W341" s="399">
        <v>2988043.6594400005</v>
      </c>
      <c r="X341" s="399">
        <v>2991372.7334400001</v>
      </c>
      <c r="Y341" s="399">
        <v>0</v>
      </c>
      <c r="Z341" s="399">
        <v>709198.81151777925</v>
      </c>
      <c r="AA341" s="399">
        <v>0</v>
      </c>
      <c r="AB341" s="399">
        <v>0</v>
      </c>
      <c r="AC341" s="399">
        <v>0</v>
      </c>
      <c r="AD341" s="399">
        <v>0</v>
      </c>
      <c r="AE341" s="399">
        <v>0</v>
      </c>
      <c r="AF341" s="399">
        <v>1705964.6150674785</v>
      </c>
      <c r="AG341" s="399">
        <v>0</v>
      </c>
      <c r="AH341" s="399">
        <v>0</v>
      </c>
      <c r="AI341" s="399">
        <v>0</v>
      </c>
      <c r="AJ341" s="399">
        <v>0</v>
      </c>
      <c r="AK341" s="399">
        <v>0</v>
      </c>
      <c r="AL341" s="399">
        <v>125890.27044124861</v>
      </c>
      <c r="AM341" s="399"/>
      <c r="AN341" s="399">
        <v>6546.2998050416536</v>
      </c>
      <c r="AO341" s="399">
        <v>0</v>
      </c>
      <c r="AP341" s="399">
        <v>0</v>
      </c>
      <c r="AQ341" s="399">
        <v>0</v>
      </c>
      <c r="AR341" s="399">
        <v>0</v>
      </c>
      <c r="AS341" s="399">
        <v>0</v>
      </c>
      <c r="AT341" s="399">
        <v>0</v>
      </c>
      <c r="AU341" s="399">
        <v>0</v>
      </c>
      <c r="AV341" s="399">
        <v>0</v>
      </c>
      <c r="AW341" s="399">
        <v>0</v>
      </c>
      <c r="AX341" s="399">
        <v>0</v>
      </c>
      <c r="AY341" s="399">
        <v>0</v>
      </c>
      <c r="AZ341" s="399">
        <v>0</v>
      </c>
      <c r="BA341" s="399"/>
      <c r="BB341" s="399">
        <v>0</v>
      </c>
      <c r="BC341" s="399">
        <v>0</v>
      </c>
      <c r="BD341" s="399">
        <v>0</v>
      </c>
      <c r="BE341" s="399">
        <v>0</v>
      </c>
      <c r="BF341" s="399">
        <v>0</v>
      </c>
      <c r="BG341" s="399">
        <v>69758.952154237268</v>
      </c>
      <c r="BH341" s="399">
        <v>0</v>
      </c>
      <c r="BI341" s="399">
        <v>0</v>
      </c>
      <c r="BJ341" s="399">
        <v>0</v>
      </c>
      <c r="BK341" s="399">
        <v>0</v>
      </c>
      <c r="BL341" s="399">
        <v>0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>
        <v>1775723.5672217158</v>
      </c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>
        <v>2991373.6319999998</v>
      </c>
      <c r="CJ341" s="399">
        <v>3329.9425599998794</v>
      </c>
      <c r="CK341" s="399"/>
      <c r="CL341" s="399"/>
      <c r="CM341" s="399"/>
      <c r="CN341" s="399"/>
      <c r="CO341" s="399">
        <v>-74704.420559999999</v>
      </c>
      <c r="CP341" s="399">
        <v>78033.494559999803</v>
      </c>
      <c r="CQ341" s="399">
        <v>30</v>
      </c>
      <c r="CR341" s="399">
        <v>3313.6622165571898</v>
      </c>
      <c r="CS341" s="399">
        <v>0</v>
      </c>
      <c r="CT341" s="399">
        <v>0</v>
      </c>
      <c r="CU341" s="399">
        <v>0</v>
      </c>
      <c r="CV341" s="399">
        <v>0</v>
      </c>
      <c r="CW341" s="399">
        <v>0</v>
      </c>
      <c r="CX341" s="399">
        <v>0</v>
      </c>
      <c r="CY341" s="399">
        <v>0</v>
      </c>
      <c r="CZ341" s="399">
        <v>0</v>
      </c>
      <c r="DA341" s="399">
        <v>0</v>
      </c>
      <c r="DB341" s="399">
        <v>0</v>
      </c>
      <c r="DC341" s="399">
        <v>78025.960966009879</v>
      </c>
      <c r="DD341" s="399">
        <v>0</v>
      </c>
      <c r="DE341" s="399">
        <v>0</v>
      </c>
      <c r="DF341" s="399">
        <v>0</v>
      </c>
      <c r="DG341" s="399">
        <v>3190.5757187117852</v>
      </c>
      <c r="DH341" s="399">
        <v>0</v>
      </c>
      <c r="DI341" s="399">
        <v>-67083.954237768427</v>
      </c>
      <c r="DJ341" s="399"/>
      <c r="DK341" s="399">
        <v>0</v>
      </c>
      <c r="DL341" s="399">
        <v>0</v>
      </c>
      <c r="DM341" s="399">
        <v>0</v>
      </c>
      <c r="DN341" s="399">
        <v>0</v>
      </c>
      <c r="DO341" s="399">
        <v>-10051.907659723482</v>
      </c>
      <c r="DP341" s="399">
        <v>-767.01257067209917</v>
      </c>
      <c r="DQ341" s="399">
        <v>0</v>
      </c>
      <c r="DR341" s="399">
        <v>0</v>
      </c>
      <c r="DS341" s="399"/>
      <c r="DT341" s="399"/>
      <c r="DU341" s="399"/>
      <c r="DV341" s="399">
        <v>0</v>
      </c>
      <c r="DW341" s="399">
        <v>0</v>
      </c>
      <c r="DX341" s="399">
        <v>0</v>
      </c>
      <c r="DY341" s="399">
        <v>-74704.420559999999</v>
      </c>
      <c r="DZ341" s="399">
        <v>78033.494559999788</v>
      </c>
      <c r="EA341" s="399">
        <v>0</v>
      </c>
      <c r="EB341" s="399">
        <v>0</v>
      </c>
      <c r="EC341" s="399">
        <v>0</v>
      </c>
      <c r="ED341" s="399">
        <v>0</v>
      </c>
      <c r="EE341" s="399">
        <v>0</v>
      </c>
      <c r="EF341" s="399">
        <v>0</v>
      </c>
      <c r="EG341" s="399">
        <v>0</v>
      </c>
      <c r="EH341" s="399">
        <v>0</v>
      </c>
      <c r="EI341" s="399">
        <v>0</v>
      </c>
      <c r="EJ341" s="399">
        <v>0</v>
      </c>
      <c r="EK341" s="399">
        <v>0</v>
      </c>
      <c r="EL341" s="399">
        <v>0</v>
      </c>
      <c r="EM341" s="399">
        <v>0</v>
      </c>
      <c r="EN341" s="399">
        <v>0</v>
      </c>
      <c r="EO341" s="399">
        <v>0</v>
      </c>
      <c r="EP341" s="399">
        <v>370708.47488739307</v>
      </c>
      <c r="EQ341" s="399">
        <v>0</v>
      </c>
      <c r="ER341" s="399">
        <v>0</v>
      </c>
      <c r="ES341" s="399">
        <v>0</v>
      </c>
      <c r="ET341" s="399">
        <v>0</v>
      </c>
      <c r="EU341" s="399">
        <v>0</v>
      </c>
      <c r="EV341" s="399">
        <v>230</v>
      </c>
      <c r="EW341" s="399">
        <v>0</v>
      </c>
      <c r="EX341" s="399">
        <v>0</v>
      </c>
      <c r="EY341" s="399">
        <v>0</v>
      </c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340</v>
      </c>
      <c r="B342" s="399" t="s">
        <v>956</v>
      </c>
      <c r="C342" s="399" t="s">
        <v>2337</v>
      </c>
      <c r="D342" s="399" t="s">
        <v>533</v>
      </c>
      <c r="E342" s="399" t="s">
        <v>890</v>
      </c>
      <c r="F342" s="399" t="s">
        <v>1239</v>
      </c>
      <c r="G342" s="399" t="s">
        <v>1239</v>
      </c>
      <c r="H342" s="399" t="s">
        <v>1239</v>
      </c>
      <c r="I342" s="399" t="s">
        <v>1239</v>
      </c>
      <c r="J342" s="399" t="s">
        <v>2329</v>
      </c>
      <c r="K342" s="789">
        <v>44652</v>
      </c>
      <c r="L342" s="399">
        <v>51137</v>
      </c>
      <c r="M342" s="399">
        <v>51137</v>
      </c>
      <c r="N342" s="399">
        <v>0</v>
      </c>
      <c r="O342" s="399">
        <v>0</v>
      </c>
      <c r="P342" s="399">
        <v>0</v>
      </c>
      <c r="Q342" s="399">
        <v>0</v>
      </c>
      <c r="R342" s="399">
        <v>18.12</v>
      </c>
      <c r="S342" s="399"/>
      <c r="T342" s="399"/>
      <c r="U342" s="399">
        <v>926602.44000000006</v>
      </c>
      <c r="V342" s="399"/>
      <c r="W342" s="399">
        <v>926602.44000000006</v>
      </c>
      <c r="X342" s="399">
        <v>738929.64999999991</v>
      </c>
      <c r="Y342" s="399">
        <v>0</v>
      </c>
      <c r="Z342" s="399">
        <v>0</v>
      </c>
      <c r="AA342" s="399">
        <v>0</v>
      </c>
      <c r="AB342" s="399">
        <v>0</v>
      </c>
      <c r="AC342" s="399">
        <v>0</v>
      </c>
      <c r="AD342" s="399">
        <v>0</v>
      </c>
      <c r="AE342" s="399">
        <v>667794.92876689613</v>
      </c>
      <c r="AF342" s="399"/>
      <c r="AG342" s="399"/>
      <c r="AH342" s="399"/>
      <c r="AI342" s="399">
        <v>0</v>
      </c>
      <c r="AJ342" s="399">
        <v>0</v>
      </c>
      <c r="AK342" s="399">
        <v>0</v>
      </c>
      <c r="AL342" s="399">
        <v>0</v>
      </c>
      <c r="AM342" s="399"/>
      <c r="AN342" s="399">
        <v>0</v>
      </c>
      <c r="AO342" s="399">
        <v>40647.288256908665</v>
      </c>
      <c r="AP342" s="399">
        <v>217911.17401480075</v>
      </c>
      <c r="AQ342" s="399">
        <v>0</v>
      </c>
      <c r="AR342" s="399">
        <v>0</v>
      </c>
      <c r="AS342" s="399"/>
      <c r="AT342" s="399"/>
      <c r="AU342" s="399">
        <v>0</v>
      </c>
      <c r="AV342" s="399">
        <v>0</v>
      </c>
      <c r="AW342" s="399">
        <v>0</v>
      </c>
      <c r="AX342" s="399"/>
      <c r="AY342" s="399"/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/>
      <c r="BG342" s="399">
        <v>0</v>
      </c>
      <c r="BH342" s="399">
        <v>0</v>
      </c>
      <c r="BI342" s="399">
        <v>0</v>
      </c>
      <c r="BJ342" s="399">
        <v>0</v>
      </c>
      <c r="BK342" s="399">
        <v>1679916.71</v>
      </c>
      <c r="BL342" s="399">
        <v>98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>
        <v>0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738929.64999999991</v>
      </c>
      <c r="CJ342" s="399">
        <v>-187672.82000000018</v>
      </c>
      <c r="CK342" s="399"/>
      <c r="CL342" s="399"/>
      <c r="CM342" s="399"/>
      <c r="CN342" s="399"/>
      <c r="CO342" s="399">
        <v>-187672.7900000001</v>
      </c>
      <c r="CP342" s="399">
        <v>0</v>
      </c>
      <c r="CQ342" s="399">
        <v>30</v>
      </c>
      <c r="CR342" s="399">
        <v>18873.684421892453</v>
      </c>
      <c r="CS342" s="399">
        <v>2967.0817362782691</v>
      </c>
      <c r="CT342" s="399">
        <v>15906.602685614198</v>
      </c>
      <c r="CU342" s="399">
        <v>0</v>
      </c>
      <c r="CV342" s="399">
        <v>0</v>
      </c>
      <c r="CW342" s="399"/>
      <c r="CX342" s="399"/>
      <c r="CY342" s="399"/>
      <c r="CZ342" s="399">
        <v>0</v>
      </c>
      <c r="DA342" s="399">
        <v>0</v>
      </c>
      <c r="DB342" s="399">
        <v>0</v>
      </c>
      <c r="DC342" s="399"/>
      <c r="DD342" s="399"/>
      <c r="DE342" s="399">
        <v>0</v>
      </c>
      <c r="DF342" s="399">
        <v>0</v>
      </c>
      <c r="DG342" s="399">
        <v>0</v>
      </c>
      <c r="DH342" s="399">
        <v>0</v>
      </c>
      <c r="DI342" s="399">
        <v>0</v>
      </c>
      <c r="DJ342" s="399"/>
      <c r="DK342" s="399">
        <v>0</v>
      </c>
      <c r="DL342" s="399">
        <v>0</v>
      </c>
      <c r="DM342" s="399"/>
      <c r="DN342" s="399">
        <v>0</v>
      </c>
      <c r="DO342" s="399">
        <v>0</v>
      </c>
      <c r="DP342" s="399">
        <v>0</v>
      </c>
      <c r="DQ342" s="399">
        <v>0</v>
      </c>
      <c r="DR342" s="399">
        <v>0</v>
      </c>
      <c r="DS342" s="399"/>
      <c r="DT342" s="399"/>
      <c r="DU342" s="399">
        <v>667794.92876689613</v>
      </c>
      <c r="DV342" s="399"/>
      <c r="DW342" s="399">
        <v>0</v>
      </c>
      <c r="DX342" s="399">
        <v>0</v>
      </c>
      <c r="DY342" s="399">
        <v>-187672.79000000015</v>
      </c>
      <c r="DZ342" s="399"/>
      <c r="EA342" s="399">
        <v>0</v>
      </c>
      <c r="EB342" s="399"/>
      <c r="EC342" s="399">
        <v>-206482.80962698604</v>
      </c>
      <c r="ED342" s="399"/>
      <c r="EE342" s="399">
        <v>0</v>
      </c>
      <c r="EF342" s="399">
        <v>0</v>
      </c>
      <c r="EG342" s="399"/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/>
      <c r="EN342" s="399"/>
      <c r="EO342" s="399">
        <v>0</v>
      </c>
      <c r="EP342" s="399">
        <v>0</v>
      </c>
      <c r="EQ342" s="399"/>
      <c r="ER342" s="399">
        <v>0</v>
      </c>
      <c r="ES342" s="399"/>
      <c r="ET342" s="399">
        <v>0</v>
      </c>
      <c r="EU342" s="399"/>
      <c r="EV342" s="399">
        <v>230</v>
      </c>
      <c r="EW342" s="399"/>
      <c r="EX342" s="399"/>
      <c r="EY342" s="399"/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341</v>
      </c>
      <c r="B343" s="399" t="s">
        <v>956</v>
      </c>
      <c r="C343" s="399" t="s">
        <v>2328</v>
      </c>
      <c r="D343" s="399" t="s">
        <v>1826</v>
      </c>
      <c r="E343" s="399" t="s">
        <v>918</v>
      </c>
      <c r="F343" s="399" t="s">
        <v>1239</v>
      </c>
      <c r="G343" s="399" t="s">
        <v>1239</v>
      </c>
      <c r="H343" s="399" t="s">
        <v>1239</v>
      </c>
      <c r="I343" s="399" t="s">
        <v>1239</v>
      </c>
      <c r="J343" s="399" t="s">
        <v>2329</v>
      </c>
      <c r="K343" s="789">
        <v>44652</v>
      </c>
      <c r="L343" s="399">
        <v>0</v>
      </c>
      <c r="M343" s="399">
        <v>0</v>
      </c>
      <c r="N343" s="399">
        <v>1182.068</v>
      </c>
      <c r="O343" s="399">
        <v>1182.068</v>
      </c>
      <c r="P343" s="399">
        <v>1182.068</v>
      </c>
      <c r="Q343" s="399">
        <v>1182.068</v>
      </c>
      <c r="R343" s="399"/>
      <c r="S343" s="399">
        <v>333.61</v>
      </c>
      <c r="T343" s="399">
        <v>128.11000000000001</v>
      </c>
      <c r="U343" s="399"/>
      <c r="V343" s="399">
        <v>545784.43696000008</v>
      </c>
      <c r="W343" s="399">
        <v>545784.43696000008</v>
      </c>
      <c r="X343" s="399">
        <v>476408.86603999999</v>
      </c>
      <c r="Y343" s="399">
        <v>0</v>
      </c>
      <c r="Z343" s="399">
        <v>72361.53432141777</v>
      </c>
      <c r="AA343" s="399">
        <v>0</v>
      </c>
      <c r="AB343" s="399">
        <v>0</v>
      </c>
      <c r="AC343" s="399">
        <v>0</v>
      </c>
      <c r="AD343" s="399">
        <v>0</v>
      </c>
      <c r="AE343" s="399">
        <v>229907.7320899094</v>
      </c>
      <c r="AF343" s="399">
        <v>151435.9684257232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11175.094050173251</v>
      </c>
      <c r="AM343" s="399"/>
      <c r="AN343" s="399">
        <v>1017.0370115820913</v>
      </c>
      <c r="AO343" s="399">
        <v>4108.8922084399328</v>
      </c>
      <c r="AP343" s="399">
        <v>21918.656156874538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16038.736978511553</v>
      </c>
      <c r="BH343" s="399">
        <v>0</v>
      </c>
      <c r="BI343" s="399">
        <v>0</v>
      </c>
      <c r="BJ343" s="399">
        <v>0</v>
      </c>
      <c r="BK343" s="399">
        <v>203830.57</v>
      </c>
      <c r="BL343" s="399">
        <v>1667</v>
      </c>
      <c r="BM343" s="399"/>
      <c r="BN343" s="399"/>
      <c r="BO343" s="399"/>
      <c r="BP343" s="399"/>
      <c r="BQ343" s="399"/>
      <c r="BR343" s="399"/>
      <c r="BS343" s="399"/>
      <c r="BT343" s="399"/>
      <c r="BU343" s="399"/>
      <c r="BV343" s="399">
        <v>167474.70540423476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476409.67209999997</v>
      </c>
      <c r="CJ343" s="399">
        <v>-69374.79486000014</v>
      </c>
      <c r="CK343" s="399"/>
      <c r="CL343" s="399"/>
      <c r="CM343" s="399"/>
      <c r="CN343" s="399"/>
      <c r="CO343" s="399">
        <v>-76302.489400000006</v>
      </c>
      <c r="CP343" s="399">
        <v>6926.9184799999821</v>
      </c>
      <c r="CQ343" s="399">
        <v>30</v>
      </c>
      <c r="CR343" s="399">
        <v>1703.4981660481426</v>
      </c>
      <c r="CS343" s="399">
        <v>299.93191553009547</v>
      </c>
      <c r="CT343" s="399">
        <v>1599.9700633357097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0</v>
      </c>
      <c r="DA343" s="399">
        <v>0</v>
      </c>
      <c r="DB343" s="399">
        <v>0</v>
      </c>
      <c r="DC343" s="399">
        <v>6926.2497339477413</v>
      </c>
      <c r="DD343" s="399">
        <v>0</v>
      </c>
      <c r="DE343" s="399">
        <v>0</v>
      </c>
      <c r="DF343" s="399">
        <v>0</v>
      </c>
      <c r="DG343" s="399">
        <v>733.56613283547085</v>
      </c>
      <c r="DH343" s="399">
        <v>0</v>
      </c>
      <c r="DI343" s="399">
        <v>-6844.763101906181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-892.2930508238951</v>
      </c>
      <c r="DP343" s="399">
        <v>-119.16352687077881</v>
      </c>
      <c r="DQ343" s="399">
        <v>0</v>
      </c>
      <c r="DR343" s="399">
        <v>0</v>
      </c>
      <c r="DS343" s="399"/>
      <c r="DT343" s="399"/>
      <c r="DU343" s="399"/>
      <c r="DV343" s="399">
        <v>229907.7320899094</v>
      </c>
      <c r="DW343" s="399">
        <v>0</v>
      </c>
      <c r="DX343" s="399">
        <v>0</v>
      </c>
      <c r="DY343" s="399">
        <v>-76302.48940000002</v>
      </c>
      <c r="DZ343" s="399">
        <v>6926.918479999993</v>
      </c>
      <c r="EA343" s="399">
        <v>0</v>
      </c>
      <c r="EB343" s="399">
        <v>0</v>
      </c>
      <c r="EC343" s="399">
        <v>-71087.683406867611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37824.420449035249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230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342</v>
      </c>
      <c r="B344" s="399" t="s">
        <v>2331</v>
      </c>
      <c r="C344" s="399" t="s">
        <v>2328</v>
      </c>
      <c r="D344" s="399" t="s">
        <v>1826</v>
      </c>
      <c r="E344" s="399" t="s">
        <v>918</v>
      </c>
      <c r="F344" s="399" t="s">
        <v>1239</v>
      </c>
      <c r="G344" s="399" t="s">
        <v>1239</v>
      </c>
      <c r="H344" s="399" t="s">
        <v>1239</v>
      </c>
      <c r="I344" s="399" t="s">
        <v>1239</v>
      </c>
      <c r="J344" s="399" t="s">
        <v>2329</v>
      </c>
      <c r="K344" s="789">
        <v>44652</v>
      </c>
      <c r="L344" s="399">
        <v>0</v>
      </c>
      <c r="M344" s="399">
        <v>0</v>
      </c>
      <c r="N344" s="399">
        <v>2.09</v>
      </c>
      <c r="O344" s="399">
        <v>2.09</v>
      </c>
      <c r="P344" s="399">
        <v>2.09</v>
      </c>
      <c r="Q344" s="399">
        <v>2.09</v>
      </c>
      <c r="R344" s="399"/>
      <c r="S344" s="399">
        <v>333.61</v>
      </c>
      <c r="T344" s="399">
        <v>128.11000000000001</v>
      </c>
      <c r="U344" s="399"/>
      <c r="V344" s="399">
        <v>964.99480000000005</v>
      </c>
      <c r="W344" s="399">
        <v>964.99480000000005</v>
      </c>
      <c r="X344" s="399">
        <v>842.33269999999993</v>
      </c>
      <c r="Y344" s="399">
        <v>0</v>
      </c>
      <c r="Z344" s="399">
        <v>127.94154543711795</v>
      </c>
      <c r="AA344" s="399">
        <v>0</v>
      </c>
      <c r="AB344" s="399">
        <v>0</v>
      </c>
      <c r="AC344" s="399">
        <v>0</v>
      </c>
      <c r="AD344" s="399">
        <v>0</v>
      </c>
      <c r="AE344" s="399">
        <v>406.49705437243091</v>
      </c>
      <c r="AF344" s="399">
        <v>267.75208702863245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19.75854736348678</v>
      </c>
      <c r="AM344" s="399"/>
      <c r="AN344" s="399">
        <v>1.7982107240924976</v>
      </c>
      <c r="AO344" s="399">
        <v>7.2648821519907978</v>
      </c>
      <c r="AP344" s="399">
        <v>38.754108365904315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28.357895049260403</v>
      </c>
      <c r="BH344" s="399">
        <v>0</v>
      </c>
      <c r="BI344" s="399">
        <v>0</v>
      </c>
      <c r="BJ344" s="399">
        <v>0</v>
      </c>
      <c r="BK344" s="399">
        <v>1414.49</v>
      </c>
      <c r="BL344" s="399">
        <v>9</v>
      </c>
      <c r="BM344" s="399"/>
      <c r="BN344" s="399"/>
      <c r="BO344" s="399"/>
      <c r="BP344" s="399"/>
      <c r="BQ344" s="399"/>
      <c r="BR344" s="399"/>
      <c r="BS344" s="399"/>
      <c r="BT344" s="399"/>
      <c r="BU344" s="399"/>
      <c r="BV344" s="399">
        <v>296.10998207789282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842.33269999999993</v>
      </c>
      <c r="CJ344" s="399">
        <v>-122.6921000000001</v>
      </c>
      <c r="CK344" s="399"/>
      <c r="CL344" s="399"/>
      <c r="CM344" s="399"/>
      <c r="CN344" s="399"/>
      <c r="CO344" s="399">
        <v>-134.90950000000001</v>
      </c>
      <c r="CP344" s="399">
        <v>12.247399999999969</v>
      </c>
      <c r="CQ344" s="399">
        <v>30</v>
      </c>
      <c r="CR344" s="399">
        <v>3.0119343109200827</v>
      </c>
      <c r="CS344" s="399">
        <v>0.53030595825104854</v>
      </c>
      <c r="CT344" s="399">
        <v>2.8288875363952286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0</v>
      </c>
      <c r="DA344" s="399">
        <v>0</v>
      </c>
      <c r="DB344" s="399">
        <v>0</v>
      </c>
      <c r="DC344" s="399">
        <v>12.246217598269084</v>
      </c>
      <c r="DD344" s="399">
        <v>0</v>
      </c>
      <c r="DE344" s="399">
        <v>0</v>
      </c>
      <c r="DF344" s="399">
        <v>0</v>
      </c>
      <c r="DG344" s="399">
        <v>1.2970093240203866</v>
      </c>
      <c r="DH344" s="399">
        <v>0</v>
      </c>
      <c r="DI344" s="399">
        <v>-12.102142078953094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-1.5776524499622191</v>
      </c>
      <c r="DP344" s="399">
        <v>-0.21069157710041009</v>
      </c>
      <c r="DQ344" s="399">
        <v>0</v>
      </c>
      <c r="DR344" s="399">
        <v>0</v>
      </c>
      <c r="DS344" s="399"/>
      <c r="DT344" s="399"/>
      <c r="DU344" s="399"/>
      <c r="DV344" s="399">
        <v>406.49705437243091</v>
      </c>
      <c r="DW344" s="399">
        <v>0</v>
      </c>
      <c r="DX344" s="399">
        <v>0</v>
      </c>
      <c r="DY344" s="399">
        <v>-134.90950000000009</v>
      </c>
      <c r="DZ344" s="399">
        <v>12.247399999999971</v>
      </c>
      <c r="EA344" s="399">
        <v>0</v>
      </c>
      <c r="EB344" s="399">
        <v>0</v>
      </c>
      <c r="EC344" s="399">
        <v>-125.68926518639648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66.876896031771167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230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343</v>
      </c>
      <c r="B345" s="399" t="s">
        <v>956</v>
      </c>
      <c r="C345" s="399" t="s">
        <v>2337</v>
      </c>
      <c r="D345" s="399" t="s">
        <v>533</v>
      </c>
      <c r="E345" s="399" t="s">
        <v>918</v>
      </c>
      <c r="F345" s="399" t="s">
        <v>1239</v>
      </c>
      <c r="G345" s="399" t="s">
        <v>1239</v>
      </c>
      <c r="H345" s="399" t="s">
        <v>1239</v>
      </c>
      <c r="I345" s="399" t="s">
        <v>893</v>
      </c>
      <c r="J345" s="399" t="s">
        <v>2329</v>
      </c>
      <c r="K345" s="789">
        <v>44652</v>
      </c>
      <c r="L345" s="399">
        <v>0</v>
      </c>
      <c r="M345" s="399">
        <v>0</v>
      </c>
      <c r="N345" s="399">
        <v>33.695</v>
      </c>
      <c r="O345" s="399">
        <v>33.695</v>
      </c>
      <c r="P345" s="399">
        <v>33.695</v>
      </c>
      <c r="Q345" s="399">
        <v>33.695</v>
      </c>
      <c r="R345" s="399"/>
      <c r="S345" s="399">
        <v>1351.49</v>
      </c>
      <c r="T345" s="399">
        <v>128.11000000000001</v>
      </c>
      <c r="U345" s="399"/>
      <c r="V345" s="399">
        <v>49855.122000000003</v>
      </c>
      <c r="W345" s="399">
        <v>49855.122000000003</v>
      </c>
      <c r="X345" s="399">
        <v>38476.657449999999</v>
      </c>
      <c r="Y345" s="399">
        <v>0</v>
      </c>
      <c r="Z345" s="399">
        <v>1794.5270932766566</v>
      </c>
      <c r="AA345" s="399">
        <v>0</v>
      </c>
      <c r="AB345" s="399">
        <v>0</v>
      </c>
      <c r="AC345" s="399">
        <v>0</v>
      </c>
      <c r="AD345" s="399">
        <v>0</v>
      </c>
      <c r="AE345" s="399">
        <v>37871.314339580582</v>
      </c>
      <c r="AF345" s="399">
        <v>4316.7017092965407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318.54748967114216</v>
      </c>
      <c r="AM345" s="399"/>
      <c r="AN345" s="399">
        <v>16.564483992461454</v>
      </c>
      <c r="AO345" s="399">
        <v>699.93036845237259</v>
      </c>
      <c r="AP345" s="399">
        <v>3723.0305515291893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176.51514301251825</v>
      </c>
      <c r="BH345" s="399">
        <v>0</v>
      </c>
      <c r="BI345" s="399">
        <v>0</v>
      </c>
      <c r="BJ345" s="399">
        <v>0</v>
      </c>
      <c r="BK345" s="399">
        <v>0</v>
      </c>
      <c r="BL345" s="399">
        <v>0</v>
      </c>
      <c r="BM345" s="399"/>
      <c r="BN345" s="399"/>
      <c r="BO345" s="399"/>
      <c r="BP345" s="399"/>
      <c r="BQ345" s="399"/>
      <c r="BR345" s="399"/>
      <c r="BS345" s="399"/>
      <c r="BT345" s="399"/>
      <c r="BU345" s="399"/>
      <c r="BV345" s="399">
        <v>4493.2168523090586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38482.366999999998</v>
      </c>
      <c r="CJ345" s="399">
        <v>-11372.785000000011</v>
      </c>
      <c r="CK345" s="399"/>
      <c r="CL345" s="399"/>
      <c r="CM345" s="399"/>
      <c r="CN345" s="399"/>
      <c r="CO345" s="399">
        <v>-11575.917249999999</v>
      </c>
      <c r="CP345" s="399">
        <v>197.45269999999951</v>
      </c>
      <c r="CQ345" s="399">
        <v>30</v>
      </c>
      <c r="CR345" s="399">
        <v>331.24236823445426</v>
      </c>
      <c r="CS345" s="399">
        <v>51.091984286272464</v>
      </c>
      <c r="CT345" s="399">
        <v>271.76563128220641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0</v>
      </c>
      <c r="DA345" s="399">
        <v>0</v>
      </c>
      <c r="DB345" s="399">
        <v>0</v>
      </c>
      <c r="DC345" s="399">
        <v>197.43363730797955</v>
      </c>
      <c r="DD345" s="399">
        <v>0</v>
      </c>
      <c r="DE345" s="399">
        <v>0</v>
      </c>
      <c r="DF345" s="399">
        <v>0</v>
      </c>
      <c r="DG345" s="399">
        <v>8.073299725538817</v>
      </c>
      <c r="DH345" s="399">
        <v>0</v>
      </c>
      <c r="DI345" s="399">
        <v>-169.74643985396574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-25.434927895443536</v>
      </c>
      <c r="DP345" s="399">
        <v>-1.9408166181343809</v>
      </c>
      <c r="DQ345" s="399">
        <v>0</v>
      </c>
      <c r="DR345" s="399">
        <v>0</v>
      </c>
      <c r="DS345" s="399"/>
      <c r="DT345" s="399"/>
      <c r="DU345" s="399"/>
      <c r="DV345" s="399">
        <v>37871.314339580582</v>
      </c>
      <c r="DW345" s="399">
        <v>0</v>
      </c>
      <c r="DX345" s="399">
        <v>0</v>
      </c>
      <c r="DY345" s="399">
        <v>-11575.917249999999</v>
      </c>
      <c r="DZ345" s="399">
        <v>197.45269999999982</v>
      </c>
      <c r="EA345" s="399">
        <v>0</v>
      </c>
      <c r="EB345" s="399">
        <v>0</v>
      </c>
      <c r="EC345" s="399">
        <v>-11709.84542147207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938.02526328122394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230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344</v>
      </c>
      <c r="B346" s="399" t="s">
        <v>956</v>
      </c>
      <c r="C346" s="399" t="s">
        <v>2337</v>
      </c>
      <c r="D346" s="399" t="s">
        <v>533</v>
      </c>
      <c r="E346" s="399" t="s">
        <v>918</v>
      </c>
      <c r="F346" s="399" t="s">
        <v>1239</v>
      </c>
      <c r="G346" s="399" t="s">
        <v>1239</v>
      </c>
      <c r="H346" s="399" t="s">
        <v>1239</v>
      </c>
      <c r="I346" s="399" t="s">
        <v>2326</v>
      </c>
      <c r="J346" s="399" t="s">
        <v>2329</v>
      </c>
      <c r="K346" s="789">
        <v>44652</v>
      </c>
      <c r="L346" s="399">
        <v>0</v>
      </c>
      <c r="M346" s="399">
        <v>0</v>
      </c>
      <c r="N346" s="399">
        <v>415.10899999999998</v>
      </c>
      <c r="O346" s="399">
        <v>415.10899999999998</v>
      </c>
      <c r="P346" s="399">
        <v>415.10899999999998</v>
      </c>
      <c r="Q346" s="399">
        <v>415.10899999999998</v>
      </c>
      <c r="R346" s="399"/>
      <c r="S346" s="399">
        <v>96.28</v>
      </c>
      <c r="T346" s="399">
        <v>128.11000000000001</v>
      </c>
      <c r="U346" s="399"/>
      <c r="V346" s="399">
        <v>93146.308510000003</v>
      </c>
      <c r="W346" s="399">
        <v>93146.308510000003</v>
      </c>
      <c r="X346" s="399">
        <v>93250.085759999987</v>
      </c>
      <c r="Y346" s="399">
        <v>0</v>
      </c>
      <c r="Z346" s="399">
        <v>22107.860132452282</v>
      </c>
      <c r="AA346" s="399">
        <v>0</v>
      </c>
      <c r="AB346" s="399">
        <v>0</v>
      </c>
      <c r="AC346" s="399">
        <v>0</v>
      </c>
      <c r="AD346" s="399">
        <v>0</v>
      </c>
      <c r="AE346" s="399">
        <v>0</v>
      </c>
      <c r="AF346" s="399">
        <v>53180.048370511286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3924.3783911529354</v>
      </c>
      <c r="AM346" s="399"/>
      <c r="AN346" s="399">
        <v>204.06785533837905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2174.5963644690141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55354.644734980298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93250.310400000017</v>
      </c>
      <c r="CJ346" s="399">
        <v>103.97189000001526</v>
      </c>
      <c r="CK346" s="399"/>
      <c r="CL346" s="399"/>
      <c r="CM346" s="399"/>
      <c r="CN346" s="399"/>
      <c r="CO346" s="399">
        <v>-2328.7614899999999</v>
      </c>
      <c r="CP346" s="399">
        <v>2432.5387399999936</v>
      </c>
      <c r="CQ346" s="399">
        <v>30</v>
      </c>
      <c r="CR346" s="399">
        <v>103.2968183534831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0</v>
      </c>
      <c r="DA346" s="399">
        <v>0</v>
      </c>
      <c r="DB346" s="399">
        <v>0</v>
      </c>
      <c r="DC346" s="399">
        <v>2432.3038952152565</v>
      </c>
      <c r="DD346" s="399">
        <v>0</v>
      </c>
      <c r="DE346" s="399">
        <v>0</v>
      </c>
      <c r="DF346" s="399">
        <v>0</v>
      </c>
      <c r="DG346" s="399">
        <v>99.459841987496475</v>
      </c>
      <c r="DH346" s="399">
        <v>0</v>
      </c>
      <c r="DI346" s="399">
        <v>-2091.2086333681509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-313.34819657960134</v>
      </c>
      <c r="DP346" s="399">
        <v>-23.910088901532703</v>
      </c>
      <c r="DQ346" s="399">
        <v>0</v>
      </c>
      <c r="DR346" s="399">
        <v>0</v>
      </c>
      <c r="DS346" s="399"/>
      <c r="DT346" s="399"/>
      <c r="DU346" s="399"/>
      <c r="DV346" s="399">
        <v>0</v>
      </c>
      <c r="DW346" s="399">
        <v>0</v>
      </c>
      <c r="DX346" s="399">
        <v>0</v>
      </c>
      <c r="DY346" s="399">
        <v>-2328.7614899999971</v>
      </c>
      <c r="DZ346" s="399">
        <v>2432.538739999989</v>
      </c>
      <c r="EA346" s="399">
        <v>0</v>
      </c>
      <c r="EB346" s="399">
        <v>0</v>
      </c>
      <c r="EC346" s="399">
        <v>0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11556.098204938584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230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345</v>
      </c>
      <c r="B347" s="399" t="s">
        <v>956</v>
      </c>
      <c r="C347" s="399" t="s">
        <v>2337</v>
      </c>
      <c r="D347" s="399" t="s">
        <v>533</v>
      </c>
      <c r="E347" s="399" t="s">
        <v>918</v>
      </c>
      <c r="F347" s="399" t="s">
        <v>1239</v>
      </c>
      <c r="G347" s="399" t="s">
        <v>1239</v>
      </c>
      <c r="H347" s="399" t="s">
        <v>1239</v>
      </c>
      <c r="I347" s="399" t="s">
        <v>1239</v>
      </c>
      <c r="J347" s="399" t="s">
        <v>2329</v>
      </c>
      <c r="K347" s="789">
        <v>44652</v>
      </c>
      <c r="L347" s="399">
        <v>1710</v>
      </c>
      <c r="M347" s="399">
        <v>1710</v>
      </c>
      <c r="N347" s="399">
        <v>0</v>
      </c>
      <c r="O347" s="399">
        <v>0</v>
      </c>
      <c r="P347" s="399">
        <v>0</v>
      </c>
      <c r="Q347" s="399">
        <v>0</v>
      </c>
      <c r="R347" s="399">
        <v>18.12</v>
      </c>
      <c r="S347" s="399"/>
      <c r="T347" s="399"/>
      <c r="U347" s="399">
        <v>30985.200000000001</v>
      </c>
      <c r="V347" s="399"/>
      <c r="W347" s="399">
        <v>30985.200000000001</v>
      </c>
      <c r="X347" s="399">
        <v>24709.5</v>
      </c>
      <c r="Y347" s="399">
        <v>0</v>
      </c>
      <c r="Z347" s="399">
        <v>0</v>
      </c>
      <c r="AA347" s="399">
        <v>0</v>
      </c>
      <c r="AB347" s="399">
        <v>0</v>
      </c>
      <c r="AC347" s="399">
        <v>0</v>
      </c>
      <c r="AD347" s="399">
        <v>0</v>
      </c>
      <c r="AE347" s="399">
        <v>22330.7845237576</v>
      </c>
      <c r="AF347" s="399"/>
      <c r="AG347" s="399"/>
      <c r="AH347" s="399"/>
      <c r="AI347" s="399">
        <v>0</v>
      </c>
      <c r="AJ347" s="399">
        <v>0</v>
      </c>
      <c r="AK347" s="399">
        <v>0</v>
      </c>
      <c r="AL347" s="399">
        <v>0</v>
      </c>
      <c r="AM347" s="399"/>
      <c r="AN347" s="399">
        <v>0</v>
      </c>
      <c r="AO347" s="399">
        <v>1359.2284044686589</v>
      </c>
      <c r="AP347" s="399">
        <v>7286.8589781432092</v>
      </c>
      <c r="AQ347" s="399">
        <v>0</v>
      </c>
      <c r="AR347" s="399">
        <v>0</v>
      </c>
      <c r="AS347" s="399"/>
      <c r="AT347" s="399"/>
      <c r="AU347" s="399">
        <v>0</v>
      </c>
      <c r="AV347" s="399">
        <v>0</v>
      </c>
      <c r="AW347" s="399">
        <v>0</v>
      </c>
      <c r="AX347" s="399"/>
      <c r="AY347" s="399"/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/>
      <c r="BG347" s="399">
        <v>0</v>
      </c>
      <c r="BH347" s="399">
        <v>0</v>
      </c>
      <c r="BI347" s="399">
        <v>0</v>
      </c>
      <c r="BJ347" s="399">
        <v>0</v>
      </c>
      <c r="BK347" s="399">
        <v>56466.78</v>
      </c>
      <c r="BL347" s="399">
        <v>17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0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24709.5</v>
      </c>
      <c r="CJ347" s="399">
        <v>-6275.7299999999959</v>
      </c>
      <c r="CK347" s="399"/>
      <c r="CL347" s="399"/>
      <c r="CM347" s="399"/>
      <c r="CN347" s="399"/>
      <c r="CO347" s="399">
        <v>-6275.7000000000025</v>
      </c>
      <c r="CP347" s="399">
        <v>0</v>
      </c>
      <c r="CQ347" s="399">
        <v>30</v>
      </c>
      <c r="CR347" s="399">
        <v>631.12815302884701</v>
      </c>
      <c r="CS347" s="399">
        <v>99.217978548523433</v>
      </c>
      <c r="CT347" s="399">
        <v>531.91017448032289</v>
      </c>
      <c r="CU347" s="399">
        <v>0</v>
      </c>
      <c r="CV347" s="399">
        <v>0</v>
      </c>
      <c r="CW347" s="399"/>
      <c r="CX347" s="399"/>
      <c r="CY347" s="399"/>
      <c r="CZ347" s="399">
        <v>0</v>
      </c>
      <c r="DA347" s="399">
        <v>0</v>
      </c>
      <c r="DB347" s="399">
        <v>0</v>
      </c>
      <c r="DC347" s="399"/>
      <c r="DD347" s="399"/>
      <c r="DE347" s="399">
        <v>0</v>
      </c>
      <c r="DF347" s="399">
        <v>0</v>
      </c>
      <c r="DG347" s="399">
        <v>0</v>
      </c>
      <c r="DH347" s="399">
        <v>0</v>
      </c>
      <c r="DI347" s="399">
        <v>0</v>
      </c>
      <c r="DJ347" s="399"/>
      <c r="DK347" s="399">
        <v>0</v>
      </c>
      <c r="DL347" s="399">
        <v>0</v>
      </c>
      <c r="DM347" s="399"/>
      <c r="DN347" s="399">
        <v>0</v>
      </c>
      <c r="DO347" s="399">
        <v>0</v>
      </c>
      <c r="DP347" s="399">
        <v>0</v>
      </c>
      <c r="DQ347" s="399">
        <v>0</v>
      </c>
      <c r="DR347" s="399">
        <v>0</v>
      </c>
      <c r="DS347" s="399"/>
      <c r="DT347" s="399"/>
      <c r="DU347" s="399">
        <v>22330.7845237576</v>
      </c>
      <c r="DV347" s="399"/>
      <c r="DW347" s="399">
        <v>0</v>
      </c>
      <c r="DX347" s="399">
        <v>0</v>
      </c>
      <c r="DY347" s="399">
        <v>-6275.7000000000007</v>
      </c>
      <c r="DZ347" s="399"/>
      <c r="EA347" s="399">
        <v>0</v>
      </c>
      <c r="EB347" s="399"/>
      <c r="EC347" s="399">
        <v>-6904.6992287804551</v>
      </c>
      <c r="ED347" s="399"/>
      <c r="EE347" s="399">
        <v>0</v>
      </c>
      <c r="EF347" s="399">
        <v>0</v>
      </c>
      <c r="EG347" s="399"/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/>
      <c r="EN347" s="399"/>
      <c r="EO347" s="399">
        <v>0</v>
      </c>
      <c r="EP347" s="399">
        <v>0</v>
      </c>
      <c r="EQ347" s="399"/>
      <c r="ER347" s="399">
        <v>0</v>
      </c>
      <c r="ES347" s="399"/>
      <c r="ET347" s="399">
        <v>0</v>
      </c>
      <c r="EU347" s="399"/>
      <c r="EV347" s="399">
        <v>230</v>
      </c>
      <c r="EW347" s="399"/>
      <c r="EX347" s="399"/>
      <c r="EY347" s="399"/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346</v>
      </c>
      <c r="B348" s="399" t="s">
        <v>956</v>
      </c>
      <c r="C348" s="399" t="s">
        <v>2328</v>
      </c>
      <c r="D348" s="399" t="s">
        <v>2340</v>
      </c>
      <c r="E348" s="399" t="s">
        <v>894</v>
      </c>
      <c r="F348" s="399" t="s">
        <v>1239</v>
      </c>
      <c r="G348" s="399" t="s">
        <v>1239</v>
      </c>
      <c r="H348" s="399" t="s">
        <v>1239</v>
      </c>
      <c r="I348" s="399" t="s">
        <v>1239</v>
      </c>
      <c r="J348" s="399" t="s">
        <v>2329</v>
      </c>
      <c r="K348" s="789">
        <v>44652</v>
      </c>
      <c r="L348" s="399">
        <v>0</v>
      </c>
      <c r="M348" s="399">
        <v>0</v>
      </c>
      <c r="N348" s="399">
        <v>1138.578</v>
      </c>
      <c r="O348" s="399">
        <v>1138.578</v>
      </c>
      <c r="P348" s="399">
        <v>1138.578</v>
      </c>
      <c r="Q348" s="399">
        <v>1138.578</v>
      </c>
      <c r="R348" s="399"/>
      <c r="S348" s="399">
        <v>333.61</v>
      </c>
      <c r="T348" s="399">
        <v>128.11000000000001</v>
      </c>
      <c r="U348" s="399"/>
      <c r="V348" s="399">
        <v>525704.23415999999</v>
      </c>
      <c r="W348" s="399">
        <v>525704.23415999999</v>
      </c>
      <c r="X348" s="399">
        <v>458881.09133999993</v>
      </c>
      <c r="Y348" s="399">
        <v>0</v>
      </c>
      <c r="Z348" s="399">
        <v>69699.248287417649</v>
      </c>
      <c r="AA348" s="399">
        <v>0</v>
      </c>
      <c r="AB348" s="399">
        <v>0</v>
      </c>
      <c r="AC348" s="399">
        <v>0</v>
      </c>
      <c r="AD348" s="399">
        <v>0</v>
      </c>
      <c r="AE348" s="399">
        <v>221449.09242739409</v>
      </c>
      <c r="AF348" s="399">
        <v>145864.419016692</v>
      </c>
      <c r="AG348" s="399">
        <v>0</v>
      </c>
      <c r="AH348" s="399">
        <v>0</v>
      </c>
      <c r="AI348" s="399">
        <v>0</v>
      </c>
      <c r="AJ348" s="399">
        <v>0</v>
      </c>
      <c r="AK348" s="399">
        <v>0</v>
      </c>
      <c r="AL348" s="399">
        <v>10763.946095705289</v>
      </c>
      <c r="AM348" s="399"/>
      <c r="AN348" s="399">
        <v>979.61874153865449</v>
      </c>
      <c r="AO348" s="399">
        <v>3957.7200913154925</v>
      </c>
      <c r="AP348" s="399">
        <v>21112.236935423258</v>
      </c>
      <c r="AQ348" s="399">
        <v>0</v>
      </c>
      <c r="AR348" s="399">
        <v>0</v>
      </c>
      <c r="AS348" s="399">
        <v>0</v>
      </c>
      <c r="AT348" s="399">
        <v>0</v>
      </c>
      <c r="AU348" s="399">
        <v>0</v>
      </c>
      <c r="AV348" s="399">
        <v>0</v>
      </c>
      <c r="AW348" s="399">
        <v>0</v>
      </c>
      <c r="AX348" s="399">
        <v>0</v>
      </c>
      <c r="AY348" s="399">
        <v>0</v>
      </c>
      <c r="AZ348" s="399">
        <v>0</v>
      </c>
      <c r="BA348" s="399"/>
      <c r="BB348" s="399">
        <v>0</v>
      </c>
      <c r="BC348" s="399">
        <v>0</v>
      </c>
      <c r="BD348" s="399">
        <v>0</v>
      </c>
      <c r="BE348" s="399">
        <v>0</v>
      </c>
      <c r="BF348" s="399">
        <v>0</v>
      </c>
      <c r="BG348" s="399">
        <v>15448.648530811872</v>
      </c>
      <c r="BH348" s="399">
        <v>0</v>
      </c>
      <c r="BI348" s="399">
        <v>0</v>
      </c>
      <c r="BJ348" s="399">
        <v>0</v>
      </c>
      <c r="BK348" s="399">
        <v>116838.62</v>
      </c>
      <c r="BL348" s="399">
        <v>2330</v>
      </c>
      <c r="BM348" s="399"/>
      <c r="BN348" s="399"/>
      <c r="BO348" s="399"/>
      <c r="BP348" s="399"/>
      <c r="BQ348" s="399"/>
      <c r="BR348" s="399">
        <v>55073.017859999985</v>
      </c>
      <c r="BS348" s="399"/>
      <c r="BT348" s="399"/>
      <c r="BU348" s="399"/>
      <c r="BV348" s="399">
        <v>161313.06754750386</v>
      </c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>
        <v>403808.78279999999</v>
      </c>
      <c r="CJ348" s="399">
        <v>-58818.260160000005</v>
      </c>
      <c r="CK348" s="399"/>
      <c r="CL348" s="399"/>
      <c r="CM348" s="399"/>
      <c r="CN348" s="399"/>
      <c r="CO348" s="399">
        <v>-73495.209900000016</v>
      </c>
      <c r="CP348" s="399">
        <v>6672.0670799999834</v>
      </c>
      <c r="CQ348" s="399">
        <v>30</v>
      </c>
      <c r="CR348" s="399">
        <v>1640.8239922768553</v>
      </c>
      <c r="CS348" s="399">
        <v>288.89698437012476</v>
      </c>
      <c r="CT348" s="399">
        <v>1541.1048389539719</v>
      </c>
      <c r="CU348" s="399">
        <v>0</v>
      </c>
      <c r="CV348" s="399">
        <v>0</v>
      </c>
      <c r="CW348" s="399">
        <v>0</v>
      </c>
      <c r="CX348" s="399">
        <v>0</v>
      </c>
      <c r="CY348" s="399">
        <v>0</v>
      </c>
      <c r="CZ348" s="399">
        <v>0</v>
      </c>
      <c r="DA348" s="399">
        <v>0</v>
      </c>
      <c r="DB348" s="399">
        <v>0</v>
      </c>
      <c r="DC348" s="399">
        <v>6671.422938087082</v>
      </c>
      <c r="DD348" s="399">
        <v>0</v>
      </c>
      <c r="DE348" s="399">
        <v>0</v>
      </c>
      <c r="DF348" s="399">
        <v>0</v>
      </c>
      <c r="DG348" s="399">
        <v>706.577168480615</v>
      </c>
      <c r="DH348" s="399">
        <v>0</v>
      </c>
      <c r="DI348" s="399">
        <v>-6592.9343176891125</v>
      </c>
      <c r="DJ348" s="399"/>
      <c r="DK348" s="399">
        <v>0</v>
      </c>
      <c r="DL348" s="399">
        <v>0</v>
      </c>
      <c r="DM348" s="399">
        <v>0</v>
      </c>
      <c r="DN348" s="399">
        <v>0</v>
      </c>
      <c r="DO348" s="399">
        <v>-859.4642924273121</v>
      </c>
      <c r="DP348" s="399">
        <v>-114.77932749848355</v>
      </c>
      <c r="DQ348" s="399">
        <v>0</v>
      </c>
      <c r="DR348" s="399">
        <v>0</v>
      </c>
      <c r="DS348" s="399"/>
      <c r="DT348" s="399"/>
      <c r="DU348" s="399"/>
      <c r="DV348" s="399">
        <v>221449.09242739409</v>
      </c>
      <c r="DW348" s="399">
        <v>0</v>
      </c>
      <c r="DX348" s="399">
        <v>0</v>
      </c>
      <c r="DY348" s="399">
        <v>-73495.209900000016</v>
      </c>
      <c r="DZ348" s="399">
        <v>6672.0670799999789</v>
      </c>
      <c r="EA348" s="399">
        <v>0</v>
      </c>
      <c r="EB348" s="399">
        <v>0</v>
      </c>
      <c r="EC348" s="399">
        <v>-68472.26419971147</v>
      </c>
      <c r="ED348" s="399">
        <v>0</v>
      </c>
      <c r="EE348" s="399">
        <v>0</v>
      </c>
      <c r="EF348" s="399">
        <v>0</v>
      </c>
      <c r="EG348" s="399">
        <v>0</v>
      </c>
      <c r="EH348" s="399">
        <v>0</v>
      </c>
      <c r="EI348" s="399">
        <v>0</v>
      </c>
      <c r="EJ348" s="399">
        <v>0</v>
      </c>
      <c r="EK348" s="399">
        <v>0</v>
      </c>
      <c r="EL348" s="399">
        <v>0</v>
      </c>
      <c r="EM348" s="399">
        <v>0</v>
      </c>
      <c r="EN348" s="399">
        <v>0</v>
      </c>
      <c r="EO348" s="399">
        <v>0</v>
      </c>
      <c r="EP348" s="399">
        <v>36432.805038307153</v>
      </c>
      <c r="EQ348" s="399">
        <v>0</v>
      </c>
      <c r="ER348" s="399">
        <v>0</v>
      </c>
      <c r="ES348" s="399">
        <v>0</v>
      </c>
      <c r="ET348" s="399">
        <v>0</v>
      </c>
      <c r="EU348" s="399">
        <v>0</v>
      </c>
      <c r="EV348" s="399">
        <v>230</v>
      </c>
      <c r="EW348" s="399">
        <v>0</v>
      </c>
      <c r="EX348" s="399">
        <v>0</v>
      </c>
      <c r="EY348" s="399">
        <v>0</v>
      </c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347</v>
      </c>
      <c r="B349" s="399" t="s">
        <v>2331</v>
      </c>
      <c r="C349" s="399" t="s">
        <v>2328</v>
      </c>
      <c r="D349" s="399" t="s">
        <v>2340</v>
      </c>
      <c r="E349" s="399" t="s">
        <v>894</v>
      </c>
      <c r="F349" s="399" t="s">
        <v>1239</v>
      </c>
      <c r="G349" s="399" t="s">
        <v>1239</v>
      </c>
      <c r="H349" s="399" t="s">
        <v>1239</v>
      </c>
      <c r="I349" s="399" t="s">
        <v>1239</v>
      </c>
      <c r="J349" s="399" t="s">
        <v>2329</v>
      </c>
      <c r="K349" s="789">
        <v>44652</v>
      </c>
      <c r="L349" s="399">
        <v>0</v>
      </c>
      <c r="M349" s="399">
        <v>0</v>
      </c>
      <c r="N349" s="399">
        <v>37.817</v>
      </c>
      <c r="O349" s="399">
        <v>37.817</v>
      </c>
      <c r="P349" s="399">
        <v>37.817</v>
      </c>
      <c r="Q349" s="399">
        <v>37.817</v>
      </c>
      <c r="R349" s="399"/>
      <c r="S349" s="399">
        <v>333.61</v>
      </c>
      <c r="T349" s="399">
        <v>128.11000000000001</v>
      </c>
      <c r="U349" s="399"/>
      <c r="V349" s="399">
        <v>17460.865239999999</v>
      </c>
      <c r="W349" s="399">
        <v>17460.865239999999</v>
      </c>
      <c r="X349" s="399">
        <v>15241.38551</v>
      </c>
      <c r="Y349" s="399">
        <v>0</v>
      </c>
      <c r="Z349" s="399">
        <v>2315.0073798064545</v>
      </c>
      <c r="AA349" s="399">
        <v>0</v>
      </c>
      <c r="AB349" s="399">
        <v>0</v>
      </c>
      <c r="AC349" s="399">
        <v>0</v>
      </c>
      <c r="AD349" s="399">
        <v>0</v>
      </c>
      <c r="AE349" s="399">
        <v>7355.2627297618274</v>
      </c>
      <c r="AF349" s="399">
        <v>4844.7754426611455</v>
      </c>
      <c r="AG349" s="399">
        <v>0</v>
      </c>
      <c r="AH349" s="399">
        <v>0</v>
      </c>
      <c r="AI349" s="399">
        <v>0</v>
      </c>
      <c r="AJ349" s="399">
        <v>0</v>
      </c>
      <c r="AK349" s="399">
        <v>0</v>
      </c>
      <c r="AL349" s="399">
        <v>357.51626107415296</v>
      </c>
      <c r="AM349" s="399"/>
      <c r="AN349" s="399">
        <v>32.537289451199037</v>
      </c>
      <c r="AO349" s="399">
        <v>131.45265470901245</v>
      </c>
      <c r="AP349" s="399">
        <v>701.22684979588689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513.11507994156966</v>
      </c>
      <c r="BH349" s="399">
        <v>0</v>
      </c>
      <c r="BI349" s="399">
        <v>0</v>
      </c>
      <c r="BJ349" s="399">
        <v>0</v>
      </c>
      <c r="BK349" s="399">
        <v>8060.01</v>
      </c>
      <c r="BL349" s="399">
        <v>31</v>
      </c>
      <c r="BM349" s="399"/>
      <c r="BN349" s="399"/>
      <c r="BO349" s="399"/>
      <c r="BP349" s="399"/>
      <c r="BQ349" s="399"/>
      <c r="BR349" s="399">
        <v>1829.2082899999996</v>
      </c>
      <c r="BS349" s="399"/>
      <c r="BT349" s="399"/>
      <c r="BU349" s="399"/>
      <c r="BV349" s="399">
        <v>5357.8905226027155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13413.2412</v>
      </c>
      <c r="CJ349" s="399">
        <v>-1952.5922399999999</v>
      </c>
      <c r="CK349" s="399"/>
      <c r="CL349" s="399"/>
      <c r="CM349" s="399"/>
      <c r="CN349" s="399"/>
      <c r="CO349" s="399">
        <v>-2441.0873500000002</v>
      </c>
      <c r="CP349" s="399">
        <v>221.60761999999943</v>
      </c>
      <c r="CQ349" s="399">
        <v>30</v>
      </c>
      <c r="CR349" s="399">
        <v>54.498717624910569</v>
      </c>
      <c r="CS349" s="399">
        <v>9.5954930254449096</v>
      </c>
      <c r="CT349" s="399">
        <v>51.186621992276741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0</v>
      </c>
      <c r="DA349" s="399">
        <v>0</v>
      </c>
      <c r="DB349" s="399">
        <v>0</v>
      </c>
      <c r="DC349" s="399">
        <v>221.5862253175801</v>
      </c>
      <c r="DD349" s="399">
        <v>0</v>
      </c>
      <c r="DE349" s="399">
        <v>0</v>
      </c>
      <c r="DF349" s="399">
        <v>0</v>
      </c>
      <c r="DG349" s="399">
        <v>23.468421821281822</v>
      </c>
      <c r="DH349" s="399">
        <v>0</v>
      </c>
      <c r="DI349" s="399">
        <v>-218.97928564582253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-28.546451052737439</v>
      </c>
      <c r="DP349" s="399">
        <v>-3.8123078331130174</v>
      </c>
      <c r="DQ349" s="399">
        <v>0</v>
      </c>
      <c r="DR349" s="399">
        <v>0</v>
      </c>
      <c r="DS349" s="399"/>
      <c r="DT349" s="399"/>
      <c r="DU349" s="399"/>
      <c r="DV349" s="399">
        <v>7355.2627297618274</v>
      </c>
      <c r="DW349" s="399">
        <v>0</v>
      </c>
      <c r="DX349" s="399">
        <v>0</v>
      </c>
      <c r="DY349" s="399">
        <v>-2441.0873499999998</v>
      </c>
      <c r="DZ349" s="399">
        <v>221.60761999999977</v>
      </c>
      <c r="EA349" s="399">
        <v>0</v>
      </c>
      <c r="EB349" s="399">
        <v>0</v>
      </c>
      <c r="EC349" s="399">
        <v>-2274.2540390210315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1210.0878359968854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230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348</v>
      </c>
      <c r="B350" s="399" t="s">
        <v>956</v>
      </c>
      <c r="C350" s="399" t="s">
        <v>2328</v>
      </c>
      <c r="D350" s="399" t="s">
        <v>1826</v>
      </c>
      <c r="E350" s="399" t="s">
        <v>2341</v>
      </c>
      <c r="F350" s="399" t="s">
        <v>1239</v>
      </c>
      <c r="G350" s="399" t="s">
        <v>1239</v>
      </c>
      <c r="H350" s="399" t="s">
        <v>1239</v>
      </c>
      <c r="I350" s="399" t="s">
        <v>1239</v>
      </c>
      <c r="J350" s="399" t="s">
        <v>2329</v>
      </c>
      <c r="K350" s="789">
        <v>44652</v>
      </c>
      <c r="L350" s="399">
        <v>0</v>
      </c>
      <c r="M350" s="399">
        <v>0</v>
      </c>
      <c r="N350" s="399">
        <v>203.14</v>
      </c>
      <c r="O350" s="399">
        <v>203.14</v>
      </c>
      <c r="P350" s="399">
        <v>203.14</v>
      </c>
      <c r="Q350" s="399">
        <v>203.14</v>
      </c>
      <c r="R350" s="399"/>
      <c r="S350" s="399">
        <v>333.61</v>
      </c>
      <c r="T350" s="399">
        <v>128.11000000000001</v>
      </c>
      <c r="U350" s="399"/>
      <c r="V350" s="399">
        <v>93793.800799999997</v>
      </c>
      <c r="W350" s="399">
        <v>93793.800799999997</v>
      </c>
      <c r="X350" s="399">
        <v>81871.514199999991</v>
      </c>
      <c r="Y350" s="399">
        <v>0</v>
      </c>
      <c r="Z350" s="399">
        <v>12435.428488084279</v>
      </c>
      <c r="AA350" s="399">
        <v>0</v>
      </c>
      <c r="AB350" s="399">
        <v>0</v>
      </c>
      <c r="AC350" s="399">
        <v>0</v>
      </c>
      <c r="AD350" s="399">
        <v>0</v>
      </c>
      <c r="AE350" s="399">
        <v>39509.957715414166</v>
      </c>
      <c r="AF350" s="399">
        <v>26024.477970811669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1920.45517292761</v>
      </c>
      <c r="AM350" s="399"/>
      <c r="AN350" s="399">
        <v>174.77919927854066</v>
      </c>
      <c r="AO350" s="399">
        <v>706.11873701215825</v>
      </c>
      <c r="AP350" s="399">
        <v>3766.7509920812454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2756.2788518214152</v>
      </c>
      <c r="BH350" s="399">
        <v>0</v>
      </c>
      <c r="BI350" s="399">
        <v>0</v>
      </c>
      <c r="BJ350" s="399">
        <v>0</v>
      </c>
      <c r="BK350" s="399">
        <v>29406.09</v>
      </c>
      <c r="BL350" s="399">
        <v>219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28780.756822633084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81871.514199999991</v>
      </c>
      <c r="CJ350" s="399">
        <v>-11922.316599999991</v>
      </c>
      <c r="CK350" s="399"/>
      <c r="CL350" s="399"/>
      <c r="CM350" s="399"/>
      <c r="CN350" s="399"/>
      <c r="CO350" s="399">
        <v>-13112.687000000002</v>
      </c>
      <c r="CP350" s="399">
        <v>1190.4003999999968</v>
      </c>
      <c r="CQ350" s="399">
        <v>30</v>
      </c>
      <c r="CR350" s="399">
        <v>292.74848608627508</v>
      </c>
      <c r="CS350" s="399">
        <v>51.543709262735774</v>
      </c>
      <c r="CT350" s="399">
        <v>274.95704025996474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0</v>
      </c>
      <c r="DA350" s="399">
        <v>0</v>
      </c>
      <c r="DB350" s="399">
        <v>0</v>
      </c>
      <c r="DC350" s="399">
        <v>1190.2854750776969</v>
      </c>
      <c r="DD350" s="399">
        <v>0</v>
      </c>
      <c r="DE350" s="399">
        <v>0</v>
      </c>
      <c r="DF350" s="399">
        <v>0</v>
      </c>
      <c r="DG350" s="399">
        <v>126.06434166579038</v>
      </c>
      <c r="DH350" s="399">
        <v>0</v>
      </c>
      <c r="DI350" s="399">
        <v>-1176.2818860854222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-153.34177927527526</v>
      </c>
      <c r="DP350" s="399">
        <v>-20.478414819223588</v>
      </c>
      <c r="DQ350" s="399">
        <v>0</v>
      </c>
      <c r="DR350" s="399">
        <v>0</v>
      </c>
      <c r="DS350" s="399"/>
      <c r="DT350" s="399"/>
      <c r="DU350" s="399"/>
      <c r="DV350" s="399">
        <v>39509.957715414166</v>
      </c>
      <c r="DW350" s="399">
        <v>0</v>
      </c>
      <c r="DX350" s="399">
        <v>0</v>
      </c>
      <c r="DY350" s="399">
        <v>-13112.686999999998</v>
      </c>
      <c r="DZ350" s="399">
        <v>1190.4003999999986</v>
      </c>
      <c r="EA350" s="399">
        <v>0</v>
      </c>
      <c r="EB350" s="399">
        <v>0</v>
      </c>
      <c r="EC350" s="399">
        <v>-12216.515468882575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6500.178306169375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230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349</v>
      </c>
      <c r="B351" s="399" t="s">
        <v>956</v>
      </c>
      <c r="C351" s="399" t="s">
        <v>2337</v>
      </c>
      <c r="D351" s="399" t="s">
        <v>533</v>
      </c>
      <c r="E351" s="399" t="s">
        <v>2341</v>
      </c>
      <c r="F351" s="399" t="s">
        <v>1239</v>
      </c>
      <c r="G351" s="399" t="s">
        <v>1239</v>
      </c>
      <c r="H351" s="399" t="s">
        <v>1239</v>
      </c>
      <c r="I351" s="399" t="s">
        <v>893</v>
      </c>
      <c r="J351" s="399" t="s">
        <v>2329</v>
      </c>
      <c r="K351" s="789">
        <v>44652</v>
      </c>
      <c r="L351" s="399">
        <v>0</v>
      </c>
      <c r="M351" s="399">
        <v>0</v>
      </c>
      <c r="N351" s="399">
        <v>1.74</v>
      </c>
      <c r="O351" s="399">
        <v>1.74</v>
      </c>
      <c r="P351" s="399">
        <v>1.74</v>
      </c>
      <c r="Q351" s="399">
        <v>1.74</v>
      </c>
      <c r="R351" s="399"/>
      <c r="S351" s="399">
        <v>1351.49</v>
      </c>
      <c r="T351" s="399">
        <v>128.11000000000001</v>
      </c>
      <c r="U351" s="399"/>
      <c r="V351" s="399">
        <v>2574.5039999999999</v>
      </c>
      <c r="W351" s="399">
        <v>2574.5039999999999</v>
      </c>
      <c r="X351" s="399">
        <v>1986.9234000000001</v>
      </c>
      <c r="Y351" s="399">
        <v>0</v>
      </c>
      <c r="Z351" s="399">
        <v>92.668857168760425</v>
      </c>
      <c r="AA351" s="399">
        <v>0</v>
      </c>
      <c r="AB351" s="399">
        <v>0</v>
      </c>
      <c r="AC351" s="399">
        <v>0</v>
      </c>
      <c r="AD351" s="399">
        <v>0</v>
      </c>
      <c r="AE351" s="399">
        <v>1955.6636578385583</v>
      </c>
      <c r="AF351" s="399">
        <v>222.9132207798184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16.449699718883732</v>
      </c>
      <c r="AM351" s="399"/>
      <c r="AN351" s="399">
        <v>0.85538513568431318</v>
      </c>
      <c r="AO351" s="399">
        <v>36.144200656095215</v>
      </c>
      <c r="AP351" s="399">
        <v>192.25621485860779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9.1151906467363624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232.02841142655475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1986.9234000000001</v>
      </c>
      <c r="CJ351" s="399">
        <v>-587.61060000000043</v>
      </c>
      <c r="CK351" s="399"/>
      <c r="CL351" s="399"/>
      <c r="CM351" s="399"/>
      <c r="CN351" s="399"/>
      <c r="CO351" s="399">
        <v>-597.77699999999993</v>
      </c>
      <c r="CP351" s="399">
        <v>10.196399999999974</v>
      </c>
      <c r="CQ351" s="399">
        <v>30</v>
      </c>
      <c r="CR351" s="399">
        <v>17.105259555659472</v>
      </c>
      <c r="CS351" s="399">
        <v>2.6383752087287178</v>
      </c>
      <c r="CT351" s="399">
        <v>14.033898157917776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0</v>
      </c>
      <c r="DA351" s="399">
        <v>0</v>
      </c>
      <c r="DB351" s="399">
        <v>0</v>
      </c>
      <c r="DC351" s="399">
        <v>10.195415608128343</v>
      </c>
      <c r="DD351" s="399">
        <v>0</v>
      </c>
      <c r="DE351" s="399">
        <v>0</v>
      </c>
      <c r="DF351" s="399">
        <v>0</v>
      </c>
      <c r="DG351" s="399">
        <v>0.41690284975330272</v>
      </c>
      <c r="DH351" s="399">
        <v>0</v>
      </c>
      <c r="DI351" s="399">
        <v>-8.7656567842677049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-1.3134522789159142</v>
      </c>
      <c r="DP351" s="399">
        <v>-0.10022320568493315</v>
      </c>
      <c r="DQ351" s="399">
        <v>0</v>
      </c>
      <c r="DR351" s="399">
        <v>0</v>
      </c>
      <c r="DS351" s="399"/>
      <c r="DT351" s="399"/>
      <c r="DU351" s="399"/>
      <c r="DV351" s="399">
        <v>1955.6636578385583</v>
      </c>
      <c r="DW351" s="399">
        <v>0</v>
      </c>
      <c r="DX351" s="399">
        <v>0</v>
      </c>
      <c r="DY351" s="399">
        <v>-597.77699999999982</v>
      </c>
      <c r="DZ351" s="399">
        <v>10.196399999999983</v>
      </c>
      <c r="EA351" s="399">
        <v>0</v>
      </c>
      <c r="EB351" s="399">
        <v>0</v>
      </c>
      <c r="EC351" s="399">
        <v>-604.69301182256731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48.439351776504814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230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350</v>
      </c>
      <c r="B352" s="399" t="s">
        <v>956</v>
      </c>
      <c r="C352" s="399" t="s">
        <v>2337</v>
      </c>
      <c r="D352" s="399" t="s">
        <v>533</v>
      </c>
      <c r="E352" s="399" t="s">
        <v>2341</v>
      </c>
      <c r="F352" s="399" t="s">
        <v>1239</v>
      </c>
      <c r="G352" s="399" t="s">
        <v>1239</v>
      </c>
      <c r="H352" s="399" t="s">
        <v>1239</v>
      </c>
      <c r="I352" s="399" t="s">
        <v>2326</v>
      </c>
      <c r="J352" s="399" t="s">
        <v>2329</v>
      </c>
      <c r="K352" s="789">
        <v>44652</v>
      </c>
      <c r="L352" s="399">
        <v>0</v>
      </c>
      <c r="M352" s="399">
        <v>0</v>
      </c>
      <c r="N352" s="399">
        <v>22.367000000000001</v>
      </c>
      <c r="O352" s="399">
        <v>22.367000000000001</v>
      </c>
      <c r="P352" s="399">
        <v>22.367000000000001</v>
      </c>
      <c r="Q352" s="399">
        <v>22.367000000000001</v>
      </c>
      <c r="R352" s="399"/>
      <c r="S352" s="399">
        <v>96.28</v>
      </c>
      <c r="T352" s="399">
        <v>128.11000000000001</v>
      </c>
      <c r="U352" s="399"/>
      <c r="V352" s="399">
        <v>5018.9311300000008</v>
      </c>
      <c r="W352" s="399">
        <v>5018.9311300000008</v>
      </c>
      <c r="X352" s="399">
        <v>5024.5228800000004</v>
      </c>
      <c r="Y352" s="399">
        <v>0</v>
      </c>
      <c r="Z352" s="399">
        <v>1191.2208783296924</v>
      </c>
      <c r="AA352" s="399">
        <v>0</v>
      </c>
      <c r="AB352" s="399">
        <v>0</v>
      </c>
      <c r="AC352" s="399">
        <v>0</v>
      </c>
      <c r="AD352" s="399">
        <v>0</v>
      </c>
      <c r="AE352" s="399">
        <v>0</v>
      </c>
      <c r="AF352" s="399">
        <v>2865.459775392068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211.45427219096121</v>
      </c>
      <c r="AM352" s="399"/>
      <c r="AN352" s="399">
        <v>10.995631798764961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117.17210873307599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2982.6318841251441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5025.1967999999997</v>
      </c>
      <c r="CJ352" s="399">
        <v>6.2356699999982084</v>
      </c>
      <c r="CK352" s="399"/>
      <c r="CL352" s="399"/>
      <c r="CM352" s="399"/>
      <c r="CN352" s="399"/>
      <c r="CO352" s="399">
        <v>-125.47886999999999</v>
      </c>
      <c r="CP352" s="399">
        <v>131.07061999999968</v>
      </c>
      <c r="CQ352" s="399">
        <v>30</v>
      </c>
      <c r="CR352" s="399">
        <v>5.5658632699169175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0</v>
      </c>
      <c r="DA352" s="399">
        <v>0</v>
      </c>
      <c r="DB352" s="399">
        <v>0</v>
      </c>
      <c r="DC352" s="399">
        <v>131.05796603850968</v>
      </c>
      <c r="DD352" s="399">
        <v>0</v>
      </c>
      <c r="DE352" s="399">
        <v>0</v>
      </c>
      <c r="DF352" s="399">
        <v>0</v>
      </c>
      <c r="DG352" s="399">
        <v>5.3591184140414612</v>
      </c>
      <c r="DH352" s="399">
        <v>0</v>
      </c>
      <c r="DI352" s="399">
        <v>-112.67899154811266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-16.883900645121997</v>
      </c>
      <c r="DP352" s="399">
        <v>-1.2883289893993677</v>
      </c>
      <c r="DQ352" s="399">
        <v>0</v>
      </c>
      <c r="DR352" s="399">
        <v>0</v>
      </c>
      <c r="DS352" s="399"/>
      <c r="DT352" s="399"/>
      <c r="DU352" s="399"/>
      <c r="DV352" s="399">
        <v>0</v>
      </c>
      <c r="DW352" s="399">
        <v>0</v>
      </c>
      <c r="DX352" s="399">
        <v>0</v>
      </c>
      <c r="DY352" s="399">
        <v>-125.47886999999992</v>
      </c>
      <c r="DZ352" s="399">
        <v>131.07061999999996</v>
      </c>
      <c r="EA352" s="399">
        <v>0</v>
      </c>
      <c r="EB352" s="399">
        <v>0</v>
      </c>
      <c r="EC352" s="399">
        <v>0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622.66837999142706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230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351</v>
      </c>
      <c r="B353" s="399" t="s">
        <v>956</v>
      </c>
      <c r="C353" s="399" t="s">
        <v>2337</v>
      </c>
      <c r="D353" s="399" t="s">
        <v>533</v>
      </c>
      <c r="E353" s="399" t="s">
        <v>2341</v>
      </c>
      <c r="F353" s="399" t="s">
        <v>1239</v>
      </c>
      <c r="G353" s="399" t="s">
        <v>1239</v>
      </c>
      <c r="H353" s="399" t="s">
        <v>1239</v>
      </c>
      <c r="I353" s="399" t="s">
        <v>1239</v>
      </c>
      <c r="J353" s="399" t="s">
        <v>2329</v>
      </c>
      <c r="K353" s="789">
        <v>44652</v>
      </c>
      <c r="L353" s="399">
        <v>320</v>
      </c>
      <c r="M353" s="399">
        <v>320</v>
      </c>
      <c r="N353" s="399">
        <v>0</v>
      </c>
      <c r="O353" s="399">
        <v>0</v>
      </c>
      <c r="P353" s="399">
        <v>0</v>
      </c>
      <c r="Q353" s="399">
        <v>0</v>
      </c>
      <c r="R353" s="399">
        <v>18.12</v>
      </c>
      <c r="S353" s="399"/>
      <c r="T353" s="399"/>
      <c r="U353" s="399">
        <v>5798.4000000000005</v>
      </c>
      <c r="V353" s="399"/>
      <c r="W353" s="399">
        <v>5798.4000000000005</v>
      </c>
      <c r="X353" s="399">
        <v>4624</v>
      </c>
      <c r="Y353" s="399">
        <v>0</v>
      </c>
      <c r="Z353" s="399">
        <v>0</v>
      </c>
      <c r="AA353" s="399">
        <v>0</v>
      </c>
      <c r="AB353" s="399">
        <v>0</v>
      </c>
      <c r="AC353" s="399">
        <v>0</v>
      </c>
      <c r="AD353" s="399">
        <v>0</v>
      </c>
      <c r="AE353" s="399">
        <v>4178.8602617558081</v>
      </c>
      <c r="AF353" s="399"/>
      <c r="AG353" s="399"/>
      <c r="AH353" s="399"/>
      <c r="AI353" s="399">
        <v>0</v>
      </c>
      <c r="AJ353" s="399">
        <v>0</v>
      </c>
      <c r="AK353" s="399">
        <v>0</v>
      </c>
      <c r="AL353" s="399">
        <v>0</v>
      </c>
      <c r="AM353" s="399"/>
      <c r="AN353" s="399">
        <v>0</v>
      </c>
      <c r="AO353" s="399">
        <v>254.35853183039231</v>
      </c>
      <c r="AP353" s="399">
        <v>1363.6227327519455</v>
      </c>
      <c r="AQ353" s="399">
        <v>0</v>
      </c>
      <c r="AR353" s="399">
        <v>0</v>
      </c>
      <c r="AS353" s="399"/>
      <c r="AT353" s="399"/>
      <c r="AU353" s="399">
        <v>0</v>
      </c>
      <c r="AV353" s="399">
        <v>0</v>
      </c>
      <c r="AW353" s="399">
        <v>0</v>
      </c>
      <c r="AX353" s="399"/>
      <c r="AY353" s="399"/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/>
      <c r="BG353" s="399">
        <v>0</v>
      </c>
      <c r="BH353" s="399">
        <v>0</v>
      </c>
      <c r="BI353" s="399">
        <v>0</v>
      </c>
      <c r="BJ353" s="399">
        <v>0</v>
      </c>
      <c r="BK353" s="399">
        <v>3923.9</v>
      </c>
      <c r="BL353" s="399">
        <v>3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0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4624</v>
      </c>
      <c r="CJ353" s="399">
        <v>-1174.4300000000012</v>
      </c>
      <c r="CK353" s="399"/>
      <c r="CL353" s="399"/>
      <c r="CM353" s="399"/>
      <c r="CN353" s="399"/>
      <c r="CO353" s="399">
        <v>-1174.4000000000005</v>
      </c>
      <c r="CP353" s="399">
        <v>0</v>
      </c>
      <c r="CQ353" s="399">
        <v>30</v>
      </c>
      <c r="CR353" s="399">
        <v>118.1058531983806</v>
      </c>
      <c r="CS353" s="399">
        <v>18.567107096799731</v>
      </c>
      <c r="CT353" s="399">
        <v>99.538746101580955</v>
      </c>
      <c r="CU353" s="399">
        <v>0</v>
      </c>
      <c r="CV353" s="399">
        <v>0</v>
      </c>
      <c r="CW353" s="399"/>
      <c r="CX353" s="399"/>
      <c r="CY353" s="399"/>
      <c r="CZ353" s="399">
        <v>0</v>
      </c>
      <c r="DA353" s="399">
        <v>0</v>
      </c>
      <c r="DB353" s="399">
        <v>0</v>
      </c>
      <c r="DC353" s="399"/>
      <c r="DD353" s="399"/>
      <c r="DE353" s="399">
        <v>0</v>
      </c>
      <c r="DF353" s="399">
        <v>0</v>
      </c>
      <c r="DG353" s="399">
        <v>0</v>
      </c>
      <c r="DH353" s="399">
        <v>0</v>
      </c>
      <c r="DI353" s="399">
        <v>0</v>
      </c>
      <c r="DJ353" s="399"/>
      <c r="DK353" s="399">
        <v>0</v>
      </c>
      <c r="DL353" s="399">
        <v>0</v>
      </c>
      <c r="DM353" s="399"/>
      <c r="DN353" s="399">
        <v>0</v>
      </c>
      <c r="DO353" s="399">
        <v>0</v>
      </c>
      <c r="DP353" s="399">
        <v>0</v>
      </c>
      <c r="DQ353" s="399">
        <v>0</v>
      </c>
      <c r="DR353" s="399">
        <v>0</v>
      </c>
      <c r="DS353" s="399"/>
      <c r="DT353" s="399"/>
      <c r="DU353" s="399">
        <v>4178.8602617558081</v>
      </c>
      <c r="DV353" s="399"/>
      <c r="DW353" s="399">
        <v>0</v>
      </c>
      <c r="DX353" s="399">
        <v>0</v>
      </c>
      <c r="DY353" s="399">
        <v>-1174.4000000000005</v>
      </c>
      <c r="DZ353" s="399"/>
      <c r="EA353" s="399">
        <v>0</v>
      </c>
      <c r="EB353" s="399"/>
      <c r="EC353" s="399">
        <v>-1292.1074580173949</v>
      </c>
      <c r="ED353" s="399"/>
      <c r="EE353" s="399">
        <v>0</v>
      </c>
      <c r="EF353" s="399">
        <v>0</v>
      </c>
      <c r="EG353" s="399"/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/>
      <c r="EN353" s="399"/>
      <c r="EO353" s="399">
        <v>0</v>
      </c>
      <c r="EP353" s="399">
        <v>0</v>
      </c>
      <c r="EQ353" s="399"/>
      <c r="ER353" s="399">
        <v>0</v>
      </c>
      <c r="ES353" s="399"/>
      <c r="ET353" s="399">
        <v>0</v>
      </c>
      <c r="EU353" s="399"/>
      <c r="EV353" s="399">
        <v>230</v>
      </c>
      <c r="EW353" s="399"/>
      <c r="EX353" s="399"/>
      <c r="EY353" s="399"/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352</v>
      </c>
      <c r="B354" s="399" t="s">
        <v>956</v>
      </c>
      <c r="C354" s="399" t="s">
        <v>2328</v>
      </c>
      <c r="D354" s="399" t="s">
        <v>2342</v>
      </c>
      <c r="E354" s="399" t="s">
        <v>2343</v>
      </c>
      <c r="F354" s="399" t="s">
        <v>2344</v>
      </c>
      <c r="G354" s="399" t="s">
        <v>1239</v>
      </c>
      <c r="H354" s="399" t="s">
        <v>1239</v>
      </c>
      <c r="I354" s="399" t="s">
        <v>1239</v>
      </c>
      <c r="J354" s="399" t="s">
        <v>2329</v>
      </c>
      <c r="K354" s="789">
        <v>44652</v>
      </c>
      <c r="L354" s="399">
        <v>0</v>
      </c>
      <c r="M354" s="399">
        <v>0</v>
      </c>
      <c r="N354" s="399">
        <v>916.23199999999997</v>
      </c>
      <c r="O354" s="399">
        <v>916.23199999999997</v>
      </c>
      <c r="P354" s="399">
        <v>916.23199999999997</v>
      </c>
      <c r="Q354" s="399">
        <v>916.23199999999997</v>
      </c>
      <c r="R354" s="399"/>
      <c r="S354" s="399">
        <v>183.49</v>
      </c>
      <c r="T354" s="399">
        <v>70.459999999999994</v>
      </c>
      <c r="U354" s="399"/>
      <c r="V354" s="399">
        <v>232677.1164</v>
      </c>
      <c r="W354" s="399">
        <v>232677.1164</v>
      </c>
      <c r="X354" s="399">
        <v>203091.98511999997</v>
      </c>
      <c r="Y354" s="399">
        <v>0</v>
      </c>
      <c r="Z354" s="399">
        <v>30848.457383931971</v>
      </c>
      <c r="AA354" s="399">
        <v>0</v>
      </c>
      <c r="AB354" s="399">
        <v>0</v>
      </c>
      <c r="AC354" s="399">
        <v>0</v>
      </c>
      <c r="AD354" s="399">
        <v>0</v>
      </c>
      <c r="AE354" s="399">
        <v>98012.002400463854</v>
      </c>
      <c r="AF354" s="399">
        <v>64558.692158531281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4764.0561494584754</v>
      </c>
      <c r="AM354" s="399"/>
      <c r="AN354" s="399">
        <v>433.5732126728202</v>
      </c>
      <c r="AO354" s="399">
        <v>1751.6625010218006</v>
      </c>
      <c r="AP354" s="399">
        <v>9344.1458463971503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6837.4765517825972</v>
      </c>
      <c r="BH354" s="399">
        <v>0</v>
      </c>
      <c r="BI354" s="399">
        <v>0</v>
      </c>
      <c r="BJ354" s="399">
        <v>0</v>
      </c>
      <c r="BK354" s="399">
        <v>89381.39</v>
      </c>
      <c r="BL354" s="399">
        <v>5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71396.168710313883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203091.54180000001</v>
      </c>
      <c r="CJ354" s="399">
        <v>-29585.604600000021</v>
      </c>
      <c r="CK354" s="399"/>
      <c r="CL354" s="399"/>
      <c r="CM354" s="399"/>
      <c r="CN354" s="399"/>
      <c r="CO354" s="399">
        <v>-32535.398320000018</v>
      </c>
      <c r="CP354" s="399">
        <v>2950.267040000012</v>
      </c>
      <c r="CQ354" s="399">
        <v>30</v>
      </c>
      <c r="CR354" s="399">
        <v>726.21857830591034</v>
      </c>
      <c r="CS354" s="399">
        <v>127.86402335270418</v>
      </c>
      <c r="CT354" s="399">
        <v>682.08349611752965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0</v>
      </c>
      <c r="DA354" s="399">
        <v>0</v>
      </c>
      <c r="DB354" s="399">
        <v>0</v>
      </c>
      <c r="DC354" s="399">
        <v>2952.7306427622971</v>
      </c>
      <c r="DD354" s="399">
        <v>0</v>
      </c>
      <c r="DE354" s="399">
        <v>0</v>
      </c>
      <c r="DF354" s="399">
        <v>0</v>
      </c>
      <c r="DG354" s="399">
        <v>312.72669657000642</v>
      </c>
      <c r="DH354" s="399">
        <v>0</v>
      </c>
      <c r="DI354" s="399">
        <v>-2917.9920634956688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-380.39359461414551</v>
      </c>
      <c r="DP354" s="399">
        <v>-50.800622386806083</v>
      </c>
      <c r="DQ354" s="399">
        <v>0</v>
      </c>
      <c r="DR354" s="399">
        <v>0</v>
      </c>
      <c r="DS354" s="399"/>
      <c r="DT354" s="399"/>
      <c r="DU354" s="399"/>
      <c r="DV354" s="399">
        <v>98012.002400463854</v>
      </c>
      <c r="DW354" s="399">
        <v>0</v>
      </c>
      <c r="DX354" s="399">
        <v>0</v>
      </c>
      <c r="DY354" s="399">
        <v>-32535.398320000037</v>
      </c>
      <c r="DZ354" s="399">
        <v>2950.2670400000134</v>
      </c>
      <c r="EA354" s="399">
        <v>0</v>
      </c>
      <c r="EB354" s="399">
        <v>0</v>
      </c>
      <c r="EC354" s="399">
        <v>-30305.401794806108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16124.9347907847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230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353</v>
      </c>
      <c r="B355" s="399" t="s">
        <v>956</v>
      </c>
      <c r="C355" s="399" t="s">
        <v>2328</v>
      </c>
      <c r="D355" s="399" t="s">
        <v>1826</v>
      </c>
      <c r="E355" s="399" t="s">
        <v>921</v>
      </c>
      <c r="F355" s="399" t="s">
        <v>2345</v>
      </c>
      <c r="G355" s="399" t="s">
        <v>1239</v>
      </c>
      <c r="H355" s="399" t="s">
        <v>1239</v>
      </c>
      <c r="I355" s="399" t="s">
        <v>1239</v>
      </c>
      <c r="J355" s="399" t="s">
        <v>2329</v>
      </c>
      <c r="K355" s="789">
        <v>44652</v>
      </c>
      <c r="L355" s="399">
        <v>0</v>
      </c>
      <c r="M355" s="399">
        <v>0</v>
      </c>
      <c r="N355" s="399">
        <v>75.911000000000001</v>
      </c>
      <c r="O355" s="399">
        <v>71.356340000000003</v>
      </c>
      <c r="P355" s="399">
        <v>75.911000000000001</v>
      </c>
      <c r="Q355" s="399">
        <v>71.356340000000003</v>
      </c>
      <c r="R355" s="399"/>
      <c r="S355" s="399">
        <v>333.61</v>
      </c>
      <c r="T355" s="399">
        <v>128.11000000000001</v>
      </c>
      <c r="U355" s="399"/>
      <c r="V355" s="399">
        <v>35049.626920000002</v>
      </c>
      <c r="W355" s="399">
        <v>35049.626920000002</v>
      </c>
      <c r="X355" s="399">
        <v>30594.410329999999</v>
      </c>
      <c r="Y355" s="399">
        <v>0</v>
      </c>
      <c r="Z355" s="399">
        <v>4646.9716055871113</v>
      </c>
      <c r="AA355" s="399">
        <v>0</v>
      </c>
      <c r="AB355" s="399">
        <v>0</v>
      </c>
      <c r="AC355" s="399">
        <v>0</v>
      </c>
      <c r="AD355" s="399">
        <v>0</v>
      </c>
      <c r="AE355" s="399">
        <v>14764.400906442872</v>
      </c>
      <c r="AF355" s="399">
        <v>9725.0376451820666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717.65123871274886</v>
      </c>
      <c r="AM355" s="399"/>
      <c r="AN355" s="399">
        <v>65.312906352433302</v>
      </c>
      <c r="AO355" s="399">
        <v>263.86816700467631</v>
      </c>
      <c r="AP355" s="399">
        <v>1407.5900096479247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1029.9885986049792</v>
      </c>
      <c r="BH355" s="399">
        <v>0</v>
      </c>
      <c r="BI355" s="399">
        <v>0</v>
      </c>
      <c r="BJ355" s="399">
        <v>0</v>
      </c>
      <c r="BK355" s="399">
        <v>12724.7</v>
      </c>
      <c r="BL355" s="399">
        <v>27</v>
      </c>
      <c r="BM355" s="399"/>
      <c r="BN355" s="399"/>
      <c r="BO355" s="399"/>
      <c r="BP355" s="399"/>
      <c r="BQ355" s="399">
        <v>1835.6646197999994</v>
      </c>
      <c r="BR355" s="399"/>
      <c r="BS355" s="399"/>
      <c r="BT355" s="399"/>
      <c r="BU355" s="399"/>
      <c r="BV355" s="399">
        <v>10755.026243787046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28760.220799999999</v>
      </c>
      <c r="CJ355" s="399">
        <v>-4186.4585048000044</v>
      </c>
      <c r="CK355" s="399"/>
      <c r="CL355" s="399"/>
      <c r="CM355" s="399"/>
      <c r="CN355" s="399"/>
      <c r="CO355" s="399">
        <v>-4900.0550500000008</v>
      </c>
      <c r="CP355" s="399">
        <v>444.83845999999886</v>
      </c>
      <c r="CQ355" s="399">
        <v>30</v>
      </c>
      <c r="CR355" s="399">
        <v>109.39662462978231</v>
      </c>
      <c r="CS355" s="399">
        <v>19.261270620476239</v>
      </c>
      <c r="CT355" s="399">
        <v>102.74817309822879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0</v>
      </c>
      <c r="DA355" s="399">
        <v>0</v>
      </c>
      <c r="DB355" s="399">
        <v>0</v>
      </c>
      <c r="DC355" s="399">
        <v>444.79551392449866</v>
      </c>
      <c r="DD355" s="399">
        <v>0</v>
      </c>
      <c r="DE355" s="399">
        <v>0</v>
      </c>
      <c r="DF355" s="399">
        <v>0</v>
      </c>
      <c r="DG355" s="399">
        <v>47.10874392139317</v>
      </c>
      <c r="DH355" s="399">
        <v>0</v>
      </c>
      <c r="DI355" s="399">
        <v>-439.56253940450188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-57.301997669417233</v>
      </c>
      <c r="DP355" s="399">
        <v>-7.6525398608943647</v>
      </c>
      <c r="DQ355" s="399">
        <v>0</v>
      </c>
      <c r="DR355" s="399">
        <v>0</v>
      </c>
      <c r="DS355" s="399"/>
      <c r="DT355" s="399"/>
      <c r="DU355" s="399"/>
      <c r="DV355" s="399">
        <v>14764.400906442872</v>
      </c>
      <c r="DW355" s="399">
        <v>0</v>
      </c>
      <c r="DX355" s="399">
        <v>0</v>
      </c>
      <c r="DY355" s="399">
        <v>-4900.0550500000027</v>
      </c>
      <c r="DZ355" s="399">
        <v>444.83845999999903</v>
      </c>
      <c r="EA355" s="399">
        <v>0</v>
      </c>
      <c r="EB355" s="399">
        <v>0</v>
      </c>
      <c r="EC355" s="399">
        <v>-4565.1664160595901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2429.0392606065939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230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354</v>
      </c>
      <c r="B356" s="399" t="s">
        <v>956</v>
      </c>
      <c r="C356" s="399" t="s">
        <v>2336</v>
      </c>
      <c r="D356" s="399" t="s">
        <v>533</v>
      </c>
      <c r="E356" s="399" t="s">
        <v>921</v>
      </c>
      <c r="F356" s="399" t="s">
        <v>2345</v>
      </c>
      <c r="G356" s="399" t="s">
        <v>1239</v>
      </c>
      <c r="H356" s="399" t="s">
        <v>1239</v>
      </c>
      <c r="I356" s="399" t="s">
        <v>893</v>
      </c>
      <c r="J356" s="399" t="s">
        <v>2329</v>
      </c>
      <c r="K356" s="789">
        <v>44652</v>
      </c>
      <c r="L356" s="399">
        <v>382</v>
      </c>
      <c r="M356" s="399">
        <v>359.08</v>
      </c>
      <c r="N356" s="399">
        <v>17.343</v>
      </c>
      <c r="O356" s="399">
        <v>16.302420000000001</v>
      </c>
      <c r="P356" s="399">
        <v>17.343</v>
      </c>
      <c r="Q356" s="399">
        <v>16.302420000000001</v>
      </c>
      <c r="R356" s="399">
        <v>52.19</v>
      </c>
      <c r="S356" s="399">
        <v>96.28</v>
      </c>
      <c r="T356" s="399">
        <v>128.11000000000001</v>
      </c>
      <c r="U356" s="399">
        <v>19936.579999999998</v>
      </c>
      <c r="V356" s="399">
        <v>3891.5957700000004</v>
      </c>
      <c r="W356" s="399">
        <v>23828.175769999998</v>
      </c>
      <c r="X356" s="399">
        <v>18465.411519999998</v>
      </c>
      <c r="Y356" s="399">
        <v>0</v>
      </c>
      <c r="Z356" s="399">
        <v>923.652867745869</v>
      </c>
      <c r="AA356" s="399">
        <v>0</v>
      </c>
      <c r="AB356" s="399">
        <v>0</v>
      </c>
      <c r="AC356" s="399">
        <v>0</v>
      </c>
      <c r="AD356" s="399">
        <v>0</v>
      </c>
      <c r="AE356" s="399">
        <v>17852.252973920349</v>
      </c>
      <c r="AF356" s="399">
        <v>2221.8298781519488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163.9581277152877</v>
      </c>
      <c r="AM356" s="399"/>
      <c r="AN356" s="399">
        <v>8.5258301196396804</v>
      </c>
      <c r="AO356" s="399">
        <v>329.90652043469942</v>
      </c>
      <c r="AP356" s="399">
        <v>1755.0165129159614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90.853305394453301</v>
      </c>
      <c r="BH356" s="399">
        <v>0</v>
      </c>
      <c r="BI356" s="399">
        <v>0</v>
      </c>
      <c r="BJ356" s="399">
        <v>0</v>
      </c>
      <c r="BK356" s="399">
        <v>0</v>
      </c>
      <c r="BL356" s="399">
        <v>0</v>
      </c>
      <c r="BM356" s="399"/>
      <c r="BN356" s="399"/>
      <c r="BO356" s="399"/>
      <c r="BP356" s="399"/>
      <c r="BQ356" s="399">
        <v>1107.9246912000003</v>
      </c>
      <c r="BR356" s="399"/>
      <c r="BS356" s="399"/>
      <c r="BT356" s="399"/>
      <c r="BU356" s="399"/>
      <c r="BV356" s="399">
        <v>2312.6831835464022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17356.943200000002</v>
      </c>
      <c r="CJ356" s="399">
        <v>-5041.5720237999922</v>
      </c>
      <c r="CK356" s="399"/>
      <c r="CL356" s="399"/>
      <c r="CM356" s="399"/>
      <c r="CN356" s="399"/>
      <c r="CO356" s="399">
        <v>-5464.394229999999</v>
      </c>
      <c r="CP356" s="399">
        <v>101.62997999999975</v>
      </c>
      <c r="CQ356" s="399">
        <v>30</v>
      </c>
      <c r="CR356" s="399">
        <v>156.50632375729765</v>
      </c>
      <c r="CS356" s="399">
        <v>24.081793729365131</v>
      </c>
      <c r="CT356" s="399">
        <v>128.10885216813176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0</v>
      </c>
      <c r="DA356" s="399">
        <v>0</v>
      </c>
      <c r="DB356" s="399">
        <v>0</v>
      </c>
      <c r="DC356" s="399">
        <v>101.62016832860309</v>
      </c>
      <c r="DD356" s="399">
        <v>0</v>
      </c>
      <c r="DE356" s="399">
        <v>0</v>
      </c>
      <c r="DF356" s="399">
        <v>0</v>
      </c>
      <c r="DG356" s="399">
        <v>4.1553713352135162</v>
      </c>
      <c r="DH356" s="399">
        <v>0</v>
      </c>
      <c r="DI356" s="399">
        <v>-87.369417016985494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-13.091495904160183</v>
      </c>
      <c r="DP356" s="399">
        <v>-0.99894888286999795</v>
      </c>
      <c r="DQ356" s="399">
        <v>0</v>
      </c>
      <c r="DR356" s="399">
        <v>0</v>
      </c>
      <c r="DS356" s="399"/>
      <c r="DT356" s="399"/>
      <c r="DU356" s="399">
        <v>17852.252973920349</v>
      </c>
      <c r="DV356" s="399">
        <v>0</v>
      </c>
      <c r="DW356" s="399">
        <v>0</v>
      </c>
      <c r="DX356" s="399">
        <v>0</v>
      </c>
      <c r="DY356" s="399">
        <v>-5464.3942299999981</v>
      </c>
      <c r="DZ356" s="399">
        <v>101.6299799999997</v>
      </c>
      <c r="EA356" s="399">
        <v>0</v>
      </c>
      <c r="EB356" s="399">
        <v>0</v>
      </c>
      <c r="EC356" s="399">
        <v>-5519.9331313183629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482.80671141374881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230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355</v>
      </c>
      <c r="B357" s="399" t="s">
        <v>956</v>
      </c>
      <c r="C357" s="399" t="s">
        <v>2336</v>
      </c>
      <c r="D357" s="399" t="s">
        <v>533</v>
      </c>
      <c r="E357" s="399" t="s">
        <v>921</v>
      </c>
      <c r="F357" s="399" t="s">
        <v>2345</v>
      </c>
      <c r="G357" s="399" t="s">
        <v>1239</v>
      </c>
      <c r="H357" s="399" t="s">
        <v>1239</v>
      </c>
      <c r="I357" s="399" t="s">
        <v>2326</v>
      </c>
      <c r="J357" s="399" t="s">
        <v>2329</v>
      </c>
      <c r="K357" s="789">
        <v>44652</v>
      </c>
      <c r="L357" s="399">
        <v>447</v>
      </c>
      <c r="M357" s="399">
        <v>420.18</v>
      </c>
      <c r="N357" s="399">
        <v>137.077</v>
      </c>
      <c r="O357" s="399">
        <v>128.85238000000001</v>
      </c>
      <c r="P357" s="399">
        <v>137.077</v>
      </c>
      <c r="Q357" s="399">
        <v>128.85238000000001</v>
      </c>
      <c r="R357" s="399">
        <v>18.12</v>
      </c>
      <c r="S357" s="399">
        <v>96.28</v>
      </c>
      <c r="T357" s="399">
        <v>128.11000000000001</v>
      </c>
      <c r="U357" s="399">
        <v>8099.64</v>
      </c>
      <c r="V357" s="399">
        <v>30758.708030000002</v>
      </c>
      <c r="W357" s="399">
        <v>38858.348030000001</v>
      </c>
      <c r="X357" s="399">
        <v>37252.127280000001</v>
      </c>
      <c r="Y357" s="399">
        <v>0</v>
      </c>
      <c r="Z357" s="399">
        <v>7300.4419161621681</v>
      </c>
      <c r="AA357" s="399">
        <v>0</v>
      </c>
      <c r="AB357" s="399">
        <v>0</v>
      </c>
      <c r="AC357" s="399">
        <v>0</v>
      </c>
      <c r="AD357" s="399">
        <v>0</v>
      </c>
      <c r="AE357" s="399">
        <v>5837.3454281401446</v>
      </c>
      <c r="AF357" s="399">
        <v>17561.07791082481</v>
      </c>
      <c r="AG357" s="399">
        <v>0</v>
      </c>
      <c r="AH357" s="399">
        <v>0</v>
      </c>
      <c r="AI357" s="399">
        <v>0</v>
      </c>
      <c r="AJ357" s="399">
        <v>0</v>
      </c>
      <c r="AK357" s="399">
        <v>0</v>
      </c>
      <c r="AL357" s="399">
        <v>1295.9054530835779</v>
      </c>
      <c r="AM357" s="399"/>
      <c r="AN357" s="399">
        <v>67.387142669079651</v>
      </c>
      <c r="AO357" s="399">
        <v>355.30707415057924</v>
      </c>
      <c r="AP357" s="399">
        <v>1904.8105048128739</v>
      </c>
      <c r="AQ357" s="399">
        <v>0</v>
      </c>
      <c r="AR357" s="399">
        <v>0</v>
      </c>
      <c r="AS357" s="399">
        <v>0</v>
      </c>
      <c r="AT357" s="399">
        <v>0</v>
      </c>
      <c r="AU357" s="399">
        <v>0</v>
      </c>
      <c r="AV357" s="399">
        <v>0</v>
      </c>
      <c r="AW357" s="399">
        <v>0</v>
      </c>
      <c r="AX357" s="399">
        <v>0</v>
      </c>
      <c r="AY357" s="399">
        <v>0</v>
      </c>
      <c r="AZ357" s="399">
        <v>0</v>
      </c>
      <c r="BA357" s="399"/>
      <c r="BB357" s="399">
        <v>0</v>
      </c>
      <c r="BC357" s="399">
        <v>0</v>
      </c>
      <c r="BD357" s="399">
        <v>0</v>
      </c>
      <c r="BE357" s="399">
        <v>0</v>
      </c>
      <c r="BF357" s="399">
        <v>0</v>
      </c>
      <c r="BG357" s="399">
        <v>718.09367142682777</v>
      </c>
      <c r="BH357" s="399">
        <v>0</v>
      </c>
      <c r="BI357" s="399">
        <v>0</v>
      </c>
      <c r="BJ357" s="399">
        <v>0</v>
      </c>
      <c r="BK357" s="399">
        <v>0</v>
      </c>
      <c r="BL357" s="399">
        <v>0</v>
      </c>
      <c r="BM357" s="399"/>
      <c r="BN357" s="399"/>
      <c r="BO357" s="399"/>
      <c r="BP357" s="399"/>
      <c r="BQ357" s="399">
        <v>2235.1276367999972</v>
      </c>
      <c r="BR357" s="399"/>
      <c r="BS357" s="399"/>
      <c r="BT357" s="399"/>
      <c r="BU357" s="399"/>
      <c r="BV357" s="399">
        <v>18279.171582251638</v>
      </c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>
        <v>35016.464999999997</v>
      </c>
      <c r="CJ357" s="399">
        <v>-1510.4121482000119</v>
      </c>
      <c r="CK357" s="399"/>
      <c r="CL357" s="399"/>
      <c r="CM357" s="399"/>
      <c r="CN357" s="399"/>
      <c r="CO357" s="399">
        <v>-2409.4919700000005</v>
      </c>
      <c r="CP357" s="399">
        <v>803.27121999999792</v>
      </c>
      <c r="CQ357" s="399">
        <v>30</v>
      </c>
      <c r="CR357" s="399">
        <v>199.08971588840359</v>
      </c>
      <c r="CS357" s="399">
        <v>25.935927725842078</v>
      </c>
      <c r="CT357" s="399">
        <v>139.04318596064581</v>
      </c>
      <c r="CU357" s="399">
        <v>0</v>
      </c>
      <c r="CV357" s="399">
        <v>0</v>
      </c>
      <c r="CW357" s="399">
        <v>0</v>
      </c>
      <c r="CX357" s="399">
        <v>0</v>
      </c>
      <c r="CY357" s="399">
        <v>0</v>
      </c>
      <c r="CZ357" s="399">
        <v>0</v>
      </c>
      <c r="DA357" s="399">
        <v>0</v>
      </c>
      <c r="DB357" s="399">
        <v>0</v>
      </c>
      <c r="DC357" s="399">
        <v>803.19366972149874</v>
      </c>
      <c r="DD357" s="399">
        <v>0</v>
      </c>
      <c r="DE357" s="399">
        <v>0</v>
      </c>
      <c r="DF357" s="399">
        <v>0</v>
      </c>
      <c r="DG357" s="399">
        <v>32.843558583697472</v>
      </c>
      <c r="DH357" s="399">
        <v>0</v>
      </c>
      <c r="DI357" s="399">
        <v>-690.5574339178529</v>
      </c>
      <c r="DJ357" s="399"/>
      <c r="DK357" s="399">
        <v>0</v>
      </c>
      <c r="DL357" s="399">
        <v>0</v>
      </c>
      <c r="DM357" s="399">
        <v>0</v>
      </c>
      <c r="DN357" s="399">
        <v>0</v>
      </c>
      <c r="DO357" s="399">
        <v>-103.47361956146938</v>
      </c>
      <c r="DP357" s="399">
        <v>-7.8955726239503363</v>
      </c>
      <c r="DQ357" s="399">
        <v>0</v>
      </c>
      <c r="DR357" s="399">
        <v>0</v>
      </c>
      <c r="DS357" s="399"/>
      <c r="DT357" s="399"/>
      <c r="DU357" s="399">
        <v>5837.3454281401446</v>
      </c>
      <c r="DV357" s="399">
        <v>0</v>
      </c>
      <c r="DW357" s="399">
        <v>0</v>
      </c>
      <c r="DX357" s="399">
        <v>0</v>
      </c>
      <c r="DY357" s="399">
        <v>-2409.4919700000028</v>
      </c>
      <c r="DZ357" s="399">
        <v>803.27121999999872</v>
      </c>
      <c r="EA357" s="399">
        <v>0</v>
      </c>
      <c r="EB357" s="399">
        <v>0</v>
      </c>
      <c r="EC357" s="399">
        <v>-1804.9126054180488</v>
      </c>
      <c r="ED357" s="399">
        <v>0</v>
      </c>
      <c r="EE357" s="399">
        <v>0</v>
      </c>
      <c r="EF357" s="399">
        <v>0</v>
      </c>
      <c r="EG357" s="399">
        <v>0</v>
      </c>
      <c r="EH357" s="399">
        <v>0</v>
      </c>
      <c r="EI357" s="399">
        <v>0</v>
      </c>
      <c r="EJ357" s="399">
        <v>0</v>
      </c>
      <c r="EK357" s="399">
        <v>0</v>
      </c>
      <c r="EL357" s="399">
        <v>0</v>
      </c>
      <c r="EM357" s="399">
        <v>0</v>
      </c>
      <c r="EN357" s="399">
        <v>0</v>
      </c>
      <c r="EO357" s="399">
        <v>0</v>
      </c>
      <c r="EP357" s="399">
        <v>3816.0465652114653</v>
      </c>
      <c r="EQ357" s="399">
        <v>0</v>
      </c>
      <c r="ER357" s="399">
        <v>0</v>
      </c>
      <c r="ES357" s="399">
        <v>0</v>
      </c>
      <c r="ET357" s="399">
        <v>0</v>
      </c>
      <c r="EU357" s="399">
        <v>0</v>
      </c>
      <c r="EV357" s="399">
        <v>230</v>
      </c>
      <c r="EW357" s="399">
        <v>0</v>
      </c>
      <c r="EX357" s="399">
        <v>0</v>
      </c>
      <c r="EY357" s="399">
        <v>0</v>
      </c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356</v>
      </c>
      <c r="B358" s="399" t="s">
        <v>956</v>
      </c>
      <c r="C358" s="399" t="s">
        <v>2336</v>
      </c>
      <c r="D358" s="399" t="s">
        <v>533</v>
      </c>
      <c r="E358" s="399" t="s">
        <v>921</v>
      </c>
      <c r="F358" s="399" t="s">
        <v>2345</v>
      </c>
      <c r="G358" s="399" t="s">
        <v>1239</v>
      </c>
      <c r="H358" s="399" t="s">
        <v>1239</v>
      </c>
      <c r="I358" s="399" t="s">
        <v>1239</v>
      </c>
      <c r="J358" s="399" t="s">
        <v>2329</v>
      </c>
      <c r="K358" s="789">
        <v>44652</v>
      </c>
      <c r="L358" s="399">
        <v>0</v>
      </c>
      <c r="M358" s="399">
        <v>0</v>
      </c>
      <c r="N358" s="399">
        <v>0</v>
      </c>
      <c r="O358" s="399">
        <v>0</v>
      </c>
      <c r="P358" s="399">
        <v>0</v>
      </c>
      <c r="Q358" s="399">
        <v>0</v>
      </c>
      <c r="R358" s="399"/>
      <c r="S358" s="399"/>
      <c r="T358" s="399"/>
      <c r="U358" s="399"/>
      <c r="V358" s="399"/>
      <c r="W358" s="399"/>
      <c r="X358" s="399"/>
      <c r="Y358" s="399"/>
      <c r="Z358" s="399"/>
      <c r="AA358" s="399">
        <v>0</v>
      </c>
      <c r="AB358" s="399"/>
      <c r="AC358" s="399"/>
      <c r="AD358" s="399"/>
      <c r="AE358" s="399"/>
      <c r="AF358" s="399"/>
      <c r="AG358" s="399"/>
      <c r="AH358" s="399"/>
      <c r="AI358" s="399"/>
      <c r="AJ358" s="399"/>
      <c r="AK358" s="399"/>
      <c r="AL358" s="399"/>
      <c r="AM358" s="399"/>
      <c r="AN358" s="399"/>
      <c r="AO358" s="399"/>
      <c r="AP358" s="399"/>
      <c r="AQ358" s="399"/>
      <c r="AR358" s="399"/>
      <c r="AS358" s="399"/>
      <c r="AT358" s="399"/>
      <c r="AU358" s="399"/>
      <c r="AV358" s="399"/>
      <c r="AW358" s="399"/>
      <c r="AX358" s="399"/>
      <c r="AY358" s="399"/>
      <c r="AZ358" s="399">
        <v>0</v>
      </c>
      <c r="BA358" s="399"/>
      <c r="BB358" s="399"/>
      <c r="BC358" s="399"/>
      <c r="BD358" s="399"/>
      <c r="BE358" s="399"/>
      <c r="BF358" s="399"/>
      <c r="BG358" s="399"/>
      <c r="BH358" s="399"/>
      <c r="BI358" s="399">
        <v>0</v>
      </c>
      <c r="BJ358" s="399">
        <v>0</v>
      </c>
      <c r="BK358" s="399">
        <v>20608.62</v>
      </c>
      <c r="BL358" s="399">
        <v>2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/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/>
      <c r="CJ358" s="399">
        <v>-0.03</v>
      </c>
      <c r="CK358" s="399"/>
      <c r="CL358" s="399"/>
      <c r="CM358" s="399"/>
      <c r="CN358" s="399"/>
      <c r="CO358" s="399">
        <v>0</v>
      </c>
      <c r="CP358" s="399">
        <v>0</v>
      </c>
      <c r="CQ358" s="399">
        <v>30</v>
      </c>
      <c r="CR358" s="399"/>
      <c r="CS358" s="399"/>
      <c r="CT358" s="399"/>
      <c r="CU358" s="399"/>
      <c r="CV358" s="399"/>
      <c r="CW358" s="399"/>
      <c r="CX358" s="399"/>
      <c r="CY358" s="399"/>
      <c r="CZ358" s="399"/>
      <c r="DA358" s="399"/>
      <c r="DB358" s="399"/>
      <c r="DC358" s="399"/>
      <c r="DD358" s="399"/>
      <c r="DE358" s="399"/>
      <c r="DF358" s="399"/>
      <c r="DG358" s="399"/>
      <c r="DH358" s="399"/>
      <c r="DI358" s="399"/>
      <c r="DJ358" s="399"/>
      <c r="DK358" s="399">
        <v>0</v>
      </c>
      <c r="DL358" s="399"/>
      <c r="DM358" s="399"/>
      <c r="DN358" s="399"/>
      <c r="DO358" s="399"/>
      <c r="DP358" s="399"/>
      <c r="DQ358" s="399"/>
      <c r="DR358" s="399"/>
      <c r="DS358" s="399"/>
      <c r="DT358" s="399"/>
      <c r="DU358" s="399"/>
      <c r="DV358" s="399"/>
      <c r="DW358" s="399"/>
      <c r="DX358" s="399"/>
      <c r="DY358" s="399"/>
      <c r="DZ358" s="399"/>
      <c r="EA358" s="399"/>
      <c r="EB358" s="399"/>
      <c r="EC358" s="399"/>
      <c r="ED358" s="399"/>
      <c r="EE358" s="399"/>
      <c r="EF358" s="399"/>
      <c r="EG358" s="399"/>
      <c r="EH358" s="399"/>
      <c r="EI358" s="399"/>
      <c r="EJ358" s="399"/>
      <c r="EK358" s="399"/>
      <c r="EL358" s="399"/>
      <c r="EM358" s="399"/>
      <c r="EN358" s="399"/>
      <c r="EO358" s="399"/>
      <c r="EP358" s="399"/>
      <c r="EQ358" s="399"/>
      <c r="ER358" s="399"/>
      <c r="ES358" s="399"/>
      <c r="ET358" s="399"/>
      <c r="EU358" s="399"/>
      <c r="EV358" s="399">
        <v>230</v>
      </c>
      <c r="EW358" s="399"/>
      <c r="EX358" s="399"/>
      <c r="EY358" s="399"/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357</v>
      </c>
      <c r="B359" s="399" t="s">
        <v>956</v>
      </c>
      <c r="C359" s="399" t="s">
        <v>2328</v>
      </c>
      <c r="D359" s="399" t="s">
        <v>1826</v>
      </c>
      <c r="E359" s="399" t="s">
        <v>2346</v>
      </c>
      <c r="F359" s="399" t="s">
        <v>1239</v>
      </c>
      <c r="G359" s="399" t="s">
        <v>1239</v>
      </c>
      <c r="H359" s="399" t="s">
        <v>1239</v>
      </c>
      <c r="I359" s="399" t="s">
        <v>1239</v>
      </c>
      <c r="J359" s="399" t="s">
        <v>2329</v>
      </c>
      <c r="K359" s="789">
        <v>44652</v>
      </c>
      <c r="L359" s="399">
        <v>0</v>
      </c>
      <c r="M359" s="399">
        <v>0</v>
      </c>
      <c r="N359" s="399">
        <v>1.4019999999999999</v>
      </c>
      <c r="O359" s="399">
        <v>1.4019999999999999</v>
      </c>
      <c r="P359" s="399">
        <v>1.4019999999999999</v>
      </c>
      <c r="Q359" s="399">
        <v>1.4019999999999999</v>
      </c>
      <c r="R359" s="399"/>
      <c r="S359" s="399">
        <v>333.61</v>
      </c>
      <c r="T359" s="399">
        <v>128.11000000000001</v>
      </c>
      <c r="U359" s="399"/>
      <c r="V359" s="399">
        <v>647.33144000000004</v>
      </c>
      <c r="W359" s="399">
        <v>647.33144000000004</v>
      </c>
      <c r="X359" s="399">
        <v>565.04805999999996</v>
      </c>
      <c r="Y359" s="399">
        <v>0</v>
      </c>
      <c r="Z359" s="399">
        <v>85.824902728631272</v>
      </c>
      <c r="AA359" s="399">
        <v>0</v>
      </c>
      <c r="AB359" s="399">
        <v>0</v>
      </c>
      <c r="AC359" s="399">
        <v>0</v>
      </c>
      <c r="AD359" s="399">
        <v>0</v>
      </c>
      <c r="AE359" s="399">
        <v>272.68366996657807</v>
      </c>
      <c r="AF359" s="399">
        <v>179.61168708810655</v>
      </c>
      <c r="AG359" s="399">
        <v>0</v>
      </c>
      <c r="AH359" s="399">
        <v>0</v>
      </c>
      <c r="AI359" s="399">
        <v>0</v>
      </c>
      <c r="AJ359" s="399">
        <v>0</v>
      </c>
      <c r="AK359" s="399">
        <v>0</v>
      </c>
      <c r="AL359" s="399">
        <v>13.254298279238501</v>
      </c>
      <c r="AM359" s="399"/>
      <c r="AN359" s="399">
        <v>1.2062638445826228</v>
      </c>
      <c r="AO359" s="399">
        <v>4.8733802761201428</v>
      </c>
      <c r="AP359" s="399">
        <v>25.996775085644906</v>
      </c>
      <c r="AQ359" s="399">
        <v>0</v>
      </c>
      <c r="AR359" s="399">
        <v>0</v>
      </c>
      <c r="AS359" s="399">
        <v>0</v>
      </c>
      <c r="AT359" s="399">
        <v>0</v>
      </c>
      <c r="AU359" s="399">
        <v>0</v>
      </c>
      <c r="AV359" s="399">
        <v>0</v>
      </c>
      <c r="AW359" s="399">
        <v>0</v>
      </c>
      <c r="AX359" s="399">
        <v>0</v>
      </c>
      <c r="AY359" s="399">
        <v>0</v>
      </c>
      <c r="AZ359" s="399">
        <v>0</v>
      </c>
      <c r="BA359" s="399"/>
      <c r="BB359" s="399">
        <v>0</v>
      </c>
      <c r="BC359" s="399">
        <v>0</v>
      </c>
      <c r="BD359" s="399">
        <v>0</v>
      </c>
      <c r="BE359" s="399">
        <v>0</v>
      </c>
      <c r="BF359" s="399">
        <v>0</v>
      </c>
      <c r="BG359" s="399">
        <v>19.022855913427314</v>
      </c>
      <c r="BH359" s="399">
        <v>0</v>
      </c>
      <c r="BI359" s="399">
        <v>0</v>
      </c>
      <c r="BJ359" s="399">
        <v>0</v>
      </c>
      <c r="BK359" s="399">
        <v>236.38</v>
      </c>
      <c r="BL359" s="399">
        <v>2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>
        <v>198.63454300153387</v>
      </c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>
        <v>564.24199999999996</v>
      </c>
      <c r="CJ359" s="399">
        <v>-83.119440000000054</v>
      </c>
      <c r="CK359" s="399"/>
      <c r="CL359" s="399"/>
      <c r="CM359" s="399"/>
      <c r="CN359" s="399"/>
      <c r="CO359" s="399">
        <v>-90.499100000000013</v>
      </c>
      <c r="CP359" s="399">
        <v>8.2157199999999779</v>
      </c>
      <c r="CQ359" s="399">
        <v>30</v>
      </c>
      <c r="CR359" s="399">
        <v>2.0204458870381359</v>
      </c>
      <c r="CS359" s="399">
        <v>0.35573634137223387</v>
      </c>
      <c r="CT359" s="399">
        <v>1.8976556583856983</v>
      </c>
      <c r="CU359" s="399">
        <v>0</v>
      </c>
      <c r="CV359" s="399">
        <v>0</v>
      </c>
      <c r="CW359" s="399">
        <v>0</v>
      </c>
      <c r="CX359" s="399">
        <v>0</v>
      </c>
      <c r="CY359" s="399">
        <v>0</v>
      </c>
      <c r="CZ359" s="399">
        <v>0</v>
      </c>
      <c r="DA359" s="399">
        <v>0</v>
      </c>
      <c r="DB359" s="399">
        <v>0</v>
      </c>
      <c r="DC359" s="399">
        <v>8.2149268290781094</v>
      </c>
      <c r="DD359" s="399">
        <v>0</v>
      </c>
      <c r="DE359" s="399">
        <v>0</v>
      </c>
      <c r="DF359" s="399">
        <v>0</v>
      </c>
      <c r="DG359" s="399">
        <v>0.87005123075434554</v>
      </c>
      <c r="DH359" s="399">
        <v>0</v>
      </c>
      <c r="DI359" s="399">
        <v>-8.1182790405225944</v>
      </c>
      <c r="DJ359" s="399"/>
      <c r="DK359" s="399">
        <v>0</v>
      </c>
      <c r="DL359" s="399">
        <v>0</v>
      </c>
      <c r="DM359" s="399">
        <v>0</v>
      </c>
      <c r="DN359" s="399">
        <v>0</v>
      </c>
      <c r="DO359" s="399">
        <v>-1.0583103994483398</v>
      </c>
      <c r="DP359" s="399">
        <v>-0.14133473258123197</v>
      </c>
      <c r="DQ359" s="399">
        <v>0</v>
      </c>
      <c r="DR359" s="399">
        <v>0</v>
      </c>
      <c r="DS359" s="399"/>
      <c r="DT359" s="399"/>
      <c r="DU359" s="399"/>
      <c r="DV359" s="399">
        <v>272.68366996657807</v>
      </c>
      <c r="DW359" s="399">
        <v>0</v>
      </c>
      <c r="DX359" s="399">
        <v>0</v>
      </c>
      <c r="DY359" s="399">
        <v>-90.499100000000055</v>
      </c>
      <c r="DZ359" s="399">
        <v>8.2157199999999762</v>
      </c>
      <c r="EA359" s="399">
        <v>0</v>
      </c>
      <c r="EB359" s="399">
        <v>0</v>
      </c>
      <c r="EC359" s="399">
        <v>-84.31404296235786</v>
      </c>
      <c r="ED359" s="399">
        <v>0</v>
      </c>
      <c r="EE359" s="399">
        <v>0</v>
      </c>
      <c r="EF359" s="399">
        <v>0</v>
      </c>
      <c r="EG359" s="399">
        <v>0</v>
      </c>
      <c r="EH359" s="399">
        <v>0</v>
      </c>
      <c r="EI359" s="399">
        <v>0</v>
      </c>
      <c r="EJ359" s="399">
        <v>0</v>
      </c>
      <c r="EK359" s="399">
        <v>0</v>
      </c>
      <c r="EL359" s="399">
        <v>0</v>
      </c>
      <c r="EM359" s="399">
        <v>0</v>
      </c>
      <c r="EN359" s="399">
        <v>0</v>
      </c>
      <c r="EO359" s="399">
        <v>0</v>
      </c>
      <c r="EP359" s="399">
        <v>44.861917816527836</v>
      </c>
      <c r="EQ359" s="399">
        <v>0</v>
      </c>
      <c r="ER359" s="399">
        <v>0</v>
      </c>
      <c r="ES359" s="399">
        <v>0</v>
      </c>
      <c r="ET359" s="399">
        <v>0</v>
      </c>
      <c r="EU359" s="399">
        <v>0</v>
      </c>
      <c r="EV359" s="399">
        <v>230</v>
      </c>
      <c r="EW359" s="399">
        <v>0</v>
      </c>
      <c r="EX359" s="399">
        <v>0</v>
      </c>
      <c r="EY359" s="399">
        <v>0</v>
      </c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358</v>
      </c>
      <c r="B360" s="399" t="s">
        <v>2331</v>
      </c>
      <c r="C360" s="399" t="s">
        <v>2328</v>
      </c>
      <c r="D360" s="399" t="s">
        <v>1826</v>
      </c>
      <c r="E360" s="399" t="s">
        <v>2346</v>
      </c>
      <c r="F360" s="399" t="s">
        <v>1239</v>
      </c>
      <c r="G360" s="399" t="s">
        <v>1239</v>
      </c>
      <c r="H360" s="399" t="s">
        <v>1239</v>
      </c>
      <c r="I360" s="399" t="s">
        <v>1239</v>
      </c>
      <c r="J360" s="399" t="s">
        <v>2329</v>
      </c>
      <c r="K360" s="789">
        <v>44652</v>
      </c>
      <c r="L360" s="399">
        <v>0</v>
      </c>
      <c r="M360" s="399">
        <v>0</v>
      </c>
      <c r="N360" s="399">
        <v>0.03</v>
      </c>
      <c r="O360" s="399">
        <v>0.03</v>
      </c>
      <c r="P360" s="399">
        <v>0.03</v>
      </c>
      <c r="Q360" s="399">
        <v>0.03</v>
      </c>
      <c r="R360" s="399"/>
      <c r="S360" s="399">
        <v>333.61</v>
      </c>
      <c r="T360" s="399">
        <v>128.11000000000001</v>
      </c>
      <c r="U360" s="399"/>
      <c r="V360" s="399">
        <v>13.851600000000001</v>
      </c>
      <c r="W360" s="399">
        <v>13.851600000000001</v>
      </c>
      <c r="X360" s="399">
        <v>12.0909</v>
      </c>
      <c r="Y360" s="399">
        <v>0</v>
      </c>
      <c r="Z360" s="399">
        <v>1.8364815134514538</v>
      </c>
      <c r="AA360" s="399">
        <v>0</v>
      </c>
      <c r="AB360" s="399">
        <v>0</v>
      </c>
      <c r="AC360" s="399">
        <v>0</v>
      </c>
      <c r="AD360" s="399">
        <v>0</v>
      </c>
      <c r="AE360" s="399">
        <v>5.8348859479296298</v>
      </c>
      <c r="AF360" s="399">
        <v>3.8433313927554895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0.28361551239454713</v>
      </c>
      <c r="AM360" s="399"/>
      <c r="AN360" s="399">
        <v>2.581163718793059E-2</v>
      </c>
      <c r="AO360" s="399">
        <v>0.1042806050524995</v>
      </c>
      <c r="AP360" s="399">
        <v>0.55627906745317202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0.40705112510900099</v>
      </c>
      <c r="BH360" s="399">
        <v>0</v>
      </c>
      <c r="BI360" s="399">
        <v>0</v>
      </c>
      <c r="BJ360" s="399">
        <v>0</v>
      </c>
      <c r="BK360" s="399">
        <v>5.0199999999999996</v>
      </c>
      <c r="BL360" s="399">
        <v>1</v>
      </c>
      <c r="BM360" s="399"/>
      <c r="BN360" s="399"/>
      <c r="BO360" s="399"/>
      <c r="BP360" s="399"/>
      <c r="BQ360" s="399"/>
      <c r="BR360" s="399"/>
      <c r="BS360" s="399"/>
      <c r="BT360" s="399"/>
      <c r="BU360" s="399"/>
      <c r="BV360" s="399">
        <v>4.2503825178644909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12.0909</v>
      </c>
      <c r="CJ360" s="399">
        <v>-1.7907000000000011</v>
      </c>
      <c r="CK360" s="399"/>
      <c r="CL360" s="399"/>
      <c r="CM360" s="399"/>
      <c r="CN360" s="399"/>
      <c r="CO360" s="399">
        <v>-1.9365000000000003</v>
      </c>
      <c r="CP360" s="399">
        <v>0.17579999999999954</v>
      </c>
      <c r="CQ360" s="399">
        <v>30</v>
      </c>
      <c r="CR360" s="399">
        <v>4.3233506855312243E-2</v>
      </c>
      <c r="CS360" s="399">
        <v>7.6120472476226969E-3</v>
      </c>
      <c r="CT360" s="399">
        <v>4.0606041192275955E-2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0</v>
      </c>
      <c r="DA360" s="399">
        <v>0</v>
      </c>
      <c r="DB360" s="399">
        <v>0</v>
      </c>
      <c r="DC360" s="399">
        <v>0.17578302772635102</v>
      </c>
      <c r="DD360" s="399">
        <v>0</v>
      </c>
      <c r="DE360" s="399">
        <v>0</v>
      </c>
      <c r="DF360" s="399">
        <v>0</v>
      </c>
      <c r="DG360" s="399">
        <v>1.8617358717996024E-2</v>
      </c>
      <c r="DH360" s="399">
        <v>0</v>
      </c>
      <c r="DI360" s="399">
        <v>-0.17371495807109683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-2.2645728946826149E-2</v>
      </c>
      <c r="DP360" s="399">
        <v>-3.0242810110106717E-3</v>
      </c>
      <c r="DQ360" s="399">
        <v>0</v>
      </c>
      <c r="DR360" s="399">
        <v>0</v>
      </c>
      <c r="DS360" s="399"/>
      <c r="DT360" s="399"/>
      <c r="DU360" s="399"/>
      <c r="DV360" s="399">
        <v>5.8348859479296298</v>
      </c>
      <c r="DW360" s="399">
        <v>0</v>
      </c>
      <c r="DX360" s="399">
        <v>0</v>
      </c>
      <c r="DY360" s="399">
        <v>-1.9365000000000006</v>
      </c>
      <c r="DZ360" s="399">
        <v>0.17579999999999973</v>
      </c>
      <c r="EA360" s="399">
        <v>0</v>
      </c>
      <c r="EB360" s="399">
        <v>0</v>
      </c>
      <c r="EC360" s="399">
        <v>-1.8041521318621498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0.95995544543212197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230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359</v>
      </c>
      <c r="B361" s="399" t="s">
        <v>956</v>
      </c>
      <c r="C361" s="399" t="s">
        <v>2337</v>
      </c>
      <c r="D361" s="399" t="s">
        <v>533</v>
      </c>
      <c r="E361" s="399" t="s">
        <v>2346</v>
      </c>
      <c r="F361" s="399" t="s">
        <v>1239</v>
      </c>
      <c r="G361" s="399" t="s">
        <v>1239</v>
      </c>
      <c r="H361" s="399" t="s">
        <v>1239</v>
      </c>
      <c r="I361" s="399" t="s">
        <v>893</v>
      </c>
      <c r="J361" s="399" t="s">
        <v>2329</v>
      </c>
      <c r="K361" s="789">
        <v>44652</v>
      </c>
      <c r="L361" s="399">
        <v>0</v>
      </c>
      <c r="M361" s="399">
        <v>0</v>
      </c>
      <c r="N361" s="399">
        <v>1.0269999999999999</v>
      </c>
      <c r="O361" s="399">
        <v>1.0269999999999999</v>
      </c>
      <c r="P361" s="399">
        <v>1.0269999999999999</v>
      </c>
      <c r="Q361" s="399">
        <v>1.0269999999999999</v>
      </c>
      <c r="R361" s="399"/>
      <c r="S361" s="399">
        <v>1351.49</v>
      </c>
      <c r="T361" s="399">
        <v>128.11000000000001</v>
      </c>
      <c r="U361" s="399"/>
      <c r="V361" s="399">
        <v>1519.5491999999999</v>
      </c>
      <c r="W361" s="399">
        <v>1519.5491999999999</v>
      </c>
      <c r="X361" s="399">
        <v>1172.7415699999999</v>
      </c>
      <c r="Y361" s="399">
        <v>0</v>
      </c>
      <c r="Z361" s="399">
        <v>54.695928915124682</v>
      </c>
      <c r="AA361" s="399">
        <v>0</v>
      </c>
      <c r="AB361" s="399">
        <v>0</v>
      </c>
      <c r="AC361" s="399">
        <v>0</v>
      </c>
      <c r="AD361" s="399">
        <v>0</v>
      </c>
      <c r="AE361" s="399">
        <v>1154.2911359771258</v>
      </c>
      <c r="AF361" s="399">
        <v>131.57004467866292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9.7091043743066621</v>
      </c>
      <c r="AM361" s="399"/>
      <c r="AN361" s="399">
        <v>0.50487387031482156</v>
      </c>
      <c r="AO361" s="399">
        <v>21.333387398741255</v>
      </c>
      <c r="AP361" s="399">
        <v>113.47536359758057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5.3800579277001397</v>
      </c>
      <c r="BH361" s="399">
        <v>0</v>
      </c>
      <c r="BI361" s="399">
        <v>0</v>
      </c>
      <c r="BJ361" s="399">
        <v>0</v>
      </c>
      <c r="BK361" s="399">
        <v>0</v>
      </c>
      <c r="BL361" s="399">
        <v>0</v>
      </c>
      <c r="BM361" s="399"/>
      <c r="BN361" s="399"/>
      <c r="BO361" s="399"/>
      <c r="BP361" s="399"/>
      <c r="BQ361" s="399"/>
      <c r="BR361" s="399"/>
      <c r="BS361" s="399"/>
      <c r="BT361" s="399"/>
      <c r="BU361" s="399"/>
      <c r="BV361" s="399">
        <v>136.95010260636306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1176.1673000000001</v>
      </c>
      <c r="CJ361" s="399">
        <v>-343.41189999999983</v>
      </c>
      <c r="CK361" s="399"/>
      <c r="CL361" s="399"/>
      <c r="CM361" s="399"/>
      <c r="CN361" s="399"/>
      <c r="CO361" s="399">
        <v>-352.82584999999995</v>
      </c>
      <c r="CP361" s="399">
        <v>6.0182199999999844</v>
      </c>
      <c r="CQ361" s="399">
        <v>30</v>
      </c>
      <c r="CR361" s="399">
        <v>10.096035381415163</v>
      </c>
      <c r="CS361" s="399">
        <v>1.557247896186432</v>
      </c>
      <c r="CT361" s="399">
        <v>8.2832260966560654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0</v>
      </c>
      <c r="DA361" s="399">
        <v>0</v>
      </c>
      <c r="DB361" s="399">
        <v>0</v>
      </c>
      <c r="DC361" s="399">
        <v>6.0176389824987382</v>
      </c>
      <c r="DD361" s="399">
        <v>0</v>
      </c>
      <c r="DE361" s="399">
        <v>0</v>
      </c>
      <c r="DF361" s="399">
        <v>0</v>
      </c>
      <c r="DG361" s="399">
        <v>0.24606852109002464</v>
      </c>
      <c r="DH361" s="399">
        <v>0</v>
      </c>
      <c r="DI361" s="399">
        <v>-5.1737525962315658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-0.7752387876130129</v>
      </c>
      <c r="DP361" s="399">
        <v>-5.9154731171509378E-2</v>
      </c>
      <c r="DQ361" s="399">
        <v>0</v>
      </c>
      <c r="DR361" s="399">
        <v>0</v>
      </c>
      <c r="DS361" s="399"/>
      <c r="DT361" s="399"/>
      <c r="DU361" s="399"/>
      <c r="DV361" s="399">
        <v>1154.2911359771258</v>
      </c>
      <c r="DW361" s="399">
        <v>0</v>
      </c>
      <c r="DX361" s="399">
        <v>0</v>
      </c>
      <c r="DY361" s="399">
        <v>-352.82584999999995</v>
      </c>
      <c r="DZ361" s="399">
        <v>6.0182199999999852</v>
      </c>
      <c r="EA361" s="399">
        <v>0</v>
      </c>
      <c r="EB361" s="399">
        <v>0</v>
      </c>
      <c r="EC361" s="399">
        <v>-356.90788686308986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28.590353031304851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230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360</v>
      </c>
      <c r="B362" s="399" t="s">
        <v>956</v>
      </c>
      <c r="C362" s="399" t="s">
        <v>2337</v>
      </c>
      <c r="D362" s="399" t="s">
        <v>533</v>
      </c>
      <c r="E362" s="399" t="s">
        <v>2346</v>
      </c>
      <c r="F362" s="399" t="s">
        <v>1239</v>
      </c>
      <c r="G362" s="399" t="s">
        <v>1239</v>
      </c>
      <c r="H362" s="399" t="s">
        <v>1239</v>
      </c>
      <c r="I362" s="399" t="s">
        <v>2326</v>
      </c>
      <c r="J362" s="399" t="s">
        <v>2329</v>
      </c>
      <c r="K362" s="789">
        <v>44652</v>
      </c>
      <c r="L362" s="399">
        <v>0</v>
      </c>
      <c r="M362" s="399">
        <v>0</v>
      </c>
      <c r="N362" s="399">
        <v>12.231999999999999</v>
      </c>
      <c r="O362" s="399">
        <v>12.231999999999999</v>
      </c>
      <c r="P362" s="399">
        <v>12.231999999999999</v>
      </c>
      <c r="Q362" s="399">
        <v>12.231999999999999</v>
      </c>
      <c r="R362" s="399"/>
      <c r="S362" s="399">
        <v>96.28</v>
      </c>
      <c r="T362" s="399">
        <v>128.11000000000001</v>
      </c>
      <c r="U362" s="399"/>
      <c r="V362" s="399">
        <v>2744.73848</v>
      </c>
      <c r="W362" s="399">
        <v>2744.73848</v>
      </c>
      <c r="X362" s="399">
        <v>2747.79648</v>
      </c>
      <c r="Y362" s="399">
        <v>0</v>
      </c>
      <c r="Z362" s="399">
        <v>651.45141430360775</v>
      </c>
      <c r="AA362" s="399">
        <v>0</v>
      </c>
      <c r="AB362" s="399">
        <v>0</v>
      </c>
      <c r="AC362" s="399">
        <v>0</v>
      </c>
      <c r="AD362" s="399">
        <v>0</v>
      </c>
      <c r="AE362" s="399">
        <v>0</v>
      </c>
      <c r="AF362" s="399">
        <v>1567.0543198728383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115.63949825367001</v>
      </c>
      <c r="AM362" s="399"/>
      <c r="AN362" s="399">
        <v>6.0132591837301828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64.078742523493787</v>
      </c>
      <c r="BH362" s="399">
        <v>0</v>
      </c>
      <c r="BI362" s="399">
        <v>0</v>
      </c>
      <c r="BJ362" s="399">
        <v>0</v>
      </c>
      <c r="BK362" s="399">
        <v>0</v>
      </c>
      <c r="BL362" s="399">
        <v>0</v>
      </c>
      <c r="BM362" s="399"/>
      <c r="BN362" s="399"/>
      <c r="BO362" s="399"/>
      <c r="BP362" s="399"/>
      <c r="BQ362" s="399"/>
      <c r="BR362" s="399"/>
      <c r="BS362" s="399"/>
      <c r="BT362" s="399"/>
      <c r="BU362" s="399"/>
      <c r="BV362" s="399">
        <v>1631.133062396332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2747.3472000000002</v>
      </c>
      <c r="CJ362" s="399">
        <v>2.5787199999999757</v>
      </c>
      <c r="CK362" s="399"/>
      <c r="CL362" s="399"/>
      <c r="CM362" s="399"/>
      <c r="CN362" s="399"/>
      <c r="CO362" s="399">
        <v>-68.62151999999999</v>
      </c>
      <c r="CP362" s="399">
        <v>71.679519999999812</v>
      </c>
      <c r="CQ362" s="399">
        <v>30</v>
      </c>
      <c r="CR362" s="399">
        <v>3.0438431402344577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0</v>
      </c>
      <c r="DA362" s="399">
        <v>0</v>
      </c>
      <c r="DB362" s="399">
        <v>0</v>
      </c>
      <c r="DC362" s="399">
        <v>71.67259983829058</v>
      </c>
      <c r="DD362" s="399">
        <v>0</v>
      </c>
      <c r="DE362" s="399">
        <v>0</v>
      </c>
      <c r="DF362" s="399">
        <v>0</v>
      </c>
      <c r="DG362" s="399">
        <v>2.9307791138979269</v>
      </c>
      <c r="DH362" s="399">
        <v>0</v>
      </c>
      <c r="DI362" s="399">
        <v>-61.621559646645096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-9.2334185492525762</v>
      </c>
      <c r="DP362" s="399">
        <v>-0.70455761605638045</v>
      </c>
      <c r="DQ362" s="399">
        <v>0</v>
      </c>
      <c r="DR362" s="399">
        <v>0</v>
      </c>
      <c r="DS362" s="399"/>
      <c r="DT362" s="399"/>
      <c r="DU362" s="399"/>
      <c r="DV362" s="399">
        <v>0</v>
      </c>
      <c r="DW362" s="399">
        <v>0</v>
      </c>
      <c r="DX362" s="399">
        <v>0</v>
      </c>
      <c r="DY362" s="399">
        <v>-68.621519999999919</v>
      </c>
      <c r="DZ362" s="399">
        <v>71.679519999999911</v>
      </c>
      <c r="EA362" s="399">
        <v>0</v>
      </c>
      <c r="EB362" s="399">
        <v>0</v>
      </c>
      <c r="EC362" s="399">
        <v>0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340.52307524724529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230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361</v>
      </c>
      <c r="B363" s="399" t="s">
        <v>956</v>
      </c>
      <c r="C363" s="399" t="s">
        <v>2337</v>
      </c>
      <c r="D363" s="399" t="s">
        <v>533</v>
      </c>
      <c r="E363" s="399" t="s">
        <v>2346</v>
      </c>
      <c r="F363" s="399" t="s">
        <v>1239</v>
      </c>
      <c r="G363" s="399" t="s">
        <v>1239</v>
      </c>
      <c r="H363" s="399" t="s">
        <v>1239</v>
      </c>
      <c r="I363" s="399" t="s">
        <v>1239</v>
      </c>
      <c r="J363" s="399" t="s">
        <v>2329</v>
      </c>
      <c r="K363" s="789">
        <v>44652</v>
      </c>
      <c r="L363" s="399">
        <v>95</v>
      </c>
      <c r="M363" s="399">
        <v>95</v>
      </c>
      <c r="N363" s="399">
        <v>0</v>
      </c>
      <c r="O363" s="399">
        <v>0</v>
      </c>
      <c r="P363" s="399">
        <v>0</v>
      </c>
      <c r="Q363" s="399">
        <v>0</v>
      </c>
      <c r="R363" s="399">
        <v>18.12</v>
      </c>
      <c r="S363" s="399"/>
      <c r="T363" s="399"/>
      <c r="U363" s="399">
        <v>1721.4</v>
      </c>
      <c r="V363" s="399"/>
      <c r="W363" s="399">
        <v>1721.4</v>
      </c>
      <c r="X363" s="399">
        <v>1372.75</v>
      </c>
      <c r="Y363" s="399">
        <v>0</v>
      </c>
      <c r="Z363" s="399">
        <v>0</v>
      </c>
      <c r="AA363" s="399">
        <v>0</v>
      </c>
      <c r="AB363" s="399">
        <v>0</v>
      </c>
      <c r="AC363" s="399">
        <v>0</v>
      </c>
      <c r="AD363" s="399">
        <v>0</v>
      </c>
      <c r="AE363" s="399">
        <v>1240.5991402087554</v>
      </c>
      <c r="AF363" s="399"/>
      <c r="AG363" s="399"/>
      <c r="AH363" s="399"/>
      <c r="AI363" s="399">
        <v>0</v>
      </c>
      <c r="AJ363" s="399">
        <v>0</v>
      </c>
      <c r="AK363" s="399">
        <v>0</v>
      </c>
      <c r="AL363" s="399">
        <v>0</v>
      </c>
      <c r="AM363" s="399"/>
      <c r="AN363" s="399">
        <v>0</v>
      </c>
      <c r="AO363" s="399">
        <v>75.512689137147717</v>
      </c>
      <c r="AP363" s="399">
        <v>404.82549878573383</v>
      </c>
      <c r="AQ363" s="399">
        <v>0</v>
      </c>
      <c r="AR363" s="399">
        <v>0</v>
      </c>
      <c r="AS363" s="399"/>
      <c r="AT363" s="399"/>
      <c r="AU363" s="399">
        <v>0</v>
      </c>
      <c r="AV363" s="399">
        <v>0</v>
      </c>
      <c r="AW363" s="399">
        <v>0</v>
      </c>
      <c r="AX363" s="399"/>
      <c r="AY363" s="399"/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/>
      <c r="BG363" s="399">
        <v>0</v>
      </c>
      <c r="BH363" s="399">
        <v>0</v>
      </c>
      <c r="BI363" s="399">
        <v>0</v>
      </c>
      <c r="BJ363" s="399">
        <v>0</v>
      </c>
      <c r="BK363" s="399">
        <v>1981.86</v>
      </c>
      <c r="BL363" s="399">
        <v>1</v>
      </c>
      <c r="BM363" s="399"/>
      <c r="BN363" s="399"/>
      <c r="BO363" s="399"/>
      <c r="BP363" s="399"/>
      <c r="BQ363" s="399"/>
      <c r="BR363" s="399"/>
      <c r="BS363" s="399"/>
      <c r="BT363" s="399"/>
      <c r="BU363" s="399"/>
      <c r="BV363" s="399">
        <v>0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1372.75</v>
      </c>
      <c r="CJ363" s="399">
        <v>-348.68000000000006</v>
      </c>
      <c r="CK363" s="399"/>
      <c r="CL363" s="399"/>
      <c r="CM363" s="399"/>
      <c r="CN363" s="399"/>
      <c r="CO363" s="399">
        <v>-348.65000000000015</v>
      </c>
      <c r="CP363" s="399">
        <v>0</v>
      </c>
      <c r="CQ363" s="399">
        <v>30</v>
      </c>
      <c r="CR363" s="399">
        <v>35.062675168269209</v>
      </c>
      <c r="CS363" s="399">
        <v>5.5121099193624161</v>
      </c>
      <c r="CT363" s="399">
        <v>29.550565248906821</v>
      </c>
      <c r="CU363" s="399">
        <v>0</v>
      </c>
      <c r="CV363" s="399">
        <v>0</v>
      </c>
      <c r="CW363" s="399"/>
      <c r="CX363" s="399"/>
      <c r="CY363" s="399"/>
      <c r="CZ363" s="399">
        <v>0</v>
      </c>
      <c r="DA363" s="399">
        <v>0</v>
      </c>
      <c r="DB363" s="399">
        <v>0</v>
      </c>
      <c r="DC363" s="399"/>
      <c r="DD363" s="399"/>
      <c r="DE363" s="399">
        <v>0</v>
      </c>
      <c r="DF363" s="399">
        <v>0</v>
      </c>
      <c r="DG363" s="399">
        <v>0</v>
      </c>
      <c r="DH363" s="399">
        <v>0</v>
      </c>
      <c r="DI363" s="399">
        <v>0</v>
      </c>
      <c r="DJ363" s="399"/>
      <c r="DK363" s="399">
        <v>0</v>
      </c>
      <c r="DL363" s="399">
        <v>0</v>
      </c>
      <c r="DM363" s="399"/>
      <c r="DN363" s="399">
        <v>0</v>
      </c>
      <c r="DO363" s="399">
        <v>0</v>
      </c>
      <c r="DP363" s="399">
        <v>0</v>
      </c>
      <c r="DQ363" s="399">
        <v>0</v>
      </c>
      <c r="DR363" s="399">
        <v>0</v>
      </c>
      <c r="DS363" s="399"/>
      <c r="DT363" s="399"/>
      <c r="DU363" s="399">
        <v>1240.5991402087554</v>
      </c>
      <c r="DV363" s="399"/>
      <c r="DW363" s="399">
        <v>0</v>
      </c>
      <c r="DX363" s="399">
        <v>0</v>
      </c>
      <c r="DY363" s="399">
        <v>-348.65000000000009</v>
      </c>
      <c r="DZ363" s="399"/>
      <c r="EA363" s="399">
        <v>0</v>
      </c>
      <c r="EB363" s="399"/>
      <c r="EC363" s="399">
        <v>-383.59440159891403</v>
      </c>
      <c r="ED363" s="399"/>
      <c r="EE363" s="399">
        <v>0</v>
      </c>
      <c r="EF363" s="399">
        <v>0</v>
      </c>
      <c r="EG363" s="399"/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/>
      <c r="EN363" s="399"/>
      <c r="EO363" s="399">
        <v>0</v>
      </c>
      <c r="EP363" s="399">
        <v>0</v>
      </c>
      <c r="EQ363" s="399"/>
      <c r="ER363" s="399">
        <v>0</v>
      </c>
      <c r="ES363" s="399"/>
      <c r="ET363" s="399">
        <v>0</v>
      </c>
      <c r="EU363" s="399"/>
      <c r="EV363" s="399">
        <v>230</v>
      </c>
      <c r="EW363" s="399"/>
      <c r="EX363" s="399"/>
      <c r="EY363" s="399"/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362</v>
      </c>
      <c r="B364" s="399" t="s">
        <v>956</v>
      </c>
      <c r="C364" s="399" t="s">
        <v>2328</v>
      </c>
      <c r="D364" s="399" t="s">
        <v>2340</v>
      </c>
      <c r="E364" s="399" t="s">
        <v>894</v>
      </c>
      <c r="F364" s="399" t="s">
        <v>2347</v>
      </c>
      <c r="G364" s="399" t="s">
        <v>2348</v>
      </c>
      <c r="H364" s="399" t="s">
        <v>1239</v>
      </c>
      <c r="I364" s="399" t="s">
        <v>1239</v>
      </c>
      <c r="J364" s="399" t="s">
        <v>2329</v>
      </c>
      <c r="K364" s="789">
        <v>44652</v>
      </c>
      <c r="L364" s="399">
        <v>0</v>
      </c>
      <c r="M364" s="399">
        <v>0</v>
      </c>
      <c r="N364" s="399">
        <v>0</v>
      </c>
      <c r="O364" s="399">
        <v>0</v>
      </c>
      <c r="P364" s="399">
        <v>0</v>
      </c>
      <c r="Q364" s="399">
        <v>0</v>
      </c>
      <c r="R364" s="399"/>
      <c r="S364" s="399"/>
      <c r="T364" s="399"/>
      <c r="U364" s="399"/>
      <c r="V364" s="399"/>
      <c r="W364" s="399"/>
      <c r="X364" s="399"/>
      <c r="Y364" s="399"/>
      <c r="Z364" s="399"/>
      <c r="AA364" s="399">
        <v>0</v>
      </c>
      <c r="AB364" s="399"/>
      <c r="AC364" s="399"/>
      <c r="AD364" s="399"/>
      <c r="AE364" s="399"/>
      <c r="AF364" s="399"/>
      <c r="AG364" s="399"/>
      <c r="AH364" s="399"/>
      <c r="AI364" s="399"/>
      <c r="AJ364" s="399"/>
      <c r="AK364" s="399"/>
      <c r="AL364" s="399"/>
      <c r="AM364" s="399"/>
      <c r="AN364" s="399"/>
      <c r="AO364" s="399"/>
      <c r="AP364" s="399"/>
      <c r="AQ364" s="399"/>
      <c r="AR364" s="399"/>
      <c r="AS364" s="399"/>
      <c r="AT364" s="399"/>
      <c r="AU364" s="399"/>
      <c r="AV364" s="399"/>
      <c r="AW364" s="399"/>
      <c r="AX364" s="399"/>
      <c r="AY364" s="399"/>
      <c r="AZ364" s="399">
        <v>0</v>
      </c>
      <c r="BA364" s="399"/>
      <c r="BB364" s="399"/>
      <c r="BC364" s="399"/>
      <c r="BD364" s="399"/>
      <c r="BE364" s="399"/>
      <c r="BF364" s="399"/>
      <c r="BG364" s="399"/>
      <c r="BH364" s="399"/>
      <c r="BI364" s="399">
        <v>0</v>
      </c>
      <c r="BJ364" s="399">
        <v>0</v>
      </c>
      <c r="BK364" s="399">
        <v>2292.83</v>
      </c>
      <c r="BL364" s="399">
        <v>101</v>
      </c>
      <c r="BM364" s="399"/>
      <c r="BN364" s="399"/>
      <c r="BO364" s="399"/>
      <c r="BP364" s="399"/>
      <c r="BQ364" s="399"/>
      <c r="BR364" s="399"/>
      <c r="BS364" s="399"/>
      <c r="BT364" s="399"/>
      <c r="BU364" s="399"/>
      <c r="BV364" s="399"/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/>
      <c r="CJ364" s="399">
        <v>-0.03</v>
      </c>
      <c r="CK364" s="399"/>
      <c r="CL364" s="399"/>
      <c r="CM364" s="399"/>
      <c r="CN364" s="399"/>
      <c r="CO364" s="399">
        <v>0</v>
      </c>
      <c r="CP364" s="399">
        <v>0</v>
      </c>
      <c r="CQ364" s="399">
        <v>30</v>
      </c>
      <c r="CR364" s="399"/>
      <c r="CS364" s="399"/>
      <c r="CT364" s="399"/>
      <c r="CU364" s="399"/>
      <c r="CV364" s="399"/>
      <c r="CW364" s="399"/>
      <c r="CX364" s="399"/>
      <c r="CY364" s="399"/>
      <c r="CZ364" s="399"/>
      <c r="DA364" s="399"/>
      <c r="DB364" s="399"/>
      <c r="DC364" s="399"/>
      <c r="DD364" s="399"/>
      <c r="DE364" s="399"/>
      <c r="DF364" s="399"/>
      <c r="DG364" s="399"/>
      <c r="DH364" s="399"/>
      <c r="DI364" s="399"/>
      <c r="DJ364" s="399"/>
      <c r="DK364" s="399">
        <v>0</v>
      </c>
      <c r="DL364" s="399"/>
      <c r="DM364" s="399"/>
      <c r="DN364" s="399"/>
      <c r="DO364" s="399"/>
      <c r="DP364" s="399"/>
      <c r="DQ364" s="399"/>
      <c r="DR364" s="399"/>
      <c r="DS364" s="399"/>
      <c r="DT364" s="399"/>
      <c r="DU364" s="399"/>
      <c r="DV364" s="399"/>
      <c r="DW364" s="399"/>
      <c r="DX364" s="399"/>
      <c r="DY364" s="399"/>
      <c r="DZ364" s="399"/>
      <c r="EA364" s="399"/>
      <c r="EB364" s="399"/>
      <c r="EC364" s="399"/>
      <c r="ED364" s="399"/>
      <c r="EE364" s="399"/>
      <c r="EF364" s="399"/>
      <c r="EG364" s="399"/>
      <c r="EH364" s="399"/>
      <c r="EI364" s="399"/>
      <c r="EJ364" s="399"/>
      <c r="EK364" s="399"/>
      <c r="EL364" s="399"/>
      <c r="EM364" s="399"/>
      <c r="EN364" s="399"/>
      <c r="EO364" s="399"/>
      <c r="EP364" s="399"/>
      <c r="EQ364" s="399"/>
      <c r="ER364" s="399"/>
      <c r="ES364" s="399"/>
      <c r="ET364" s="399"/>
      <c r="EU364" s="399"/>
      <c r="EV364" s="399">
        <v>230</v>
      </c>
      <c r="EW364" s="399"/>
      <c r="EX364" s="399"/>
      <c r="EY364" s="399"/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363</v>
      </c>
      <c r="B365" s="399" t="s">
        <v>956</v>
      </c>
      <c r="C365" s="399" t="s">
        <v>2328</v>
      </c>
      <c r="D365" s="399" t="s">
        <v>2340</v>
      </c>
      <c r="E365" s="399" t="s">
        <v>894</v>
      </c>
      <c r="F365" s="399" t="s">
        <v>2347</v>
      </c>
      <c r="G365" s="399" t="s">
        <v>2348</v>
      </c>
      <c r="H365" s="399" t="s">
        <v>1239</v>
      </c>
      <c r="I365" s="399" t="s">
        <v>1239</v>
      </c>
      <c r="J365" s="399" t="s">
        <v>2329</v>
      </c>
      <c r="K365" s="789">
        <v>44652</v>
      </c>
      <c r="L365" s="399">
        <v>0</v>
      </c>
      <c r="M365" s="399">
        <v>0</v>
      </c>
      <c r="N365" s="399">
        <v>20.023</v>
      </c>
      <c r="O365" s="399">
        <v>20.023</v>
      </c>
      <c r="P365" s="399">
        <v>20.023</v>
      </c>
      <c r="Q365" s="399">
        <v>20.023</v>
      </c>
      <c r="R365" s="399"/>
      <c r="S365" s="399">
        <v>333.61</v>
      </c>
      <c r="T365" s="399">
        <v>128.11000000000001</v>
      </c>
      <c r="U365" s="399"/>
      <c r="V365" s="399">
        <v>9245.0195600000006</v>
      </c>
      <c r="W365" s="399">
        <v>9245.0195600000006</v>
      </c>
      <c r="X365" s="399">
        <v>8069.8696900000004</v>
      </c>
      <c r="Y365" s="399">
        <v>0</v>
      </c>
      <c r="Z365" s="399">
        <v>1225.7289781279487</v>
      </c>
      <c r="AA365" s="399">
        <v>0</v>
      </c>
      <c r="AB365" s="399">
        <v>0</v>
      </c>
      <c r="AC365" s="399">
        <v>0</v>
      </c>
      <c r="AD365" s="399">
        <v>0</v>
      </c>
      <c r="AE365" s="399">
        <v>3894.3973778464997</v>
      </c>
      <c r="AF365" s="399">
        <v>2565.167482571439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189.2944468225339</v>
      </c>
      <c r="AM365" s="399"/>
      <c r="AN365" s="399">
        <v>17.227547047131139</v>
      </c>
      <c r="AO365" s="399">
        <v>69.600351832206584</v>
      </c>
      <c r="AP365" s="399">
        <v>371.2791922538288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271.67948926858423</v>
      </c>
      <c r="BH365" s="399">
        <v>0</v>
      </c>
      <c r="BI365" s="399">
        <v>0</v>
      </c>
      <c r="BJ365" s="399">
        <v>0</v>
      </c>
      <c r="BK365" s="399">
        <v>0</v>
      </c>
      <c r="BL365" s="399">
        <v>0</v>
      </c>
      <c r="BM365" s="399"/>
      <c r="BN365" s="399"/>
      <c r="BO365" s="399"/>
      <c r="BP365" s="399"/>
      <c r="BQ365" s="399"/>
      <c r="BR365" s="399">
        <v>968.51250999999979</v>
      </c>
      <c r="BS365" s="399"/>
      <c r="BT365" s="399"/>
      <c r="BU365" s="399"/>
      <c r="BV365" s="399">
        <v>2836.8469718400233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7100.2932000000001</v>
      </c>
      <c r="CJ365" s="399">
        <v>-1035.4821599999996</v>
      </c>
      <c r="CK365" s="399"/>
      <c r="CL365" s="399"/>
      <c r="CM365" s="399"/>
      <c r="CN365" s="399"/>
      <c r="CO365" s="399">
        <v>-1292.4846500000001</v>
      </c>
      <c r="CP365" s="399">
        <v>117.3347799999997</v>
      </c>
      <c r="CQ365" s="399">
        <v>30</v>
      </c>
      <c r="CR365" s="399">
        <v>28.855483592129531</v>
      </c>
      <c r="CS365" s="399">
        <v>5.0805340679716409</v>
      </c>
      <c r="CT365" s="399">
        <v>27.10182542643139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0</v>
      </c>
      <c r="DA365" s="399">
        <v>0</v>
      </c>
      <c r="DB365" s="399">
        <v>0</v>
      </c>
      <c r="DC365" s="399">
        <v>117.323452138824</v>
      </c>
      <c r="DD365" s="399">
        <v>0</v>
      </c>
      <c r="DE365" s="399">
        <v>0</v>
      </c>
      <c r="DF365" s="399">
        <v>0</v>
      </c>
      <c r="DG365" s="399">
        <v>12.425845787014453</v>
      </c>
      <c r="DH365" s="399">
        <v>0</v>
      </c>
      <c r="DI365" s="399">
        <v>-115.94315351525256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-15.114514356743314</v>
      </c>
      <c r="DP365" s="399">
        <v>-2.0185059561155541</v>
      </c>
      <c r="DQ365" s="399">
        <v>0</v>
      </c>
      <c r="DR365" s="399">
        <v>0</v>
      </c>
      <c r="DS365" s="399"/>
      <c r="DT365" s="399"/>
      <c r="DU365" s="399"/>
      <c r="DV365" s="399">
        <v>3894.3973778464997</v>
      </c>
      <c r="DW365" s="399">
        <v>0</v>
      </c>
      <c r="DX365" s="399">
        <v>0</v>
      </c>
      <c r="DY365" s="399">
        <v>-1292.4846499999994</v>
      </c>
      <c r="DZ365" s="399">
        <v>117.33477999999968</v>
      </c>
      <c r="EA365" s="399">
        <v>0</v>
      </c>
      <c r="EB365" s="399">
        <v>0</v>
      </c>
      <c r="EC365" s="399">
        <v>-1204.1512712091949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640.70626279624594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230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364</v>
      </c>
      <c r="B366" s="399" t="s">
        <v>956</v>
      </c>
      <c r="C366" s="399" t="s">
        <v>2328</v>
      </c>
      <c r="D366" s="399" t="s">
        <v>2340</v>
      </c>
      <c r="E366" s="399" t="s">
        <v>894</v>
      </c>
      <c r="F366" s="399" t="s">
        <v>2347</v>
      </c>
      <c r="G366" s="399" t="s">
        <v>2349</v>
      </c>
      <c r="H366" s="399" t="s">
        <v>1239</v>
      </c>
      <c r="I366" s="399" t="s">
        <v>1239</v>
      </c>
      <c r="J366" s="399" t="s">
        <v>2329</v>
      </c>
      <c r="K366" s="789">
        <v>44652</v>
      </c>
      <c r="L366" s="399">
        <v>0</v>
      </c>
      <c r="M366" s="399">
        <v>0</v>
      </c>
      <c r="N366" s="399">
        <v>1.601</v>
      </c>
      <c r="O366" s="399">
        <v>0.64039999999999997</v>
      </c>
      <c r="P366" s="399">
        <v>1.601</v>
      </c>
      <c r="Q366" s="399">
        <v>0.64039999999999997</v>
      </c>
      <c r="R366" s="399"/>
      <c r="S366" s="399">
        <v>333.61</v>
      </c>
      <c r="T366" s="399">
        <v>128.11000000000001</v>
      </c>
      <c r="U366" s="399"/>
      <c r="V366" s="399">
        <v>739.21371999999997</v>
      </c>
      <c r="W366" s="399">
        <v>739.21371999999997</v>
      </c>
      <c r="X366" s="399">
        <v>645.25103000000001</v>
      </c>
      <c r="Y366" s="399">
        <v>0</v>
      </c>
      <c r="Z366" s="399">
        <v>98.00689676785926</v>
      </c>
      <c r="AA366" s="399">
        <v>0</v>
      </c>
      <c r="AB366" s="399">
        <v>0</v>
      </c>
      <c r="AC366" s="399">
        <v>0</v>
      </c>
      <c r="AD366" s="399">
        <v>0</v>
      </c>
      <c r="AE366" s="399">
        <v>311.38841342117792</v>
      </c>
      <c r="AF366" s="399">
        <v>205.10578532671798</v>
      </c>
      <c r="AG366" s="399">
        <v>0</v>
      </c>
      <c r="AH366" s="399">
        <v>0</v>
      </c>
      <c r="AI366" s="399">
        <v>0</v>
      </c>
      <c r="AJ366" s="399">
        <v>0</v>
      </c>
      <c r="AK366" s="399">
        <v>0</v>
      </c>
      <c r="AL366" s="399">
        <v>15.135614511455664</v>
      </c>
      <c r="AM366" s="399"/>
      <c r="AN366" s="399">
        <v>1.3774810379292293</v>
      </c>
      <c r="AO366" s="399">
        <v>5.5651082896350568</v>
      </c>
      <c r="AP366" s="399">
        <v>29.686759566417614</v>
      </c>
      <c r="AQ366" s="399">
        <v>0</v>
      </c>
      <c r="AR366" s="399">
        <v>0</v>
      </c>
      <c r="AS366" s="399">
        <v>0</v>
      </c>
      <c r="AT366" s="399">
        <v>0</v>
      </c>
      <c r="AU366" s="399">
        <v>0</v>
      </c>
      <c r="AV366" s="399">
        <v>0</v>
      </c>
      <c r="AW366" s="399">
        <v>0</v>
      </c>
      <c r="AX366" s="399">
        <v>0</v>
      </c>
      <c r="AY366" s="399">
        <v>0</v>
      </c>
      <c r="AZ366" s="399">
        <v>0</v>
      </c>
      <c r="BA366" s="399"/>
      <c r="BB366" s="399">
        <v>0</v>
      </c>
      <c r="BC366" s="399">
        <v>0</v>
      </c>
      <c r="BD366" s="399">
        <v>0</v>
      </c>
      <c r="BE366" s="399">
        <v>0</v>
      </c>
      <c r="BF366" s="399">
        <v>0</v>
      </c>
      <c r="BG366" s="399">
        <v>21.722961709983686</v>
      </c>
      <c r="BH366" s="399">
        <v>0</v>
      </c>
      <c r="BI366" s="399">
        <v>0</v>
      </c>
      <c r="BJ366" s="399">
        <v>0</v>
      </c>
      <c r="BK366" s="399">
        <v>0</v>
      </c>
      <c r="BL366" s="399">
        <v>0</v>
      </c>
      <c r="BM366" s="399"/>
      <c r="BN366" s="399"/>
      <c r="BO366" s="399"/>
      <c r="BP366" s="399"/>
      <c r="BQ366" s="399"/>
      <c r="BR366" s="399"/>
      <c r="BS366" s="399">
        <v>418.12676600000003</v>
      </c>
      <c r="BT366" s="399"/>
      <c r="BU366" s="399"/>
      <c r="BV366" s="399">
        <v>226.82874703670166</v>
      </c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>
        <v>226.98240000000001</v>
      </c>
      <c r="CJ366" s="399">
        <v>-33.254927999999921</v>
      </c>
      <c r="CK366" s="399"/>
      <c r="CL366" s="399"/>
      <c r="CM366" s="399"/>
      <c r="CN366" s="399"/>
      <c r="CO366" s="399">
        <v>-103.34455000000001</v>
      </c>
      <c r="CP366" s="399">
        <v>9.3818599999999766</v>
      </c>
      <c r="CQ366" s="399">
        <v>30</v>
      </c>
      <c r="CR366" s="399">
        <v>2.3072281491783997</v>
      </c>
      <c r="CS366" s="399">
        <v>0.40622958811479748</v>
      </c>
      <c r="CT366" s="399">
        <v>2.1670090649611282</v>
      </c>
      <c r="CU366" s="399">
        <v>0</v>
      </c>
      <c r="CV366" s="399">
        <v>0</v>
      </c>
      <c r="CW366" s="399">
        <v>0</v>
      </c>
      <c r="CX366" s="399">
        <v>0</v>
      </c>
      <c r="CY366" s="399">
        <v>0</v>
      </c>
      <c r="CZ366" s="399">
        <v>0</v>
      </c>
      <c r="DA366" s="399">
        <v>0</v>
      </c>
      <c r="DB366" s="399">
        <v>0</v>
      </c>
      <c r="DC366" s="399">
        <v>9.3809542463295656</v>
      </c>
      <c r="DD366" s="399">
        <v>0</v>
      </c>
      <c r="DE366" s="399">
        <v>0</v>
      </c>
      <c r="DF366" s="399">
        <v>0</v>
      </c>
      <c r="DG366" s="399">
        <v>0.99354637691705605</v>
      </c>
      <c r="DH366" s="399">
        <v>0</v>
      </c>
      <c r="DI366" s="399">
        <v>-9.2705882623942131</v>
      </c>
      <c r="DJ366" s="399"/>
      <c r="DK366" s="399">
        <v>0</v>
      </c>
      <c r="DL366" s="399">
        <v>0</v>
      </c>
      <c r="DM366" s="399">
        <v>0</v>
      </c>
      <c r="DN366" s="399">
        <v>0</v>
      </c>
      <c r="DO366" s="399">
        <v>-1.2085270681289533</v>
      </c>
      <c r="DP366" s="399">
        <v>-0.16139579662093628</v>
      </c>
      <c r="DQ366" s="399">
        <v>0</v>
      </c>
      <c r="DR366" s="399">
        <v>0</v>
      </c>
      <c r="DS366" s="399"/>
      <c r="DT366" s="399"/>
      <c r="DU366" s="399"/>
      <c r="DV366" s="399">
        <v>311.38841342117792</v>
      </c>
      <c r="DW366" s="399">
        <v>0</v>
      </c>
      <c r="DX366" s="399">
        <v>0</v>
      </c>
      <c r="DY366" s="399">
        <v>-103.34454999999997</v>
      </c>
      <c r="DZ366" s="399">
        <v>9.381859999999989</v>
      </c>
      <c r="EA366" s="399">
        <v>0</v>
      </c>
      <c r="EB366" s="399">
        <v>0</v>
      </c>
      <c r="EC366" s="399">
        <v>-96.281585437043418</v>
      </c>
      <c r="ED366" s="399">
        <v>0</v>
      </c>
      <c r="EE366" s="399">
        <v>0</v>
      </c>
      <c r="EF366" s="399">
        <v>0</v>
      </c>
      <c r="EG366" s="399">
        <v>0</v>
      </c>
      <c r="EH366" s="399">
        <v>0</v>
      </c>
      <c r="EI366" s="399">
        <v>0</v>
      </c>
      <c r="EJ366" s="399">
        <v>0</v>
      </c>
      <c r="EK366" s="399">
        <v>0</v>
      </c>
      <c r="EL366" s="399">
        <v>0</v>
      </c>
      <c r="EM366" s="399">
        <v>0</v>
      </c>
      <c r="EN366" s="399">
        <v>0</v>
      </c>
      <c r="EO366" s="399">
        <v>0</v>
      </c>
      <c r="EP366" s="399">
        <v>51.229622271227576</v>
      </c>
      <c r="EQ366" s="399">
        <v>0</v>
      </c>
      <c r="ER366" s="399">
        <v>0</v>
      </c>
      <c r="ES366" s="399">
        <v>0</v>
      </c>
      <c r="ET366" s="399">
        <v>0</v>
      </c>
      <c r="EU366" s="399">
        <v>0</v>
      </c>
      <c r="EV366" s="399">
        <v>230</v>
      </c>
      <c r="EW366" s="399">
        <v>0</v>
      </c>
      <c r="EX366" s="399">
        <v>0</v>
      </c>
      <c r="EY366" s="399">
        <v>0</v>
      </c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365</v>
      </c>
      <c r="B367" s="399" t="s">
        <v>956</v>
      </c>
      <c r="C367" s="399" t="s">
        <v>2328</v>
      </c>
      <c r="D367" s="399" t="s">
        <v>2340</v>
      </c>
      <c r="E367" s="399" t="s">
        <v>894</v>
      </c>
      <c r="F367" s="399" t="s">
        <v>2350</v>
      </c>
      <c r="G367" s="399" t="s">
        <v>2348</v>
      </c>
      <c r="H367" s="399" t="s">
        <v>1239</v>
      </c>
      <c r="I367" s="399" t="s">
        <v>1239</v>
      </c>
      <c r="J367" s="399" t="s">
        <v>2329</v>
      </c>
      <c r="K367" s="789">
        <v>44652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/>
      <c r="S367" s="399"/>
      <c r="T367" s="399"/>
      <c r="U367" s="399"/>
      <c r="V367" s="399"/>
      <c r="W367" s="399"/>
      <c r="X367" s="399"/>
      <c r="Y367" s="399"/>
      <c r="Z367" s="399"/>
      <c r="AA367" s="399">
        <v>0</v>
      </c>
      <c r="AB367" s="399"/>
      <c r="AC367" s="399"/>
      <c r="AD367" s="399"/>
      <c r="AE367" s="399"/>
      <c r="AF367" s="399"/>
      <c r="AG367" s="399"/>
      <c r="AH367" s="399"/>
      <c r="AI367" s="399"/>
      <c r="AJ367" s="399"/>
      <c r="AK367" s="399"/>
      <c r="AL367" s="399"/>
      <c r="AM367" s="399"/>
      <c r="AN367" s="399"/>
      <c r="AO367" s="399"/>
      <c r="AP367" s="399"/>
      <c r="AQ367" s="399"/>
      <c r="AR367" s="399"/>
      <c r="AS367" s="399"/>
      <c r="AT367" s="399"/>
      <c r="AU367" s="399"/>
      <c r="AV367" s="399"/>
      <c r="AW367" s="399"/>
      <c r="AX367" s="399"/>
      <c r="AY367" s="399"/>
      <c r="AZ367" s="399">
        <v>0</v>
      </c>
      <c r="BA367" s="399"/>
      <c r="BB367" s="399"/>
      <c r="BC367" s="399"/>
      <c r="BD367" s="399"/>
      <c r="BE367" s="399"/>
      <c r="BF367" s="399"/>
      <c r="BG367" s="399"/>
      <c r="BH367" s="399"/>
      <c r="BI367" s="399">
        <v>0</v>
      </c>
      <c r="BJ367" s="399">
        <v>0</v>
      </c>
      <c r="BK367" s="399">
        <v>360.42</v>
      </c>
      <c r="BL367" s="399">
        <v>1</v>
      </c>
      <c r="BM367" s="399"/>
      <c r="BN367" s="399"/>
      <c r="BO367" s="399"/>
      <c r="BP367" s="399"/>
      <c r="BQ367" s="399"/>
      <c r="BR367" s="399"/>
      <c r="BS367" s="399"/>
      <c r="BT367" s="399"/>
      <c r="BU367" s="399"/>
      <c r="BV367" s="399"/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/>
      <c r="CJ367" s="399">
        <v>-0.03</v>
      </c>
      <c r="CK367" s="399"/>
      <c r="CL367" s="399"/>
      <c r="CM367" s="399"/>
      <c r="CN367" s="399"/>
      <c r="CO367" s="399">
        <v>0</v>
      </c>
      <c r="CP367" s="399">
        <v>0</v>
      </c>
      <c r="CQ367" s="399">
        <v>30</v>
      </c>
      <c r="CR367" s="399"/>
      <c r="CS367" s="399"/>
      <c r="CT367" s="399"/>
      <c r="CU367" s="399"/>
      <c r="CV367" s="399"/>
      <c r="CW367" s="399"/>
      <c r="CX367" s="399"/>
      <c r="CY367" s="399"/>
      <c r="CZ367" s="399"/>
      <c r="DA367" s="399"/>
      <c r="DB367" s="399"/>
      <c r="DC367" s="399"/>
      <c r="DD367" s="399"/>
      <c r="DE367" s="399"/>
      <c r="DF367" s="399"/>
      <c r="DG367" s="399"/>
      <c r="DH367" s="399"/>
      <c r="DI367" s="399"/>
      <c r="DJ367" s="399"/>
      <c r="DK367" s="399">
        <v>0</v>
      </c>
      <c r="DL367" s="399"/>
      <c r="DM367" s="399"/>
      <c r="DN367" s="399"/>
      <c r="DO367" s="399"/>
      <c r="DP367" s="399"/>
      <c r="DQ367" s="399"/>
      <c r="DR367" s="399"/>
      <c r="DS367" s="399"/>
      <c r="DT367" s="399"/>
      <c r="DU367" s="399"/>
      <c r="DV367" s="399"/>
      <c r="DW367" s="399"/>
      <c r="DX367" s="399"/>
      <c r="DY367" s="399"/>
      <c r="DZ367" s="399"/>
      <c r="EA367" s="399"/>
      <c r="EB367" s="399"/>
      <c r="EC367" s="399"/>
      <c r="ED367" s="399"/>
      <c r="EE367" s="399"/>
      <c r="EF367" s="399"/>
      <c r="EG367" s="399"/>
      <c r="EH367" s="399"/>
      <c r="EI367" s="399"/>
      <c r="EJ367" s="399"/>
      <c r="EK367" s="399"/>
      <c r="EL367" s="399"/>
      <c r="EM367" s="399"/>
      <c r="EN367" s="399"/>
      <c r="EO367" s="399"/>
      <c r="EP367" s="399"/>
      <c r="EQ367" s="399"/>
      <c r="ER367" s="399"/>
      <c r="ES367" s="399"/>
      <c r="ET367" s="399"/>
      <c r="EU367" s="399"/>
      <c r="EV367" s="399">
        <v>230</v>
      </c>
      <c r="EW367" s="399"/>
      <c r="EX367" s="399"/>
      <c r="EY367" s="399"/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366</v>
      </c>
      <c r="B368" s="399" t="s">
        <v>956</v>
      </c>
      <c r="C368" s="399" t="s">
        <v>2328</v>
      </c>
      <c r="D368" s="399" t="s">
        <v>2340</v>
      </c>
      <c r="E368" s="399" t="s">
        <v>894</v>
      </c>
      <c r="F368" s="399" t="s">
        <v>2350</v>
      </c>
      <c r="G368" s="399" t="s">
        <v>2348</v>
      </c>
      <c r="H368" s="399" t="s">
        <v>1239</v>
      </c>
      <c r="I368" s="399" t="s">
        <v>1239</v>
      </c>
      <c r="J368" s="399" t="s">
        <v>2329</v>
      </c>
      <c r="K368" s="789">
        <v>44652</v>
      </c>
      <c r="L368" s="399">
        <v>0</v>
      </c>
      <c r="M368" s="399">
        <v>0</v>
      </c>
      <c r="N368" s="399">
        <v>1.605</v>
      </c>
      <c r="O368" s="399">
        <v>1.605</v>
      </c>
      <c r="P368" s="399">
        <v>1.605</v>
      </c>
      <c r="Q368" s="399">
        <v>1.605</v>
      </c>
      <c r="R368" s="399"/>
      <c r="S368" s="399">
        <v>333.61</v>
      </c>
      <c r="T368" s="399">
        <v>128.11000000000001</v>
      </c>
      <c r="U368" s="399"/>
      <c r="V368" s="399">
        <v>741.06060000000002</v>
      </c>
      <c r="W368" s="399">
        <v>741.06060000000002</v>
      </c>
      <c r="X368" s="399">
        <v>646.86315000000002</v>
      </c>
      <c r="Y368" s="399">
        <v>0</v>
      </c>
      <c r="Z368" s="399">
        <v>98.251760969652793</v>
      </c>
      <c r="AA368" s="399">
        <v>0</v>
      </c>
      <c r="AB368" s="399">
        <v>0</v>
      </c>
      <c r="AC368" s="399">
        <v>0</v>
      </c>
      <c r="AD368" s="399">
        <v>0</v>
      </c>
      <c r="AE368" s="399">
        <v>312.16639821423524</v>
      </c>
      <c r="AF368" s="399">
        <v>205.61822951241871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15.17342991310827</v>
      </c>
      <c r="AM368" s="399"/>
      <c r="AN368" s="399">
        <v>1.3809225895542865</v>
      </c>
      <c r="AO368" s="399">
        <v>5.5790123703087229</v>
      </c>
      <c r="AP368" s="399">
        <v>29.760930108744706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21.777235193331553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/>
      <c r="BR368" s="399">
        <v>77.633849999999981</v>
      </c>
      <c r="BS368" s="399"/>
      <c r="BT368" s="399"/>
      <c r="BU368" s="399"/>
      <c r="BV368" s="399">
        <v>227.39546470575027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571.00260000000003</v>
      </c>
      <c r="CJ368" s="399">
        <v>-81.170999999999935</v>
      </c>
      <c r="CK368" s="399"/>
      <c r="CL368" s="399"/>
      <c r="CM368" s="399"/>
      <c r="CN368" s="399"/>
      <c r="CO368" s="399">
        <v>-103.60275000000001</v>
      </c>
      <c r="CP368" s="399">
        <v>9.4052999999999756</v>
      </c>
      <c r="CQ368" s="399">
        <v>30</v>
      </c>
      <c r="CR368" s="399">
        <v>2.3129926167590611</v>
      </c>
      <c r="CS368" s="399">
        <v>0.40724452774781472</v>
      </c>
      <c r="CT368" s="399">
        <v>2.1724232037867637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0</v>
      </c>
      <c r="DA368" s="399">
        <v>0</v>
      </c>
      <c r="DB368" s="399">
        <v>0</v>
      </c>
      <c r="DC368" s="399">
        <v>9.4043919833597442</v>
      </c>
      <c r="DD368" s="399">
        <v>0</v>
      </c>
      <c r="DE368" s="399">
        <v>0</v>
      </c>
      <c r="DF368" s="399">
        <v>0</v>
      </c>
      <c r="DG368" s="399">
        <v>0.99602869141278916</v>
      </c>
      <c r="DH368" s="399">
        <v>0</v>
      </c>
      <c r="DI368" s="399">
        <v>-9.2937502568036905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-1.2115464986551974</v>
      </c>
      <c r="DP368" s="399">
        <v>-0.1617990340890707</v>
      </c>
      <c r="DQ368" s="399">
        <v>0</v>
      </c>
      <c r="DR368" s="399">
        <v>0</v>
      </c>
      <c r="DS368" s="399"/>
      <c r="DT368" s="399"/>
      <c r="DU368" s="399"/>
      <c r="DV368" s="399">
        <v>312.16639821423524</v>
      </c>
      <c r="DW368" s="399">
        <v>0</v>
      </c>
      <c r="DX368" s="399">
        <v>0</v>
      </c>
      <c r="DY368" s="399">
        <v>-103.60275000000007</v>
      </c>
      <c r="DZ368" s="399">
        <v>9.4052999999999827</v>
      </c>
      <c r="EA368" s="399">
        <v>0</v>
      </c>
      <c r="EB368" s="399">
        <v>0</v>
      </c>
      <c r="EC368" s="399">
        <v>-96.522139054625086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51.357616330618526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230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367</v>
      </c>
      <c r="B369" s="399" t="s">
        <v>956</v>
      </c>
      <c r="C369" s="399" t="s">
        <v>2328</v>
      </c>
      <c r="D369" s="399" t="s">
        <v>2340</v>
      </c>
      <c r="E369" s="399" t="s">
        <v>894</v>
      </c>
      <c r="F369" s="399" t="s">
        <v>2350</v>
      </c>
      <c r="G369" s="399" t="s">
        <v>2349</v>
      </c>
      <c r="H369" s="399" t="s">
        <v>1239</v>
      </c>
      <c r="I369" s="399" t="s">
        <v>1239</v>
      </c>
      <c r="J369" s="399" t="s">
        <v>2329</v>
      </c>
      <c r="K369" s="789">
        <v>44652</v>
      </c>
      <c r="L369" s="399">
        <v>0</v>
      </c>
      <c r="M369" s="399">
        <v>0</v>
      </c>
      <c r="N369" s="399">
        <v>2.9910000000000001</v>
      </c>
      <c r="O369" s="399">
        <v>1.1963999999999999</v>
      </c>
      <c r="P369" s="399">
        <v>2.9910000000000001</v>
      </c>
      <c r="Q369" s="399">
        <v>1.1963999999999999</v>
      </c>
      <c r="R369" s="399"/>
      <c r="S369" s="399">
        <v>333.61</v>
      </c>
      <c r="T369" s="399">
        <v>128.11000000000001</v>
      </c>
      <c r="U369" s="399"/>
      <c r="V369" s="399">
        <v>1381.0045200000002</v>
      </c>
      <c r="W369" s="399">
        <v>1381.0045200000002</v>
      </c>
      <c r="X369" s="399">
        <v>1205.46273</v>
      </c>
      <c r="Y369" s="399">
        <v>0</v>
      </c>
      <c r="Z369" s="399">
        <v>183.09720689110998</v>
      </c>
      <c r="AA369" s="399">
        <v>0</v>
      </c>
      <c r="AB369" s="399">
        <v>0</v>
      </c>
      <c r="AC369" s="399">
        <v>0</v>
      </c>
      <c r="AD369" s="399">
        <v>0</v>
      </c>
      <c r="AE369" s="399">
        <v>581.73812900858411</v>
      </c>
      <c r="AF369" s="399">
        <v>383.18013985772234</v>
      </c>
      <c r="AG369" s="399">
        <v>0</v>
      </c>
      <c r="AH369" s="399">
        <v>0</v>
      </c>
      <c r="AI369" s="399">
        <v>0</v>
      </c>
      <c r="AJ369" s="399">
        <v>0</v>
      </c>
      <c r="AK369" s="399">
        <v>0</v>
      </c>
      <c r="AL369" s="399">
        <v>28.276466585736348</v>
      </c>
      <c r="AM369" s="399"/>
      <c r="AN369" s="399">
        <v>2.5734202276366798</v>
      </c>
      <c r="AO369" s="399">
        <v>10.396776323734201</v>
      </c>
      <c r="AP369" s="399">
        <v>55.461023025081253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40.582997173367403</v>
      </c>
      <c r="BH369" s="399">
        <v>0</v>
      </c>
      <c r="BI369" s="399">
        <v>0</v>
      </c>
      <c r="BJ369" s="399">
        <v>0</v>
      </c>
      <c r="BK369" s="399">
        <v>0</v>
      </c>
      <c r="BL369" s="399">
        <v>0</v>
      </c>
      <c r="BM369" s="399"/>
      <c r="BN369" s="399"/>
      <c r="BO369" s="399"/>
      <c r="BP369" s="399"/>
      <c r="BQ369" s="399"/>
      <c r="BR369" s="399"/>
      <c r="BS369" s="399">
        <v>781.14750600000013</v>
      </c>
      <c r="BT369" s="399"/>
      <c r="BU369" s="399"/>
      <c r="BV369" s="399">
        <v>423.76313703108974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425.59199999999998</v>
      </c>
      <c r="CJ369" s="399">
        <v>-60.559247999999911</v>
      </c>
      <c r="CK369" s="399"/>
      <c r="CL369" s="399"/>
      <c r="CM369" s="399"/>
      <c r="CN369" s="399"/>
      <c r="CO369" s="399">
        <v>-193.06905000000003</v>
      </c>
      <c r="CP369" s="399">
        <v>17.527259999999956</v>
      </c>
      <c r="CQ369" s="399">
        <v>30</v>
      </c>
      <c r="CR369" s="399">
        <v>4.3103806334745514</v>
      </c>
      <c r="CS369" s="399">
        <v>0.75892111058798228</v>
      </c>
      <c r="CT369" s="399">
        <v>4.0484223068699166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0</v>
      </c>
      <c r="DA369" s="399">
        <v>0</v>
      </c>
      <c r="DB369" s="399">
        <v>0</v>
      </c>
      <c r="DC369" s="399">
        <v>17.525567864317168</v>
      </c>
      <c r="DD369" s="399">
        <v>0</v>
      </c>
      <c r="DE369" s="399">
        <v>0</v>
      </c>
      <c r="DF369" s="399">
        <v>0</v>
      </c>
      <c r="DG369" s="399">
        <v>1.8561506641841987</v>
      </c>
      <c r="DH369" s="399">
        <v>0</v>
      </c>
      <c r="DI369" s="399">
        <v>-17.319381319688375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-2.2577791759985608</v>
      </c>
      <c r="DP369" s="399">
        <v>-0.30152081679776366</v>
      </c>
      <c r="DQ369" s="399">
        <v>0</v>
      </c>
      <c r="DR369" s="399">
        <v>0</v>
      </c>
      <c r="DS369" s="399"/>
      <c r="DT369" s="399"/>
      <c r="DU369" s="399"/>
      <c r="DV369" s="399">
        <v>581.73812900858411</v>
      </c>
      <c r="DW369" s="399">
        <v>0</v>
      </c>
      <c r="DX369" s="399">
        <v>0</v>
      </c>
      <c r="DY369" s="399">
        <v>-193.06905000000006</v>
      </c>
      <c r="DZ369" s="399">
        <v>17.527259999999956</v>
      </c>
      <c r="EA369" s="399">
        <v>0</v>
      </c>
      <c r="EB369" s="399">
        <v>0</v>
      </c>
      <c r="EC369" s="399">
        <v>-179.87396754665639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95.707557909582562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230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368</v>
      </c>
      <c r="B370" s="399" t="s">
        <v>956</v>
      </c>
      <c r="C370" s="399" t="s">
        <v>2328</v>
      </c>
      <c r="D370" s="399" t="s">
        <v>1823</v>
      </c>
      <c r="E370" s="399" t="s">
        <v>889</v>
      </c>
      <c r="F370" s="399" t="s">
        <v>889</v>
      </c>
      <c r="G370" s="399" t="s">
        <v>1239</v>
      </c>
      <c r="H370" s="399" t="s">
        <v>1239</v>
      </c>
      <c r="I370" s="399" t="s">
        <v>1239</v>
      </c>
      <c r="J370" s="399" t="s">
        <v>2329</v>
      </c>
      <c r="K370" s="789">
        <v>44682</v>
      </c>
      <c r="L370" s="399">
        <v>0</v>
      </c>
      <c r="M370" s="399">
        <v>0</v>
      </c>
      <c r="N370" s="399">
        <v>4246.25</v>
      </c>
      <c r="O370" s="399">
        <v>4246.25</v>
      </c>
      <c r="P370" s="399">
        <v>4246.25</v>
      </c>
      <c r="Q370" s="399">
        <v>4246.25</v>
      </c>
      <c r="R370" s="399"/>
      <c r="S370" s="399">
        <v>333.61</v>
      </c>
      <c r="T370" s="399">
        <v>128.11000000000001</v>
      </c>
      <c r="U370" s="399"/>
      <c r="V370" s="399">
        <v>1960578.5500000003</v>
      </c>
      <c r="W370" s="399">
        <v>1960578.5500000003</v>
      </c>
      <c r="X370" s="399">
        <v>1711366.1375</v>
      </c>
      <c r="Y370" s="399">
        <v>0</v>
      </c>
      <c r="Z370" s="399">
        <v>259938.65421644121</v>
      </c>
      <c r="AA370" s="399">
        <v>0</v>
      </c>
      <c r="AB370" s="399">
        <v>0</v>
      </c>
      <c r="AC370" s="399">
        <v>0</v>
      </c>
      <c r="AD370" s="399">
        <v>0</v>
      </c>
      <c r="AE370" s="399">
        <v>825879.48187987308</v>
      </c>
      <c r="AF370" s="399">
        <v>543991.53088293329</v>
      </c>
      <c r="AG370" s="399">
        <v>0</v>
      </c>
      <c r="AH370" s="399">
        <v>0</v>
      </c>
      <c r="AI370" s="399">
        <v>0</v>
      </c>
      <c r="AJ370" s="399">
        <v>0</v>
      </c>
      <c r="AK370" s="399">
        <v>0</v>
      </c>
      <c r="AL370" s="399">
        <v>40143.412316844857</v>
      </c>
      <c r="AM370" s="399"/>
      <c r="AN370" s="399">
        <v>3653.4221469750091</v>
      </c>
      <c r="AO370" s="399">
        <v>14760.050640139199</v>
      </c>
      <c r="AP370" s="399">
        <v>78736.666339101066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57614.694666469848</v>
      </c>
      <c r="BH370" s="399">
        <v>0</v>
      </c>
      <c r="BI370" s="399">
        <v>0</v>
      </c>
      <c r="BJ370" s="399">
        <v>0</v>
      </c>
      <c r="BK370" s="399">
        <v>368655.84</v>
      </c>
      <c r="BL370" s="399">
        <v>20565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601606.22554940311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1711366.1375</v>
      </c>
      <c r="CJ370" s="399">
        <v>-249212.44250000035</v>
      </c>
      <c r="CK370" s="399"/>
      <c r="CL370" s="399"/>
      <c r="CM370" s="399"/>
      <c r="CN370" s="399"/>
      <c r="CO370" s="399">
        <v>-274095.43750000006</v>
      </c>
      <c r="CP370" s="399">
        <v>24883.024999999936</v>
      </c>
      <c r="CQ370" s="399">
        <v>31</v>
      </c>
      <c r="CR370" s="399">
        <v>6119.3426161454991</v>
      </c>
      <c r="CS370" s="399">
        <v>1077.4218541739301</v>
      </c>
      <c r="CT370" s="399">
        <v>5747.4467470900563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0</v>
      </c>
      <c r="DA370" s="399">
        <v>0</v>
      </c>
      <c r="DB370" s="399">
        <v>0</v>
      </c>
      <c r="DC370" s="399">
        <v>24880.622716100537</v>
      </c>
      <c r="DD370" s="399">
        <v>0</v>
      </c>
      <c r="DE370" s="399">
        <v>0</v>
      </c>
      <c r="DF370" s="399">
        <v>0</v>
      </c>
      <c r="DG370" s="399">
        <v>2635.1319818763513</v>
      </c>
      <c r="DH370" s="399">
        <v>0</v>
      </c>
      <c r="DI370" s="399">
        <v>-24587.904690313182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-3205.3142180153445</v>
      </c>
      <c r="DP370" s="399">
        <v>-428.06177476680205</v>
      </c>
      <c r="DQ370" s="399">
        <v>0</v>
      </c>
      <c r="DR370" s="399">
        <v>0</v>
      </c>
      <c r="DS370" s="399"/>
      <c r="DT370" s="399"/>
      <c r="DU370" s="399"/>
      <c r="DV370" s="399">
        <v>825879.48187987308</v>
      </c>
      <c r="DW370" s="399">
        <v>0</v>
      </c>
      <c r="DX370" s="399">
        <v>0</v>
      </c>
      <c r="DY370" s="399">
        <v>-274095.43750000023</v>
      </c>
      <c r="DZ370" s="399">
        <v>24883.025000000023</v>
      </c>
      <c r="EA370" s="399">
        <v>0</v>
      </c>
      <c r="EB370" s="399">
        <v>0</v>
      </c>
      <c r="EC370" s="399">
        <v>-255362.69966398855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135873.69367220494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230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369</v>
      </c>
      <c r="B371" s="399" t="s">
        <v>2330</v>
      </c>
      <c r="C371" s="399" t="s">
        <v>2328</v>
      </c>
      <c r="D371" s="399" t="s">
        <v>1823</v>
      </c>
      <c r="E371" s="399" t="s">
        <v>889</v>
      </c>
      <c r="F371" s="399" t="s">
        <v>889</v>
      </c>
      <c r="G371" s="399" t="s">
        <v>1239</v>
      </c>
      <c r="H371" s="399" t="s">
        <v>1239</v>
      </c>
      <c r="I371" s="399" t="s">
        <v>1239</v>
      </c>
      <c r="J371" s="399" t="s">
        <v>2329</v>
      </c>
      <c r="K371" s="789">
        <v>44682</v>
      </c>
      <c r="L371" s="399">
        <v>0</v>
      </c>
      <c r="M371" s="399">
        <v>0</v>
      </c>
      <c r="N371" s="399">
        <v>-0.11799999999999999</v>
      </c>
      <c r="O371" s="399">
        <v>-0.11799999999999999</v>
      </c>
      <c r="P371" s="399">
        <v>-0.11799999999999999</v>
      </c>
      <c r="Q371" s="399">
        <v>-0.11799999999999999</v>
      </c>
      <c r="R371" s="399"/>
      <c r="S371" s="399">
        <v>333.61</v>
      </c>
      <c r="T371" s="399">
        <v>128.11000000000001</v>
      </c>
      <c r="U371" s="399"/>
      <c r="V371" s="399">
        <v>-54.482960000000006</v>
      </c>
      <c r="W371" s="399">
        <v>-54.482960000000006</v>
      </c>
      <c r="X371" s="399">
        <v>-47.557539999999996</v>
      </c>
      <c r="Y371" s="399">
        <v>0</v>
      </c>
      <c r="Z371" s="399">
        <v>-7.2234939529090516</v>
      </c>
      <c r="AA371" s="399">
        <v>0</v>
      </c>
      <c r="AB371" s="399">
        <v>0</v>
      </c>
      <c r="AC371" s="399">
        <v>0</v>
      </c>
      <c r="AD371" s="399">
        <v>0</v>
      </c>
      <c r="AE371" s="399">
        <v>-22.950551395189876</v>
      </c>
      <c r="AF371" s="399">
        <v>-15.117103478171591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-1.1155543487518853</v>
      </c>
      <c r="AM371" s="399"/>
      <c r="AN371" s="399">
        <v>-0.10152577293919365</v>
      </c>
      <c r="AO371" s="399">
        <v>-0.41017037987316468</v>
      </c>
      <c r="AP371" s="399">
        <v>-2.1880309986491433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-1.6010677587620705</v>
      </c>
      <c r="BH371" s="399">
        <v>0</v>
      </c>
      <c r="BI371" s="399">
        <v>0</v>
      </c>
      <c r="BJ371" s="399">
        <v>0</v>
      </c>
      <c r="BK371" s="399">
        <v>-8.77</v>
      </c>
      <c r="BL371" s="399">
        <v>0</v>
      </c>
      <c r="BM371" s="399"/>
      <c r="BN371" s="399"/>
      <c r="BO371" s="399"/>
      <c r="BP371" s="399"/>
      <c r="BQ371" s="399"/>
      <c r="BR371" s="399"/>
      <c r="BS371" s="399"/>
      <c r="BT371" s="399"/>
      <c r="BU371" s="399"/>
      <c r="BV371" s="399">
        <v>-16.718171236933664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-48.363599999999998</v>
      </c>
      <c r="CJ371" s="399">
        <v>6.0893600000000134</v>
      </c>
      <c r="CK371" s="399"/>
      <c r="CL371" s="399"/>
      <c r="CM371" s="399"/>
      <c r="CN371" s="399"/>
      <c r="CO371" s="399">
        <v>7.6169000000000011</v>
      </c>
      <c r="CP371" s="399">
        <v>-0.69147999999999821</v>
      </c>
      <c r="CQ371" s="399">
        <v>31</v>
      </c>
      <c r="CR371" s="399">
        <v>-0.1700517936308934</v>
      </c>
      <c r="CS371" s="399">
        <v>-2.9940719173982611E-2</v>
      </c>
      <c r="CT371" s="399">
        <v>-0.15971709535628564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0</v>
      </c>
      <c r="DA371" s="399">
        <v>0</v>
      </c>
      <c r="DB371" s="399">
        <v>0</v>
      </c>
      <c r="DC371" s="399">
        <v>-0.69141324239031299</v>
      </c>
      <c r="DD371" s="399">
        <v>0</v>
      </c>
      <c r="DE371" s="399">
        <v>0</v>
      </c>
      <c r="DF371" s="399">
        <v>0</v>
      </c>
      <c r="DG371" s="399">
        <v>-7.3228277624117544E-2</v>
      </c>
      <c r="DH371" s="399">
        <v>0</v>
      </c>
      <c r="DI371" s="399">
        <v>0.68327883507964771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8.9073200524182772E-2</v>
      </c>
      <c r="DP371" s="399">
        <v>1.189550530997531E-2</v>
      </c>
      <c r="DQ371" s="399">
        <v>0</v>
      </c>
      <c r="DR371" s="399">
        <v>0</v>
      </c>
      <c r="DS371" s="399"/>
      <c r="DT371" s="399"/>
      <c r="DU371" s="399"/>
      <c r="DV371" s="399">
        <v>-22.950551395189876</v>
      </c>
      <c r="DW371" s="399">
        <v>0</v>
      </c>
      <c r="DX371" s="399">
        <v>0</v>
      </c>
      <c r="DY371" s="399">
        <v>7.6169000000000011</v>
      </c>
      <c r="DZ371" s="399">
        <v>-0.69147999999999676</v>
      </c>
      <c r="EA371" s="399">
        <v>0</v>
      </c>
      <c r="EB371" s="399">
        <v>0</v>
      </c>
      <c r="EC371" s="399">
        <v>7.0963317186577903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-3.7758247520330133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230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370</v>
      </c>
      <c r="B372" s="399" t="s">
        <v>2331</v>
      </c>
      <c r="C372" s="399" t="s">
        <v>2328</v>
      </c>
      <c r="D372" s="399" t="s">
        <v>1823</v>
      </c>
      <c r="E372" s="399" t="s">
        <v>889</v>
      </c>
      <c r="F372" s="399" t="s">
        <v>889</v>
      </c>
      <c r="G372" s="399" t="s">
        <v>1239</v>
      </c>
      <c r="H372" s="399" t="s">
        <v>1239</v>
      </c>
      <c r="I372" s="399" t="s">
        <v>1239</v>
      </c>
      <c r="J372" s="399" t="s">
        <v>2329</v>
      </c>
      <c r="K372" s="789">
        <v>44682</v>
      </c>
      <c r="L372" s="399">
        <v>0</v>
      </c>
      <c r="M372" s="399">
        <v>0</v>
      </c>
      <c r="N372" s="399">
        <v>24.463000000000001</v>
      </c>
      <c r="O372" s="399">
        <v>24.463000000000001</v>
      </c>
      <c r="P372" s="399">
        <v>24.463000000000001</v>
      </c>
      <c r="Q372" s="399">
        <v>24.463000000000001</v>
      </c>
      <c r="R372" s="399"/>
      <c r="S372" s="399">
        <v>333.61</v>
      </c>
      <c r="T372" s="399">
        <v>128.11000000000001</v>
      </c>
      <c r="U372" s="399"/>
      <c r="V372" s="399">
        <v>11295.05636</v>
      </c>
      <c r="W372" s="399">
        <v>11295.05636</v>
      </c>
      <c r="X372" s="399">
        <v>9859.3228899999995</v>
      </c>
      <c r="Y372" s="399">
        <v>0</v>
      </c>
      <c r="Z372" s="399">
        <v>1497.528242118764</v>
      </c>
      <c r="AA372" s="399">
        <v>0</v>
      </c>
      <c r="AB372" s="399">
        <v>0</v>
      </c>
      <c r="AC372" s="399">
        <v>0</v>
      </c>
      <c r="AD372" s="399">
        <v>0</v>
      </c>
      <c r="AE372" s="399">
        <v>4757.9604981400853</v>
      </c>
      <c r="AF372" s="399">
        <v>3133.9805286992514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231.26954265692689</v>
      </c>
      <c r="AM372" s="399"/>
      <c r="AN372" s="399">
        <v>21.047669350944869</v>
      </c>
      <c r="AO372" s="399">
        <v>85.033881379976521</v>
      </c>
      <c r="AP372" s="399">
        <v>453.60849423689825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331.92305578471638</v>
      </c>
      <c r="BH372" s="399">
        <v>0</v>
      </c>
      <c r="BI372" s="399">
        <v>0</v>
      </c>
      <c r="BJ372" s="399">
        <v>0</v>
      </c>
      <c r="BK372" s="399">
        <v>4733.1099999999997</v>
      </c>
      <c r="BL372" s="399">
        <v>71</v>
      </c>
      <c r="BM372" s="399"/>
      <c r="BN372" s="399"/>
      <c r="BO372" s="399"/>
      <c r="BP372" s="399"/>
      <c r="BQ372" s="399"/>
      <c r="BR372" s="399"/>
      <c r="BS372" s="399"/>
      <c r="BT372" s="399"/>
      <c r="BU372" s="399"/>
      <c r="BV372" s="399">
        <v>3465.9035844839677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9858.113800000001</v>
      </c>
      <c r="CJ372" s="399">
        <v>-1436.9725600000002</v>
      </c>
      <c r="CK372" s="399"/>
      <c r="CL372" s="399"/>
      <c r="CM372" s="399"/>
      <c r="CN372" s="399"/>
      <c r="CO372" s="399">
        <v>-1579.0866500000004</v>
      </c>
      <c r="CP372" s="399">
        <v>143.35317999999964</v>
      </c>
      <c r="CQ372" s="399">
        <v>31</v>
      </c>
      <c r="CR372" s="399">
        <v>35.254042606718031</v>
      </c>
      <c r="CS372" s="399">
        <v>6.2071170606197938</v>
      </c>
      <c r="CT372" s="399">
        <v>33.111519522888273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0</v>
      </c>
      <c r="DA372" s="399">
        <v>0</v>
      </c>
      <c r="DB372" s="399">
        <v>0</v>
      </c>
      <c r="DC372" s="399">
        <v>143.33934024232394</v>
      </c>
      <c r="DD372" s="399">
        <v>0</v>
      </c>
      <c r="DE372" s="399">
        <v>0</v>
      </c>
      <c r="DF372" s="399">
        <v>0</v>
      </c>
      <c r="DG372" s="399">
        <v>15.18121487727791</v>
      </c>
      <c r="DH372" s="399">
        <v>0</v>
      </c>
      <c r="DI372" s="399">
        <v>-141.65296730977479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-18.46608224087359</v>
      </c>
      <c r="DP372" s="399">
        <v>-2.4660995457451342</v>
      </c>
      <c r="DQ372" s="399">
        <v>0</v>
      </c>
      <c r="DR372" s="399">
        <v>0</v>
      </c>
      <c r="DS372" s="399"/>
      <c r="DT372" s="399"/>
      <c r="DU372" s="399"/>
      <c r="DV372" s="399">
        <v>4757.9604981400853</v>
      </c>
      <c r="DW372" s="399">
        <v>0</v>
      </c>
      <c r="DX372" s="399">
        <v>0</v>
      </c>
      <c r="DY372" s="399">
        <v>-1579.0866500000002</v>
      </c>
      <c r="DZ372" s="399">
        <v>143.35317999999961</v>
      </c>
      <c r="EA372" s="399">
        <v>0</v>
      </c>
      <c r="EB372" s="399">
        <v>0</v>
      </c>
      <c r="EC372" s="399">
        <v>-1471.1657867247932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782.77966872020011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230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371</v>
      </c>
      <c r="B373" s="399" t="s">
        <v>956</v>
      </c>
      <c r="C373" s="399" t="s">
        <v>2328</v>
      </c>
      <c r="D373" s="399" t="s">
        <v>1823</v>
      </c>
      <c r="E373" s="399" t="s">
        <v>889</v>
      </c>
      <c r="F373" s="399" t="s">
        <v>2332</v>
      </c>
      <c r="G373" s="399" t="s">
        <v>1239</v>
      </c>
      <c r="H373" s="399" t="s">
        <v>1239</v>
      </c>
      <c r="I373" s="399" t="s">
        <v>1239</v>
      </c>
      <c r="J373" s="399" t="s">
        <v>2329</v>
      </c>
      <c r="K373" s="789">
        <v>44682</v>
      </c>
      <c r="L373" s="399">
        <v>0</v>
      </c>
      <c r="M373" s="399">
        <v>0</v>
      </c>
      <c r="N373" s="399">
        <v>22.77</v>
      </c>
      <c r="O373" s="399">
        <v>22.77</v>
      </c>
      <c r="P373" s="399">
        <v>22.77</v>
      </c>
      <c r="Q373" s="399">
        <v>22.77</v>
      </c>
      <c r="R373" s="399"/>
      <c r="S373" s="399">
        <v>230.94</v>
      </c>
      <c r="T373" s="399">
        <v>128.11000000000001</v>
      </c>
      <c r="U373" s="399"/>
      <c r="V373" s="399">
        <v>8175.5684999999994</v>
      </c>
      <c r="W373" s="399">
        <v>8175.5684999999994</v>
      </c>
      <c r="X373" s="399">
        <v>6988.1130000000003</v>
      </c>
      <c r="Y373" s="399">
        <v>0</v>
      </c>
      <c r="Z373" s="399">
        <v>0</v>
      </c>
      <c r="AA373" s="399">
        <v>0</v>
      </c>
      <c r="AB373" s="399">
        <v>0</v>
      </c>
      <c r="AC373" s="399">
        <v>0</v>
      </c>
      <c r="AD373" s="399">
        <v>0</v>
      </c>
      <c r="AE373" s="399">
        <v>4428.6784344785892</v>
      </c>
      <c r="AF373" s="399">
        <v>2917.0885271014167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0</v>
      </c>
      <c r="AM373" s="399"/>
      <c r="AN373" s="399">
        <v>19.591032625639318</v>
      </c>
      <c r="AO373" s="399">
        <v>79.148979234847118</v>
      </c>
      <c r="AP373" s="399">
        <v>422.21581219695759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308.95180395773178</v>
      </c>
      <c r="BH373" s="399">
        <v>0</v>
      </c>
      <c r="BI373" s="399">
        <v>0</v>
      </c>
      <c r="BJ373" s="399">
        <v>0</v>
      </c>
      <c r="BK373" s="399">
        <v>325.94</v>
      </c>
      <c r="BL373" s="399">
        <v>26</v>
      </c>
      <c r="BM373" s="399"/>
      <c r="BN373" s="399"/>
      <c r="BO373" s="399"/>
      <c r="BP373" s="399"/>
      <c r="BQ373" s="399"/>
      <c r="BR373" s="399"/>
      <c r="BS373" s="399"/>
      <c r="BT373" s="399">
        <v>4542.1596</v>
      </c>
      <c r="BU373" s="399"/>
      <c r="BV373" s="399">
        <v>3226.0403310591487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2445.9534000000003</v>
      </c>
      <c r="CJ373" s="399">
        <v>-415.58249999999998</v>
      </c>
      <c r="CK373" s="399"/>
      <c r="CL373" s="399"/>
      <c r="CM373" s="399"/>
      <c r="CN373" s="399"/>
      <c r="CO373" s="399">
        <v>-1320.8876999999998</v>
      </c>
      <c r="CP373" s="399">
        <v>133.43219999999965</v>
      </c>
      <c r="CQ373" s="399">
        <v>31</v>
      </c>
      <c r="CR373" s="399">
        <v>181.85199314978445</v>
      </c>
      <c r="CS373" s="399">
        <v>5.7775438609456273</v>
      </c>
      <c r="CT373" s="399">
        <v>30.819985264937486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0</v>
      </c>
      <c r="DA373" s="399">
        <v>0</v>
      </c>
      <c r="DB373" s="399">
        <v>0</v>
      </c>
      <c r="DC373" s="399">
        <v>133.41931804429987</v>
      </c>
      <c r="DD373" s="399">
        <v>0</v>
      </c>
      <c r="DE373" s="399">
        <v>0</v>
      </c>
      <c r="DF373" s="399">
        <v>0</v>
      </c>
      <c r="DG373" s="399">
        <v>14.130575266958942</v>
      </c>
      <c r="DH373" s="399">
        <v>0</v>
      </c>
      <c r="DI373" s="399">
        <v>0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0</v>
      </c>
      <c r="DP373" s="399">
        <v>-2.2954292873570985</v>
      </c>
      <c r="DQ373" s="399">
        <v>0</v>
      </c>
      <c r="DR373" s="399">
        <v>0</v>
      </c>
      <c r="DS373" s="399"/>
      <c r="DT373" s="399"/>
      <c r="DU373" s="399"/>
      <c r="DV373" s="399">
        <v>4428.6784344785892</v>
      </c>
      <c r="DW373" s="399">
        <v>0</v>
      </c>
      <c r="DX373" s="399">
        <v>0</v>
      </c>
      <c r="DY373" s="399">
        <v>-1320.8876999999993</v>
      </c>
      <c r="DZ373" s="399">
        <v>133.43219999999974</v>
      </c>
      <c r="EA373" s="399">
        <v>0</v>
      </c>
      <c r="EB373" s="399">
        <v>0</v>
      </c>
      <c r="EC373" s="399">
        <v>-1369.3514680833723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230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372</v>
      </c>
      <c r="B374" s="399" t="s">
        <v>956</v>
      </c>
      <c r="C374" s="399" t="s">
        <v>2328</v>
      </c>
      <c r="D374" s="399" t="s">
        <v>1823</v>
      </c>
      <c r="E374" s="399" t="s">
        <v>889</v>
      </c>
      <c r="F374" s="399" t="s">
        <v>2333</v>
      </c>
      <c r="G374" s="399" t="s">
        <v>1239</v>
      </c>
      <c r="H374" s="399" t="s">
        <v>1239</v>
      </c>
      <c r="I374" s="399" t="s">
        <v>1239</v>
      </c>
      <c r="J374" s="399" t="s">
        <v>2329</v>
      </c>
      <c r="K374" s="789">
        <v>44682</v>
      </c>
      <c r="L374" s="399">
        <v>0</v>
      </c>
      <c r="M374" s="399">
        <v>0</v>
      </c>
      <c r="N374" s="399">
        <v>48.088000000000001</v>
      </c>
      <c r="O374" s="399">
        <v>48.088000000000001</v>
      </c>
      <c r="P374" s="399">
        <v>48.088000000000001</v>
      </c>
      <c r="Q374" s="399">
        <v>48.088000000000001</v>
      </c>
      <c r="R374" s="399"/>
      <c r="S374" s="399">
        <v>230.94</v>
      </c>
      <c r="T374" s="399">
        <v>128.11000000000001</v>
      </c>
      <c r="U374" s="399"/>
      <c r="V374" s="399">
        <v>17265.996400000004</v>
      </c>
      <c r="W374" s="399">
        <v>17265.996400000004</v>
      </c>
      <c r="X374" s="399">
        <v>14758.207200000001</v>
      </c>
      <c r="Y374" s="399">
        <v>0</v>
      </c>
      <c r="Z374" s="399">
        <v>0</v>
      </c>
      <c r="AA374" s="399">
        <v>0</v>
      </c>
      <c r="AB374" s="399">
        <v>0</v>
      </c>
      <c r="AC374" s="399">
        <v>0</v>
      </c>
      <c r="AD374" s="399">
        <v>0</v>
      </c>
      <c r="AE374" s="399">
        <v>9352.9331821346696</v>
      </c>
      <c r="AF374" s="399">
        <v>6160.6040004941997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0</v>
      </c>
      <c r="AM374" s="399"/>
      <c r="AN374" s="399">
        <v>41.374333636440205</v>
      </c>
      <c r="AO374" s="399">
        <v>167.15485785881987</v>
      </c>
      <c r="AP374" s="399">
        <v>891.67825985627121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652.47581680805467</v>
      </c>
      <c r="BH374" s="399">
        <v>0</v>
      </c>
      <c r="BI374" s="399">
        <v>0</v>
      </c>
      <c r="BJ374" s="399">
        <v>0</v>
      </c>
      <c r="BK374" s="399">
        <v>1208.8599999999999</v>
      </c>
      <c r="BL374" s="399">
        <v>127</v>
      </c>
      <c r="BM374" s="399"/>
      <c r="BN374" s="399"/>
      <c r="BO374" s="399"/>
      <c r="BP374" s="399"/>
      <c r="BQ374" s="399"/>
      <c r="BR374" s="399"/>
      <c r="BS374" s="399"/>
      <c r="BT374" s="399">
        <v>5903.2828800000007</v>
      </c>
      <c r="BU374" s="399"/>
      <c r="BV374" s="399">
        <v>6813.079817302254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8855.2926000000007</v>
      </c>
      <c r="CJ374" s="399">
        <v>-1504.8161199999995</v>
      </c>
      <c r="CK374" s="399"/>
      <c r="CL374" s="399"/>
      <c r="CM374" s="399"/>
      <c r="CN374" s="399"/>
      <c r="CO374" s="399">
        <v>-2789.5848799999994</v>
      </c>
      <c r="CP374" s="399">
        <v>281.79567999999932</v>
      </c>
      <c r="CQ374" s="399">
        <v>31</v>
      </c>
      <c r="CR374" s="399">
        <v>384.05351983253695</v>
      </c>
      <c r="CS374" s="399">
        <v>12.201604268122679</v>
      </c>
      <c r="CT374" s="399">
        <v>65.088776961805593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0</v>
      </c>
      <c r="DA374" s="399">
        <v>0</v>
      </c>
      <c r="DB374" s="399">
        <v>0</v>
      </c>
      <c r="DC374" s="399">
        <v>281.7684745768247</v>
      </c>
      <c r="DD374" s="399">
        <v>0</v>
      </c>
      <c r="DE374" s="399">
        <v>0</v>
      </c>
      <c r="DF374" s="399">
        <v>0</v>
      </c>
      <c r="DG374" s="399">
        <v>29.842384867699707</v>
      </c>
      <c r="DH374" s="399">
        <v>0</v>
      </c>
      <c r="DI374" s="399">
        <v>0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0</v>
      </c>
      <c r="DP374" s="399">
        <v>-4.8477208419160362</v>
      </c>
      <c r="DQ374" s="399">
        <v>0</v>
      </c>
      <c r="DR374" s="399">
        <v>0</v>
      </c>
      <c r="DS374" s="399"/>
      <c r="DT374" s="399"/>
      <c r="DU374" s="399"/>
      <c r="DV374" s="399">
        <v>9352.9331821346696</v>
      </c>
      <c r="DW374" s="399">
        <v>0</v>
      </c>
      <c r="DX374" s="399">
        <v>0</v>
      </c>
      <c r="DY374" s="399">
        <v>-2789.5848800000003</v>
      </c>
      <c r="DZ374" s="399">
        <v>281.79567999999927</v>
      </c>
      <c r="EA374" s="399">
        <v>0</v>
      </c>
      <c r="EB374" s="399">
        <v>0</v>
      </c>
      <c r="EC374" s="399">
        <v>-2891.9355905662369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230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373</v>
      </c>
      <c r="B375" s="399" t="s">
        <v>956</v>
      </c>
      <c r="C375" s="399" t="s">
        <v>2328</v>
      </c>
      <c r="D375" s="399" t="s">
        <v>1823</v>
      </c>
      <c r="E375" s="399" t="s">
        <v>889</v>
      </c>
      <c r="F375" s="399" t="s">
        <v>2334</v>
      </c>
      <c r="G375" s="399" t="s">
        <v>1239</v>
      </c>
      <c r="H375" s="399" t="s">
        <v>1239</v>
      </c>
      <c r="I375" s="399" t="s">
        <v>1239</v>
      </c>
      <c r="J375" s="399" t="s">
        <v>2329</v>
      </c>
      <c r="K375" s="789">
        <v>44682</v>
      </c>
      <c r="L375" s="399">
        <v>0</v>
      </c>
      <c r="M375" s="399">
        <v>0</v>
      </c>
      <c r="N375" s="399">
        <v>48.58</v>
      </c>
      <c r="O375" s="399">
        <v>48.58</v>
      </c>
      <c r="P375" s="399">
        <v>48.58</v>
      </c>
      <c r="Q375" s="399">
        <v>48.58</v>
      </c>
      <c r="R375" s="399"/>
      <c r="S375" s="399">
        <v>230.94</v>
      </c>
      <c r="T375" s="399">
        <v>128.11000000000001</v>
      </c>
      <c r="U375" s="399"/>
      <c r="V375" s="399">
        <v>17442.648999999998</v>
      </c>
      <c r="W375" s="399">
        <v>17442.648999999998</v>
      </c>
      <c r="X375" s="399">
        <v>14909.201999999999</v>
      </c>
      <c r="Y375" s="399">
        <v>0</v>
      </c>
      <c r="Z375" s="399">
        <v>0</v>
      </c>
      <c r="AA375" s="399">
        <v>0</v>
      </c>
      <c r="AB375" s="399">
        <v>0</v>
      </c>
      <c r="AC375" s="399">
        <v>0</v>
      </c>
      <c r="AD375" s="399">
        <v>0</v>
      </c>
      <c r="AE375" s="399">
        <v>9448.6253116807147</v>
      </c>
      <c r="AF375" s="399">
        <v>6223.6346353353892</v>
      </c>
      <c r="AG375" s="399">
        <v>0</v>
      </c>
      <c r="AH375" s="399">
        <v>0</v>
      </c>
      <c r="AI375" s="399">
        <v>0</v>
      </c>
      <c r="AJ375" s="399">
        <v>0</v>
      </c>
      <c r="AK375" s="399">
        <v>0</v>
      </c>
      <c r="AL375" s="399">
        <v>0</v>
      </c>
      <c r="AM375" s="399"/>
      <c r="AN375" s="399">
        <v>41.79764448632227</v>
      </c>
      <c r="AO375" s="399">
        <v>168.86505978168086</v>
      </c>
      <c r="AP375" s="399">
        <v>900.80123656250328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659.15145525984224</v>
      </c>
      <c r="BH375" s="399">
        <v>0</v>
      </c>
      <c r="BI375" s="399">
        <v>0</v>
      </c>
      <c r="BJ375" s="399">
        <v>0</v>
      </c>
      <c r="BK375" s="399">
        <v>3041.58</v>
      </c>
      <c r="BL375" s="399">
        <v>387</v>
      </c>
      <c r="BM375" s="399"/>
      <c r="BN375" s="399"/>
      <c r="BO375" s="399"/>
      <c r="BP375" s="399"/>
      <c r="BQ375" s="399"/>
      <c r="BR375" s="399"/>
      <c r="BS375" s="399"/>
      <c r="BT375" s="399">
        <v>1490.9202000000012</v>
      </c>
      <c r="BU375" s="399"/>
      <c r="BV375" s="399">
        <v>6882.7860905952311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13418.281799999999</v>
      </c>
      <c r="CJ375" s="399">
        <v>-2280.3752000000004</v>
      </c>
      <c r="CK375" s="399"/>
      <c r="CL375" s="399"/>
      <c r="CM375" s="399"/>
      <c r="CN375" s="399"/>
      <c r="CO375" s="399">
        <v>-2818.1257999999993</v>
      </c>
      <c r="CP375" s="399">
        <v>284.67879999999928</v>
      </c>
      <c r="CQ375" s="399">
        <v>31</v>
      </c>
      <c r="CR375" s="399">
        <v>387.98286461205862</v>
      </c>
      <c r="CS375" s="399">
        <v>12.326441842983684</v>
      </c>
      <c r="CT375" s="399">
        <v>65.754716037358889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0</v>
      </c>
      <c r="DA375" s="399">
        <v>0</v>
      </c>
      <c r="DB375" s="399">
        <v>0</v>
      </c>
      <c r="DC375" s="399">
        <v>284.65131623153684</v>
      </c>
      <c r="DD375" s="399">
        <v>0</v>
      </c>
      <c r="DE375" s="399">
        <v>0</v>
      </c>
      <c r="DF375" s="399">
        <v>0</v>
      </c>
      <c r="DG375" s="399">
        <v>30.147709550674904</v>
      </c>
      <c r="DH375" s="399">
        <v>0</v>
      </c>
      <c r="DI375" s="399">
        <v>0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0</v>
      </c>
      <c r="DP375" s="399">
        <v>-4.8973190504966126</v>
      </c>
      <c r="DQ375" s="399">
        <v>0</v>
      </c>
      <c r="DR375" s="399">
        <v>0</v>
      </c>
      <c r="DS375" s="399"/>
      <c r="DT375" s="399"/>
      <c r="DU375" s="399"/>
      <c r="DV375" s="399">
        <v>9448.6253116807147</v>
      </c>
      <c r="DW375" s="399">
        <v>0</v>
      </c>
      <c r="DX375" s="399">
        <v>0</v>
      </c>
      <c r="DY375" s="399">
        <v>-2818.1257999999998</v>
      </c>
      <c r="DZ375" s="399">
        <v>284.67879999999968</v>
      </c>
      <c r="EA375" s="399">
        <v>0</v>
      </c>
      <c r="EB375" s="399">
        <v>0</v>
      </c>
      <c r="EC375" s="399">
        <v>-2921.5236855287758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230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374</v>
      </c>
      <c r="B376" s="399" t="s">
        <v>956</v>
      </c>
      <c r="C376" s="399" t="s">
        <v>2328</v>
      </c>
      <c r="D376" s="399" t="s">
        <v>1823</v>
      </c>
      <c r="E376" s="399" t="s">
        <v>889</v>
      </c>
      <c r="F376" s="399" t="s">
        <v>2335</v>
      </c>
      <c r="G376" s="399" t="s">
        <v>1239</v>
      </c>
      <c r="H376" s="399" t="s">
        <v>1239</v>
      </c>
      <c r="I376" s="399" t="s">
        <v>1239</v>
      </c>
      <c r="J376" s="399" t="s">
        <v>2329</v>
      </c>
      <c r="K376" s="789">
        <v>44682</v>
      </c>
      <c r="L376" s="399">
        <v>0</v>
      </c>
      <c r="M376" s="399">
        <v>0</v>
      </c>
      <c r="N376" s="399">
        <v>19.608000000000001</v>
      </c>
      <c r="O376" s="399">
        <v>19.608000000000001</v>
      </c>
      <c r="P376" s="399">
        <v>19.608000000000001</v>
      </c>
      <c r="Q376" s="399">
        <v>19.608000000000001</v>
      </c>
      <c r="R376" s="399"/>
      <c r="S376" s="399">
        <v>230.94</v>
      </c>
      <c r="T376" s="399">
        <v>128.11000000000001</v>
      </c>
      <c r="U376" s="399"/>
      <c r="V376" s="399">
        <v>7040.2524000000012</v>
      </c>
      <c r="W376" s="399">
        <v>7040.2524000000012</v>
      </c>
      <c r="X376" s="399">
        <v>6017.6952000000001</v>
      </c>
      <c r="Y376" s="399">
        <v>0</v>
      </c>
      <c r="Z376" s="399">
        <v>0</v>
      </c>
      <c r="AA376" s="399">
        <v>0</v>
      </c>
      <c r="AB376" s="399">
        <v>0</v>
      </c>
      <c r="AC376" s="399">
        <v>0</v>
      </c>
      <c r="AD376" s="399">
        <v>0</v>
      </c>
      <c r="AE376" s="399">
        <v>3813.6814555668066</v>
      </c>
      <c r="AF376" s="399">
        <v>2512.001398304988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0</v>
      </c>
      <c r="AM376" s="399"/>
      <c r="AN376" s="399">
        <v>16.870486066031436</v>
      </c>
      <c r="AO376" s="399">
        <v>68.15780346231368</v>
      </c>
      <c r="AP376" s="399">
        <v>363.58399848739327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266.04861537124305</v>
      </c>
      <c r="BH376" s="399">
        <v>0</v>
      </c>
      <c r="BI376" s="399">
        <v>0</v>
      </c>
      <c r="BJ376" s="399">
        <v>0</v>
      </c>
      <c r="BK376" s="399">
        <v>2004.77</v>
      </c>
      <c r="BL376" s="399">
        <v>219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2778.0500136762312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6018.3089999999993</v>
      </c>
      <c r="CJ376" s="399">
        <v>-1021.9734000000026</v>
      </c>
      <c r="CK376" s="399"/>
      <c r="CL376" s="399"/>
      <c r="CM376" s="399"/>
      <c r="CN376" s="399"/>
      <c r="CO376" s="399">
        <v>-1137.4600799999998</v>
      </c>
      <c r="CP376" s="399">
        <v>114.90287999999971</v>
      </c>
      <c r="CQ376" s="399">
        <v>31</v>
      </c>
      <c r="CR376" s="399">
        <v>156.59876511554694</v>
      </c>
      <c r="CS376" s="399">
        <v>4.9752340810461959</v>
      </c>
      <c r="CT376" s="399">
        <v>26.540108523271556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0</v>
      </c>
      <c r="DA376" s="399">
        <v>0</v>
      </c>
      <c r="DB376" s="399">
        <v>0</v>
      </c>
      <c r="DC376" s="399">
        <v>114.89178692194309</v>
      </c>
      <c r="DD376" s="399">
        <v>0</v>
      </c>
      <c r="DE376" s="399">
        <v>0</v>
      </c>
      <c r="DF376" s="399">
        <v>0</v>
      </c>
      <c r="DG376" s="399">
        <v>12.168305658082204</v>
      </c>
      <c r="DH376" s="399">
        <v>0</v>
      </c>
      <c r="DI376" s="399">
        <v>0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0</v>
      </c>
      <c r="DP376" s="399">
        <v>-1.9766700687965759</v>
      </c>
      <c r="DQ376" s="399">
        <v>0</v>
      </c>
      <c r="DR376" s="399">
        <v>0</v>
      </c>
      <c r="DS376" s="399"/>
      <c r="DT376" s="399"/>
      <c r="DU376" s="399"/>
      <c r="DV376" s="399">
        <v>3813.6814555668066</v>
      </c>
      <c r="DW376" s="399">
        <v>0</v>
      </c>
      <c r="DX376" s="399">
        <v>0</v>
      </c>
      <c r="DY376" s="399">
        <v>-1137.4600799999998</v>
      </c>
      <c r="DZ376" s="399">
        <v>114.90287999999964</v>
      </c>
      <c r="EA376" s="399">
        <v>0</v>
      </c>
      <c r="EB376" s="399">
        <v>0</v>
      </c>
      <c r="EC376" s="399">
        <v>-1179.1938333851017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230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375</v>
      </c>
      <c r="B377" s="399" t="s">
        <v>956</v>
      </c>
      <c r="C377" s="399" t="s">
        <v>2338</v>
      </c>
      <c r="D377" s="399" t="s">
        <v>1823</v>
      </c>
      <c r="E377" s="399" t="s">
        <v>889</v>
      </c>
      <c r="F377" s="399" t="s">
        <v>889</v>
      </c>
      <c r="G377" s="399" t="s">
        <v>1239</v>
      </c>
      <c r="H377" s="399" t="s">
        <v>1239</v>
      </c>
      <c r="I377" s="399" t="s">
        <v>893</v>
      </c>
      <c r="J377" s="399" t="s">
        <v>2329</v>
      </c>
      <c r="K377" s="789">
        <v>44682</v>
      </c>
      <c r="L377" s="399">
        <v>0</v>
      </c>
      <c r="M377" s="399">
        <v>0</v>
      </c>
      <c r="N377" s="399">
        <v>0.02</v>
      </c>
      <c r="O377" s="399">
        <v>0.02</v>
      </c>
      <c r="P377" s="399">
        <v>0.02</v>
      </c>
      <c r="Q377" s="399">
        <v>0.02</v>
      </c>
      <c r="R377" s="399"/>
      <c r="S377" s="399">
        <v>701.69</v>
      </c>
      <c r="T377" s="399">
        <v>128.11000000000001</v>
      </c>
      <c r="U377" s="399"/>
      <c r="V377" s="399">
        <v>16.596</v>
      </c>
      <c r="W377" s="399">
        <v>16.596</v>
      </c>
      <c r="X377" s="399">
        <v>13.431999999999999</v>
      </c>
      <c r="Y377" s="399">
        <v>0</v>
      </c>
      <c r="Z377" s="399">
        <v>1.224321008967636</v>
      </c>
      <c r="AA377" s="399">
        <v>0</v>
      </c>
      <c r="AB377" s="399">
        <v>0</v>
      </c>
      <c r="AC377" s="399">
        <v>0</v>
      </c>
      <c r="AD377" s="399">
        <v>0</v>
      </c>
      <c r="AE377" s="399">
        <v>10.502793196617962</v>
      </c>
      <c r="AF377" s="399">
        <v>2.5622209285036597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0.18907700826303142</v>
      </c>
      <c r="AM377" s="399"/>
      <c r="AN377" s="399">
        <v>1.7207758125287062E-2</v>
      </c>
      <c r="AO377" s="399">
        <v>0.1877126779050288</v>
      </c>
      <c r="AP377" s="399">
        <v>1.0012987200457242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0.27136741673933401</v>
      </c>
      <c r="BH377" s="399">
        <v>0</v>
      </c>
      <c r="BI377" s="399">
        <v>0</v>
      </c>
      <c r="BJ377" s="399">
        <v>0</v>
      </c>
      <c r="BK377" s="399">
        <v>0</v>
      </c>
      <c r="BL377" s="399">
        <v>0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2.8335883452429935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13.431999999999999</v>
      </c>
      <c r="CJ377" s="399">
        <v>-3.1940000000000026</v>
      </c>
      <c r="CK377" s="399"/>
      <c r="CL377" s="399"/>
      <c r="CM377" s="399"/>
      <c r="CN377" s="399"/>
      <c r="CO377" s="399">
        <v>-3.2812000000000014</v>
      </c>
      <c r="CP377" s="399">
        <v>0.11719999999999971</v>
      </c>
      <c r="CQ377" s="399">
        <v>31</v>
      </c>
      <c r="CR377" s="399">
        <v>8.3469795868538199E-2</v>
      </c>
      <c r="CS377" s="399">
        <v>1.3702238997093191E-2</v>
      </c>
      <c r="CT377" s="399">
        <v>7.3090611261170002E-2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0</v>
      </c>
      <c r="DA377" s="399">
        <v>0</v>
      </c>
      <c r="DB377" s="399">
        <v>0</v>
      </c>
      <c r="DC377" s="399">
        <v>0.11718868515090053</v>
      </c>
      <c r="DD377" s="399">
        <v>0</v>
      </c>
      <c r="DE377" s="399">
        <v>0</v>
      </c>
      <c r="DF377" s="399">
        <v>0</v>
      </c>
      <c r="DG377" s="399">
        <v>1.2411572478663979E-2</v>
      </c>
      <c r="DH377" s="399">
        <v>0</v>
      </c>
      <c r="DI377" s="399">
        <v>-0.11580997204739796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-1.5097152631217414E-2</v>
      </c>
      <c r="DP377" s="399">
        <v>-2.0161873406737817E-3</v>
      </c>
      <c r="DQ377" s="399">
        <v>0</v>
      </c>
      <c r="DR377" s="399">
        <v>0</v>
      </c>
      <c r="DS377" s="399"/>
      <c r="DT377" s="399"/>
      <c r="DU377" s="399"/>
      <c r="DV377" s="399">
        <v>10.502793196617962</v>
      </c>
      <c r="DW377" s="399">
        <v>0</v>
      </c>
      <c r="DX377" s="399">
        <v>0</v>
      </c>
      <c r="DY377" s="399">
        <v>-3.2812000000000019</v>
      </c>
      <c r="DZ377" s="399">
        <v>0.11719999999999997</v>
      </c>
      <c r="EA377" s="399">
        <v>0</v>
      </c>
      <c r="EB377" s="399">
        <v>0</v>
      </c>
      <c r="EC377" s="399">
        <v>-3.2474733705650207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0.63997029695474805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230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376</v>
      </c>
      <c r="B378" s="399" t="s">
        <v>956</v>
      </c>
      <c r="C378" s="399" t="s">
        <v>2338</v>
      </c>
      <c r="D378" s="399" t="s">
        <v>1823</v>
      </c>
      <c r="E378" s="399" t="s">
        <v>889</v>
      </c>
      <c r="F378" s="399" t="s">
        <v>889</v>
      </c>
      <c r="G378" s="399" t="s">
        <v>1239</v>
      </c>
      <c r="H378" s="399" t="s">
        <v>1239</v>
      </c>
      <c r="I378" s="399" t="s">
        <v>2326</v>
      </c>
      <c r="J378" s="399" t="s">
        <v>2329</v>
      </c>
      <c r="K378" s="789">
        <v>44682</v>
      </c>
      <c r="L378" s="399">
        <v>0</v>
      </c>
      <c r="M378" s="399">
        <v>0</v>
      </c>
      <c r="N378" s="399">
        <v>0.113</v>
      </c>
      <c r="O378" s="399">
        <v>0.113</v>
      </c>
      <c r="P378" s="399">
        <v>0.113</v>
      </c>
      <c r="Q378" s="399">
        <v>0.113</v>
      </c>
      <c r="R378" s="399"/>
      <c r="S378" s="399">
        <v>234.02</v>
      </c>
      <c r="T378" s="399">
        <v>128.11000000000001</v>
      </c>
      <c r="U378" s="399"/>
      <c r="V378" s="399">
        <v>40.920690000000008</v>
      </c>
      <c r="W378" s="399">
        <v>40.920690000000008</v>
      </c>
      <c r="X378" s="399">
        <v>37.329549999999998</v>
      </c>
      <c r="Y378" s="399">
        <v>0</v>
      </c>
      <c r="Z378" s="399">
        <v>6.9174137006671437</v>
      </c>
      <c r="AA378" s="399">
        <v>0</v>
      </c>
      <c r="AB378" s="399">
        <v>0</v>
      </c>
      <c r="AC378" s="399">
        <v>0</v>
      </c>
      <c r="AD378" s="399">
        <v>0</v>
      </c>
      <c r="AE378" s="399">
        <v>11.868152521265866</v>
      </c>
      <c r="AF378" s="399">
        <v>14.476548246045679</v>
      </c>
      <c r="AG378" s="399">
        <v>0</v>
      </c>
      <c r="AH378" s="399">
        <v>0</v>
      </c>
      <c r="AI378" s="399">
        <v>0</v>
      </c>
      <c r="AJ378" s="399">
        <v>0</v>
      </c>
      <c r="AK378" s="399">
        <v>0</v>
      </c>
      <c r="AL378" s="399">
        <v>1.0682850966861275</v>
      </c>
      <c r="AM378" s="399"/>
      <c r="AN378" s="399">
        <v>9.7223833407871899E-2</v>
      </c>
      <c r="AO378" s="399">
        <v>0.21212312181077198</v>
      </c>
      <c r="AP378" s="399">
        <v>1.1314638540625013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1.5332259045772372</v>
      </c>
      <c r="BH378" s="399">
        <v>0</v>
      </c>
      <c r="BI378" s="399">
        <v>0</v>
      </c>
      <c r="BJ378" s="399">
        <v>0</v>
      </c>
      <c r="BK378" s="399">
        <v>0</v>
      </c>
      <c r="BL378" s="399">
        <v>0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16.009774150622917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36.338500000000003</v>
      </c>
      <c r="CJ378" s="399">
        <v>-4.6121900000000053</v>
      </c>
      <c r="CK378" s="399"/>
      <c r="CL378" s="399"/>
      <c r="CM378" s="399"/>
      <c r="CN378" s="399"/>
      <c r="CO378" s="399">
        <v>-4.2533200000000022</v>
      </c>
      <c r="CP378" s="399">
        <v>0.66217999999999833</v>
      </c>
      <c r="CQ378" s="399">
        <v>31</v>
      </c>
      <c r="CR378" s="399">
        <v>7.9300962494528449E-2</v>
      </c>
      <c r="CS378" s="399">
        <v>1.5484099125852496E-2</v>
      </c>
      <c r="CT378" s="399">
        <v>8.259212067061461E-2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0</v>
      </c>
      <c r="DA378" s="399">
        <v>0</v>
      </c>
      <c r="DB378" s="399">
        <v>0</v>
      </c>
      <c r="DC378" s="399">
        <v>0.66211607110258619</v>
      </c>
      <c r="DD378" s="399">
        <v>0</v>
      </c>
      <c r="DE378" s="399">
        <v>0</v>
      </c>
      <c r="DF378" s="399">
        <v>0</v>
      </c>
      <c r="DG378" s="399">
        <v>7.0125384504451604E-2</v>
      </c>
      <c r="DH378" s="399">
        <v>0</v>
      </c>
      <c r="DI378" s="399">
        <v>-0.65432634206779916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-8.5298912366378321E-2</v>
      </c>
      <c r="DP378" s="399">
        <v>-1.1391458474806868E-2</v>
      </c>
      <c r="DQ378" s="399">
        <v>0</v>
      </c>
      <c r="DR378" s="399">
        <v>0</v>
      </c>
      <c r="DS378" s="399"/>
      <c r="DT378" s="399"/>
      <c r="DU378" s="399"/>
      <c r="DV378" s="399">
        <v>11.868152521265866</v>
      </c>
      <c r="DW378" s="399">
        <v>0</v>
      </c>
      <c r="DX378" s="399">
        <v>0</v>
      </c>
      <c r="DY378" s="399">
        <v>-4.2533200000000022</v>
      </c>
      <c r="DZ378" s="399">
        <v>0.66217999999999755</v>
      </c>
      <c r="EA378" s="399">
        <v>0</v>
      </c>
      <c r="EB378" s="399">
        <v>0</v>
      </c>
      <c r="EC378" s="399">
        <v>-3.6696437365848045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3.6158321777943265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230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377</v>
      </c>
      <c r="B379" s="399" t="s">
        <v>956</v>
      </c>
      <c r="C379" s="399" t="s">
        <v>2338</v>
      </c>
      <c r="D379" s="399" t="s">
        <v>1823</v>
      </c>
      <c r="E379" s="399" t="s">
        <v>889</v>
      </c>
      <c r="F379" s="399" t="s">
        <v>889</v>
      </c>
      <c r="G379" s="399" t="s">
        <v>1239</v>
      </c>
      <c r="H379" s="399" t="s">
        <v>1239</v>
      </c>
      <c r="I379" s="399" t="s">
        <v>1239</v>
      </c>
      <c r="J379" s="399" t="s">
        <v>2329</v>
      </c>
      <c r="K379" s="789">
        <v>44682</v>
      </c>
      <c r="L379" s="399">
        <v>0</v>
      </c>
      <c r="M379" s="399">
        <v>0</v>
      </c>
      <c r="N379" s="399">
        <v>0</v>
      </c>
      <c r="O379" s="399">
        <v>0</v>
      </c>
      <c r="P379" s="399">
        <v>0</v>
      </c>
      <c r="Q379" s="399">
        <v>0</v>
      </c>
      <c r="R379" s="399"/>
      <c r="S379" s="399"/>
      <c r="T379" s="399"/>
      <c r="U379" s="399"/>
      <c r="V379" s="399"/>
      <c r="W379" s="399"/>
      <c r="X379" s="399"/>
      <c r="Y379" s="399"/>
      <c r="Z379" s="399"/>
      <c r="AA379" s="399">
        <v>0</v>
      </c>
      <c r="AB379" s="399"/>
      <c r="AC379" s="399"/>
      <c r="AD379" s="399"/>
      <c r="AE379" s="399"/>
      <c r="AF379" s="399"/>
      <c r="AG379" s="399"/>
      <c r="AH379" s="399"/>
      <c r="AI379" s="399"/>
      <c r="AJ379" s="399"/>
      <c r="AK379" s="399"/>
      <c r="AL379" s="399"/>
      <c r="AM379" s="399"/>
      <c r="AN379" s="399"/>
      <c r="AO379" s="399"/>
      <c r="AP379" s="399"/>
      <c r="AQ379" s="399"/>
      <c r="AR379" s="399"/>
      <c r="AS379" s="399"/>
      <c r="AT379" s="399"/>
      <c r="AU379" s="399"/>
      <c r="AV379" s="399"/>
      <c r="AW379" s="399"/>
      <c r="AX379" s="399"/>
      <c r="AY379" s="399"/>
      <c r="AZ379" s="399">
        <v>0</v>
      </c>
      <c r="BA379" s="399"/>
      <c r="BB379" s="399"/>
      <c r="BC379" s="399"/>
      <c r="BD379" s="399"/>
      <c r="BE379" s="399"/>
      <c r="BF379" s="399"/>
      <c r="BG379" s="399"/>
      <c r="BH379" s="399"/>
      <c r="BI379" s="399">
        <v>0</v>
      </c>
      <c r="BJ379" s="399">
        <v>0</v>
      </c>
      <c r="BK379" s="399">
        <v>28.16</v>
      </c>
      <c r="BL379" s="399">
        <v>1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/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/>
      <c r="CJ379" s="399">
        <v>-0.03</v>
      </c>
      <c r="CK379" s="399"/>
      <c r="CL379" s="399"/>
      <c r="CM379" s="399"/>
      <c r="CN379" s="399"/>
      <c r="CO379" s="399">
        <v>0</v>
      </c>
      <c r="CP379" s="399">
        <v>0</v>
      </c>
      <c r="CQ379" s="399">
        <v>31</v>
      </c>
      <c r="CR379" s="399"/>
      <c r="CS379" s="399"/>
      <c r="CT379" s="399"/>
      <c r="CU379" s="399"/>
      <c r="CV379" s="399"/>
      <c r="CW379" s="399"/>
      <c r="CX379" s="399"/>
      <c r="CY379" s="399"/>
      <c r="CZ379" s="399"/>
      <c r="DA379" s="399"/>
      <c r="DB379" s="399"/>
      <c r="DC379" s="399"/>
      <c r="DD379" s="399"/>
      <c r="DE379" s="399"/>
      <c r="DF379" s="399"/>
      <c r="DG379" s="399"/>
      <c r="DH379" s="399"/>
      <c r="DI379" s="399"/>
      <c r="DJ379" s="399"/>
      <c r="DK379" s="399">
        <v>0</v>
      </c>
      <c r="DL379" s="399"/>
      <c r="DM379" s="399"/>
      <c r="DN379" s="399"/>
      <c r="DO379" s="399"/>
      <c r="DP379" s="399"/>
      <c r="DQ379" s="399"/>
      <c r="DR379" s="399"/>
      <c r="DS379" s="399"/>
      <c r="DT379" s="399"/>
      <c r="DU379" s="399"/>
      <c r="DV379" s="399"/>
      <c r="DW379" s="399"/>
      <c r="DX379" s="399"/>
      <c r="DY379" s="399"/>
      <c r="DZ379" s="399"/>
      <c r="EA379" s="399"/>
      <c r="EB379" s="399"/>
      <c r="EC379" s="399"/>
      <c r="ED379" s="399"/>
      <c r="EE379" s="399"/>
      <c r="EF379" s="399"/>
      <c r="EG379" s="399"/>
      <c r="EH379" s="399"/>
      <c r="EI379" s="399"/>
      <c r="EJ379" s="399"/>
      <c r="EK379" s="399"/>
      <c r="EL379" s="399"/>
      <c r="EM379" s="399"/>
      <c r="EN379" s="399"/>
      <c r="EO379" s="399"/>
      <c r="EP379" s="399"/>
      <c r="EQ379" s="399"/>
      <c r="ER379" s="399"/>
      <c r="ES379" s="399"/>
      <c r="ET379" s="399"/>
      <c r="EU379" s="399"/>
      <c r="EV379" s="399">
        <v>230</v>
      </c>
      <c r="EW379" s="399"/>
      <c r="EX379" s="399"/>
      <c r="EY379" s="399"/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378</v>
      </c>
      <c r="B380" s="399" t="s">
        <v>956</v>
      </c>
      <c r="C380" s="399" t="s">
        <v>2338</v>
      </c>
      <c r="D380" s="399" t="s">
        <v>1823</v>
      </c>
      <c r="E380" s="399" t="s">
        <v>889</v>
      </c>
      <c r="F380" s="399" t="s">
        <v>889</v>
      </c>
      <c r="G380" s="399" t="s">
        <v>1239</v>
      </c>
      <c r="H380" s="399" t="s">
        <v>1239</v>
      </c>
      <c r="I380" s="399" t="s">
        <v>2339</v>
      </c>
      <c r="J380" s="399" t="s">
        <v>2329</v>
      </c>
      <c r="K380" s="789">
        <v>44682</v>
      </c>
      <c r="L380" s="399">
        <v>0</v>
      </c>
      <c r="M380" s="399">
        <v>0</v>
      </c>
      <c r="N380" s="399">
        <v>6.0000000000000001E-3</v>
      </c>
      <c r="O380" s="399">
        <v>6.0000000000000001E-3</v>
      </c>
      <c r="P380" s="399">
        <v>6.0000000000000001E-3</v>
      </c>
      <c r="Q380" s="399">
        <v>6.0000000000000001E-3</v>
      </c>
      <c r="R380" s="399"/>
      <c r="S380" s="399">
        <v>467.85</v>
      </c>
      <c r="T380" s="399">
        <v>128.11000000000001</v>
      </c>
      <c r="U380" s="399"/>
      <c r="V380" s="399">
        <v>3.5757600000000003</v>
      </c>
      <c r="W380" s="399">
        <v>3.5757600000000003</v>
      </c>
      <c r="X380" s="399">
        <v>3.0058799999999999</v>
      </c>
      <c r="Y380" s="399">
        <v>0</v>
      </c>
      <c r="Z380" s="399">
        <v>0.36729630269029079</v>
      </c>
      <c r="AA380" s="399">
        <v>0</v>
      </c>
      <c r="AB380" s="399">
        <v>0</v>
      </c>
      <c r="AC380" s="399">
        <v>0</v>
      </c>
      <c r="AD380" s="399">
        <v>0</v>
      </c>
      <c r="AE380" s="399">
        <v>1.890503681184456</v>
      </c>
      <c r="AF380" s="399">
        <v>0.76866627855109793</v>
      </c>
      <c r="AG380" s="399">
        <v>0</v>
      </c>
      <c r="AH380" s="399">
        <v>0</v>
      </c>
      <c r="AI380" s="399">
        <v>0</v>
      </c>
      <c r="AJ380" s="399">
        <v>0</v>
      </c>
      <c r="AK380" s="399">
        <v>0</v>
      </c>
      <c r="AL380" s="399">
        <v>5.6723102478909423E-2</v>
      </c>
      <c r="AM380" s="399"/>
      <c r="AN380" s="399">
        <v>5.1623274375861179E-3</v>
      </c>
      <c r="AO380" s="399">
        <v>3.3788144044531926E-2</v>
      </c>
      <c r="AP380" s="399">
        <v>0.18023367138904861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8.1410225021800203E-2</v>
      </c>
      <c r="BH380" s="399">
        <v>0</v>
      </c>
      <c r="BI380" s="399">
        <v>0</v>
      </c>
      <c r="BJ380" s="399">
        <v>0</v>
      </c>
      <c r="BK380" s="399">
        <v>0</v>
      </c>
      <c r="BL380" s="399">
        <v>0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0.8500765035728981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5.0098000000000003</v>
      </c>
      <c r="CJ380" s="399">
        <v>1.4040400000000006</v>
      </c>
      <c r="CK380" s="399"/>
      <c r="CL380" s="399"/>
      <c r="CM380" s="399"/>
      <c r="CN380" s="399"/>
      <c r="CO380" s="399">
        <v>-0.60504000000000024</v>
      </c>
      <c r="CP380" s="399">
        <v>3.5159999999999914E-2</v>
      </c>
      <c r="CQ380" s="399">
        <v>31</v>
      </c>
      <c r="CR380" s="399">
        <v>1.4625779488138368E-2</v>
      </c>
      <c r="CS380" s="399">
        <v>2.4663929476336152E-3</v>
      </c>
      <c r="CT380" s="399">
        <v>1.315630285742217E-2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0</v>
      </c>
      <c r="DA380" s="399">
        <v>0</v>
      </c>
      <c r="DB380" s="399">
        <v>0</v>
      </c>
      <c r="DC380" s="399">
        <v>3.5156605545270114E-2</v>
      </c>
      <c r="DD380" s="399">
        <v>0</v>
      </c>
      <c r="DE380" s="399">
        <v>0</v>
      </c>
      <c r="DF380" s="399">
        <v>0</v>
      </c>
      <c r="DG380" s="399">
        <v>3.7234717435992021E-3</v>
      </c>
      <c r="DH380" s="399">
        <v>0</v>
      </c>
      <c r="DI380" s="399">
        <v>-3.4742991614219398E-2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-4.5291457893652243E-3</v>
      </c>
      <c r="DP380" s="399">
        <v>-6.0485620220213435E-4</v>
      </c>
      <c r="DQ380" s="399">
        <v>0</v>
      </c>
      <c r="DR380" s="399">
        <v>0</v>
      </c>
      <c r="DS380" s="399"/>
      <c r="DT380" s="399"/>
      <c r="DU380" s="399"/>
      <c r="DV380" s="399">
        <v>1.890503681184456</v>
      </c>
      <c r="DW380" s="399">
        <v>0</v>
      </c>
      <c r="DX380" s="399">
        <v>0</v>
      </c>
      <c r="DY380" s="399">
        <v>-0.60504000000000024</v>
      </c>
      <c r="DZ380" s="399">
        <v>3.5159999999999858E-2</v>
      </c>
      <c r="EA380" s="399">
        <v>0</v>
      </c>
      <c r="EB380" s="399">
        <v>0</v>
      </c>
      <c r="EC380" s="399">
        <v>-0.58454548677380402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0.1919910890864244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230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379</v>
      </c>
      <c r="B381" s="399" t="s">
        <v>956</v>
      </c>
      <c r="C381" s="399" t="s">
        <v>2328</v>
      </c>
      <c r="D381" s="399" t="s">
        <v>1826</v>
      </c>
      <c r="E381" s="399" t="s">
        <v>890</v>
      </c>
      <c r="F381" s="399" t="s">
        <v>1239</v>
      </c>
      <c r="G381" s="399" t="s">
        <v>1239</v>
      </c>
      <c r="H381" s="399" t="s">
        <v>1239</v>
      </c>
      <c r="I381" s="399" t="s">
        <v>1239</v>
      </c>
      <c r="J381" s="399" t="s">
        <v>2329</v>
      </c>
      <c r="K381" s="789">
        <v>44682</v>
      </c>
      <c r="L381" s="399">
        <v>0</v>
      </c>
      <c r="M381" s="399">
        <v>0</v>
      </c>
      <c r="N381" s="399">
        <v>401.34</v>
      </c>
      <c r="O381" s="399">
        <v>401.34</v>
      </c>
      <c r="P381" s="399">
        <v>401.34</v>
      </c>
      <c r="Q381" s="399">
        <v>401.34</v>
      </c>
      <c r="R381" s="399"/>
      <c r="S381" s="399">
        <v>333.61</v>
      </c>
      <c r="T381" s="399">
        <v>128.11000000000001</v>
      </c>
      <c r="U381" s="399"/>
      <c r="V381" s="399">
        <v>185306.70480000001</v>
      </c>
      <c r="W381" s="399">
        <v>185306.70480000001</v>
      </c>
      <c r="X381" s="399">
        <v>161752.06020000001</v>
      </c>
      <c r="Y381" s="399">
        <v>0</v>
      </c>
      <c r="Z381" s="399">
        <v>24568.449686953551</v>
      </c>
      <c r="AA381" s="399">
        <v>0</v>
      </c>
      <c r="AB381" s="399">
        <v>0</v>
      </c>
      <c r="AC381" s="399">
        <v>0</v>
      </c>
      <c r="AD381" s="399">
        <v>0</v>
      </c>
      <c r="AE381" s="399">
        <v>78059.104211402591</v>
      </c>
      <c r="AF381" s="399">
        <v>51416.087372282942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3794.2083248142512</v>
      </c>
      <c r="AM381" s="399"/>
      <c r="AN381" s="399">
        <v>345.30808230013542</v>
      </c>
      <c r="AO381" s="399">
        <v>1395.0659343923382</v>
      </c>
      <c r="AP381" s="399">
        <v>7441.9013643885355</v>
      </c>
      <c r="AQ381" s="399">
        <v>0</v>
      </c>
      <c r="AR381" s="399">
        <v>0</v>
      </c>
      <c r="AS381" s="399">
        <v>0</v>
      </c>
      <c r="AT381" s="399">
        <v>0</v>
      </c>
      <c r="AU381" s="399">
        <v>0</v>
      </c>
      <c r="AV381" s="399">
        <v>0</v>
      </c>
      <c r="AW381" s="399">
        <v>0</v>
      </c>
      <c r="AX381" s="399">
        <v>0</v>
      </c>
      <c r="AY381" s="399">
        <v>0</v>
      </c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>
        <v>0</v>
      </c>
      <c r="BG381" s="399">
        <v>5445.5299517082149</v>
      </c>
      <c r="BH381" s="399">
        <v>0</v>
      </c>
      <c r="BI381" s="399">
        <v>0</v>
      </c>
      <c r="BJ381" s="399">
        <v>0</v>
      </c>
      <c r="BK381" s="399">
        <v>57172.17</v>
      </c>
      <c r="BL381" s="399">
        <v>228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56861.617323991159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161752.06020000001</v>
      </c>
      <c r="CJ381" s="399">
        <v>-23554.674600000028</v>
      </c>
      <c r="CK381" s="399"/>
      <c r="CL381" s="399"/>
      <c r="CM381" s="399"/>
      <c r="CN381" s="399"/>
      <c r="CO381" s="399">
        <v>-25906.497000000003</v>
      </c>
      <c r="CP381" s="399">
        <v>2351.8523999999938</v>
      </c>
      <c r="CQ381" s="399">
        <v>31</v>
      </c>
      <c r="CR381" s="399">
        <v>578.37785471034294</v>
      </c>
      <c r="CS381" s="399">
        <v>101.83396807869644</v>
      </c>
      <c r="CT381" s="399">
        <v>543.22761907026779</v>
      </c>
      <c r="CU381" s="399">
        <v>0</v>
      </c>
      <c r="CV381" s="399">
        <v>0</v>
      </c>
      <c r="CW381" s="399">
        <v>0</v>
      </c>
      <c r="CX381" s="399">
        <v>0</v>
      </c>
      <c r="CY381" s="399">
        <v>0</v>
      </c>
      <c r="CZ381" s="399">
        <v>0</v>
      </c>
      <c r="DA381" s="399">
        <v>0</v>
      </c>
      <c r="DB381" s="399">
        <v>0</v>
      </c>
      <c r="DC381" s="399">
        <v>2351.6253449231153</v>
      </c>
      <c r="DD381" s="399">
        <v>0</v>
      </c>
      <c r="DE381" s="399">
        <v>0</v>
      </c>
      <c r="DF381" s="399">
        <v>0</v>
      </c>
      <c r="DG381" s="399">
        <v>249.06302492935083</v>
      </c>
      <c r="DH381" s="399">
        <v>0</v>
      </c>
      <c r="DI381" s="399">
        <v>-2323.9587090751374</v>
      </c>
      <c r="DJ381" s="399"/>
      <c r="DK381" s="399">
        <v>0</v>
      </c>
      <c r="DL381" s="399">
        <v>0</v>
      </c>
      <c r="DM381" s="399">
        <v>0</v>
      </c>
      <c r="DN381" s="399">
        <v>0</v>
      </c>
      <c r="DO381" s="399">
        <v>-302.95456185063995</v>
      </c>
      <c r="DP381" s="399">
        <v>-40.458831365300739</v>
      </c>
      <c r="DQ381" s="399">
        <v>0</v>
      </c>
      <c r="DR381" s="399">
        <v>0</v>
      </c>
      <c r="DS381" s="399"/>
      <c r="DT381" s="399"/>
      <c r="DU381" s="399"/>
      <c r="DV381" s="399">
        <v>78059.104211402591</v>
      </c>
      <c r="DW381" s="399">
        <v>0</v>
      </c>
      <c r="DX381" s="399">
        <v>0</v>
      </c>
      <c r="DY381" s="399">
        <v>-25906.497000000003</v>
      </c>
      <c r="DZ381" s="399">
        <v>2351.8523999999888</v>
      </c>
      <c r="EA381" s="399">
        <v>0</v>
      </c>
      <c r="EB381" s="399">
        <v>0</v>
      </c>
      <c r="EC381" s="399">
        <v>-24135.94722005185</v>
      </c>
      <c r="ED381" s="399">
        <v>0</v>
      </c>
      <c r="EE381" s="399">
        <v>0</v>
      </c>
      <c r="EF381" s="399">
        <v>0</v>
      </c>
      <c r="EG381" s="399">
        <v>0</v>
      </c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>
        <v>0</v>
      </c>
      <c r="EN381" s="399">
        <v>0</v>
      </c>
      <c r="EO381" s="399">
        <v>0</v>
      </c>
      <c r="EP381" s="399">
        <v>12842.283948990927</v>
      </c>
      <c r="EQ381" s="399">
        <v>0</v>
      </c>
      <c r="ER381" s="399">
        <v>0</v>
      </c>
      <c r="ES381" s="399">
        <v>0</v>
      </c>
      <c r="ET381" s="399">
        <v>0</v>
      </c>
      <c r="EU381" s="399">
        <v>0</v>
      </c>
      <c r="EV381" s="399">
        <v>230</v>
      </c>
      <c r="EW381" s="399">
        <v>0</v>
      </c>
      <c r="EX381" s="399">
        <v>0</v>
      </c>
      <c r="EY381" s="399">
        <v>0</v>
      </c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380</v>
      </c>
      <c r="B382" s="399" t="s">
        <v>2331</v>
      </c>
      <c r="C382" s="399" t="s">
        <v>2328</v>
      </c>
      <c r="D382" s="399" t="s">
        <v>1826</v>
      </c>
      <c r="E382" s="399" t="s">
        <v>890</v>
      </c>
      <c r="F382" s="399" t="s">
        <v>1239</v>
      </c>
      <c r="G382" s="399" t="s">
        <v>1239</v>
      </c>
      <c r="H382" s="399" t="s">
        <v>1239</v>
      </c>
      <c r="I382" s="399" t="s">
        <v>1239</v>
      </c>
      <c r="J382" s="399" t="s">
        <v>2329</v>
      </c>
      <c r="K382" s="789">
        <v>44682</v>
      </c>
      <c r="L382" s="399">
        <v>0</v>
      </c>
      <c r="M382" s="399">
        <v>0</v>
      </c>
      <c r="N382" s="399">
        <v>6.3070000000000004</v>
      </c>
      <c r="O382" s="399">
        <v>6.3070000000000004</v>
      </c>
      <c r="P382" s="399">
        <v>6.3070000000000004</v>
      </c>
      <c r="Q382" s="399">
        <v>6.3070000000000004</v>
      </c>
      <c r="R382" s="399"/>
      <c r="S382" s="399">
        <v>333.61</v>
      </c>
      <c r="T382" s="399">
        <v>128.11000000000001</v>
      </c>
      <c r="U382" s="399"/>
      <c r="V382" s="399">
        <v>2912.0680400000006</v>
      </c>
      <c r="W382" s="399">
        <v>2912.0680400000006</v>
      </c>
      <c r="X382" s="399">
        <v>2541.91021</v>
      </c>
      <c r="Y382" s="399">
        <v>0</v>
      </c>
      <c r="Z382" s="399">
        <v>386.08963017794406</v>
      </c>
      <c r="AA382" s="399">
        <v>0</v>
      </c>
      <c r="AB382" s="399">
        <v>0</v>
      </c>
      <c r="AC382" s="399">
        <v>0</v>
      </c>
      <c r="AD382" s="399">
        <v>0</v>
      </c>
      <c r="AE382" s="399">
        <v>1226.6875224530727</v>
      </c>
      <c r="AF382" s="399">
        <v>807.99636980362914</v>
      </c>
      <c r="AG382" s="399">
        <v>0</v>
      </c>
      <c r="AH382" s="399">
        <v>0</v>
      </c>
      <c r="AI382" s="399">
        <v>0</v>
      </c>
      <c r="AJ382" s="399">
        <v>0</v>
      </c>
      <c r="AK382" s="399">
        <v>0</v>
      </c>
      <c r="AL382" s="399">
        <v>59.625434555746963</v>
      </c>
      <c r="AM382" s="399"/>
      <c r="AN382" s="399">
        <v>5.4264665248092747</v>
      </c>
      <c r="AO382" s="399">
        <v>21.923259202203813</v>
      </c>
      <c r="AP382" s="399">
        <v>116.94840261423855</v>
      </c>
      <c r="AQ382" s="399">
        <v>0</v>
      </c>
      <c r="AR382" s="399">
        <v>0</v>
      </c>
      <c r="AS382" s="399">
        <v>0</v>
      </c>
      <c r="AT382" s="399">
        <v>0</v>
      </c>
      <c r="AU382" s="399">
        <v>0</v>
      </c>
      <c r="AV382" s="399">
        <v>0</v>
      </c>
      <c r="AW382" s="399">
        <v>0</v>
      </c>
      <c r="AX382" s="399">
        <v>0</v>
      </c>
      <c r="AY382" s="399">
        <v>0</v>
      </c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>
        <v>0</v>
      </c>
      <c r="BG382" s="399">
        <v>85.575714868748989</v>
      </c>
      <c r="BH382" s="399">
        <v>0</v>
      </c>
      <c r="BI382" s="399">
        <v>0</v>
      </c>
      <c r="BJ382" s="399">
        <v>0</v>
      </c>
      <c r="BK382" s="399">
        <v>1496.64</v>
      </c>
      <c r="BL382" s="399">
        <v>3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893.57208467237808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2543.1192999999998</v>
      </c>
      <c r="CJ382" s="399">
        <v>-368.97874000000138</v>
      </c>
      <c r="CK382" s="399"/>
      <c r="CL382" s="399"/>
      <c r="CM382" s="399"/>
      <c r="CN382" s="399"/>
      <c r="CO382" s="399">
        <v>-407.11685000000011</v>
      </c>
      <c r="CP382" s="399">
        <v>36.95901999999991</v>
      </c>
      <c r="CQ382" s="399">
        <v>31</v>
      </c>
      <c r="CR382" s="399">
        <v>9.0891242578813944</v>
      </c>
      <c r="CS382" s="399">
        <v>1.6003060663585451</v>
      </c>
      <c r="CT382" s="399">
        <v>8.5367433933228227</v>
      </c>
      <c r="CU382" s="399">
        <v>0</v>
      </c>
      <c r="CV382" s="399">
        <v>0</v>
      </c>
      <c r="CW382" s="399">
        <v>0</v>
      </c>
      <c r="CX382" s="399">
        <v>0</v>
      </c>
      <c r="CY382" s="399">
        <v>0</v>
      </c>
      <c r="CZ382" s="399">
        <v>0</v>
      </c>
      <c r="DA382" s="399">
        <v>0</v>
      </c>
      <c r="DB382" s="399">
        <v>0</v>
      </c>
      <c r="DC382" s="399">
        <v>36.955451862336417</v>
      </c>
      <c r="DD382" s="399">
        <v>0</v>
      </c>
      <c r="DE382" s="399">
        <v>0</v>
      </c>
      <c r="DF382" s="399">
        <v>0</v>
      </c>
      <c r="DG382" s="399">
        <v>3.9139893811466919</v>
      </c>
      <c r="DH382" s="399">
        <v>0</v>
      </c>
      <c r="DI382" s="399">
        <v>-36.520674685147014</v>
      </c>
      <c r="DJ382" s="399"/>
      <c r="DK382" s="399">
        <v>0</v>
      </c>
      <c r="DL382" s="399">
        <v>0</v>
      </c>
      <c r="DM382" s="399">
        <v>0</v>
      </c>
      <c r="DN382" s="399">
        <v>0</v>
      </c>
      <c r="DO382" s="399">
        <v>-4.7608870822544134</v>
      </c>
      <c r="DP382" s="399">
        <v>-0.63580467788147654</v>
      </c>
      <c r="DQ382" s="399">
        <v>0</v>
      </c>
      <c r="DR382" s="399">
        <v>0</v>
      </c>
      <c r="DS382" s="399"/>
      <c r="DT382" s="399"/>
      <c r="DU382" s="399"/>
      <c r="DV382" s="399">
        <v>1226.6875224530727</v>
      </c>
      <c r="DW382" s="399">
        <v>0</v>
      </c>
      <c r="DX382" s="399">
        <v>0</v>
      </c>
      <c r="DY382" s="399">
        <v>-407.11685000000034</v>
      </c>
      <c r="DZ382" s="399">
        <v>36.959019999999896</v>
      </c>
      <c r="EA382" s="399">
        <v>0</v>
      </c>
      <c r="EB382" s="399">
        <v>0</v>
      </c>
      <c r="EC382" s="399">
        <v>-379.29291652181951</v>
      </c>
      <c r="ED382" s="399">
        <v>0</v>
      </c>
      <c r="EE382" s="399">
        <v>0</v>
      </c>
      <c r="EF382" s="399">
        <v>0</v>
      </c>
      <c r="EG382" s="399">
        <v>0</v>
      </c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>
        <v>0</v>
      </c>
      <c r="EN382" s="399">
        <v>0</v>
      </c>
      <c r="EO382" s="399">
        <v>0</v>
      </c>
      <c r="EP382" s="399">
        <v>201.81463314467979</v>
      </c>
      <c r="EQ382" s="399">
        <v>0</v>
      </c>
      <c r="ER382" s="399">
        <v>0</v>
      </c>
      <c r="ES382" s="399">
        <v>0</v>
      </c>
      <c r="ET382" s="399">
        <v>0</v>
      </c>
      <c r="EU382" s="399">
        <v>0</v>
      </c>
      <c r="EV382" s="399">
        <v>230</v>
      </c>
      <c r="EW382" s="399">
        <v>0</v>
      </c>
      <c r="EX382" s="399">
        <v>0</v>
      </c>
      <c r="EY382" s="399">
        <v>0</v>
      </c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381</v>
      </c>
      <c r="B383" s="399" t="s">
        <v>956</v>
      </c>
      <c r="C383" s="399" t="s">
        <v>2336</v>
      </c>
      <c r="D383" s="399" t="s">
        <v>535</v>
      </c>
      <c r="E383" s="399" t="s">
        <v>890</v>
      </c>
      <c r="F383" s="399" t="s">
        <v>1239</v>
      </c>
      <c r="G383" s="399" t="s">
        <v>1239</v>
      </c>
      <c r="H383" s="399" t="s">
        <v>1239</v>
      </c>
      <c r="I383" s="399" t="s">
        <v>893</v>
      </c>
      <c r="J383" s="399" t="s">
        <v>2329</v>
      </c>
      <c r="K383" s="789">
        <v>44682</v>
      </c>
      <c r="L383" s="399">
        <v>2460</v>
      </c>
      <c r="M383" s="399">
        <v>2460</v>
      </c>
      <c r="N383" s="399">
        <v>106.626</v>
      </c>
      <c r="O383" s="399">
        <v>106.626</v>
      </c>
      <c r="P383" s="399">
        <v>106.626</v>
      </c>
      <c r="Q383" s="399">
        <v>106.626</v>
      </c>
      <c r="R383" s="399">
        <v>28.46</v>
      </c>
      <c r="S383" s="399">
        <v>75.12</v>
      </c>
      <c r="T383" s="399">
        <v>128.11000000000001</v>
      </c>
      <c r="U383" s="399">
        <v>70011.600000000006</v>
      </c>
      <c r="V383" s="399">
        <v>21669.601980000003</v>
      </c>
      <c r="W383" s="399">
        <v>91681.201980000013</v>
      </c>
      <c r="X383" s="399">
        <v>75316.414560000005</v>
      </c>
      <c r="Y383" s="399">
        <v>0</v>
      </c>
      <c r="Z383" s="399">
        <v>4373.2391387231346</v>
      </c>
      <c r="AA383" s="399">
        <v>0</v>
      </c>
      <c r="AB383" s="399">
        <v>0</v>
      </c>
      <c r="AC383" s="399">
        <v>0</v>
      </c>
      <c r="AD383" s="399">
        <v>0</v>
      </c>
      <c r="AE383" s="399">
        <v>56560.239923087371</v>
      </c>
      <c r="AF383" s="399">
        <v>13659.968436131563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1008.0262541526994</v>
      </c>
      <c r="AM383" s="399"/>
      <c r="AN383" s="399">
        <v>26.097353241019473</v>
      </c>
      <c r="AO383" s="399">
        <v>2025.2465627476295</v>
      </c>
      <c r="AP383" s="399">
        <v>11416.70791406742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316.39995059558817</v>
      </c>
      <c r="BH383" s="399">
        <v>0</v>
      </c>
      <c r="BI383" s="399">
        <v>0</v>
      </c>
      <c r="BJ383" s="399">
        <v>0</v>
      </c>
      <c r="BK383" s="399">
        <v>0</v>
      </c>
      <c r="BL383" s="399">
        <v>0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13976.368386727152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75317.232799999998</v>
      </c>
      <c r="CJ383" s="399">
        <v>-16363.999179999999</v>
      </c>
      <c r="CK383" s="399"/>
      <c r="CL383" s="399"/>
      <c r="CM383" s="399"/>
      <c r="CN383" s="399"/>
      <c r="CO383" s="399">
        <v>-16989.615780000004</v>
      </c>
      <c r="CP383" s="399">
        <v>624.8283599999985</v>
      </c>
      <c r="CQ383" s="399">
        <v>31</v>
      </c>
      <c r="CR383" s="399">
        <v>1123.230557219511</v>
      </c>
      <c r="CS383" s="399">
        <v>147.8345135795762</v>
      </c>
      <c r="CT383" s="399">
        <v>833.37184331099525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0</v>
      </c>
      <c r="DA383" s="399">
        <v>0</v>
      </c>
      <c r="DB383" s="399">
        <v>0</v>
      </c>
      <c r="DC383" s="399">
        <v>624.76803714499511</v>
      </c>
      <c r="DD383" s="399">
        <v>0</v>
      </c>
      <c r="DE383" s="399">
        <v>0</v>
      </c>
      <c r="DF383" s="399">
        <v>0</v>
      </c>
      <c r="DG383" s="399">
        <v>14.471232273386136</v>
      </c>
      <c r="DH383" s="399">
        <v>0</v>
      </c>
      <c r="DI383" s="399">
        <v>-413.66986166412244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-80.487449822809367</v>
      </c>
      <c r="DP383" s="399">
        <v>-3.057757602503326</v>
      </c>
      <c r="DQ383" s="399">
        <v>0</v>
      </c>
      <c r="DR383" s="399">
        <v>0</v>
      </c>
      <c r="DS383" s="399"/>
      <c r="DT383" s="399"/>
      <c r="DU383" s="399">
        <v>56560.239923087371</v>
      </c>
      <c r="DV383" s="399">
        <v>0</v>
      </c>
      <c r="DW383" s="399">
        <v>0</v>
      </c>
      <c r="DX383" s="399">
        <v>0</v>
      </c>
      <c r="DY383" s="399">
        <v>-16989.615780000015</v>
      </c>
      <c r="DZ383" s="399">
        <v>624.82835999999952</v>
      </c>
      <c r="EA383" s="399">
        <v>0</v>
      </c>
      <c r="EB383" s="399">
        <v>0</v>
      </c>
      <c r="EC383" s="399">
        <v>-17488.478497523975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2285.9553415837527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230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382</v>
      </c>
      <c r="B384" s="399" t="s">
        <v>956</v>
      </c>
      <c r="C384" s="399" t="s">
        <v>2336</v>
      </c>
      <c r="D384" s="399" t="s">
        <v>535</v>
      </c>
      <c r="E384" s="399" t="s">
        <v>890</v>
      </c>
      <c r="F384" s="399" t="s">
        <v>1239</v>
      </c>
      <c r="G384" s="399" t="s">
        <v>1239</v>
      </c>
      <c r="H384" s="399" t="s">
        <v>1239</v>
      </c>
      <c r="I384" s="399" t="s">
        <v>2326</v>
      </c>
      <c r="J384" s="399" t="s">
        <v>2329</v>
      </c>
      <c r="K384" s="789">
        <v>44682</v>
      </c>
      <c r="L384" s="399">
        <v>2502</v>
      </c>
      <c r="M384" s="399">
        <v>2502</v>
      </c>
      <c r="N384" s="399">
        <v>1084.095</v>
      </c>
      <c r="O384" s="399">
        <v>1084.095</v>
      </c>
      <c r="P384" s="399">
        <v>1084.095</v>
      </c>
      <c r="Q384" s="399">
        <v>1084.095</v>
      </c>
      <c r="R384" s="399">
        <v>9.92</v>
      </c>
      <c r="S384" s="399">
        <v>75.12</v>
      </c>
      <c r="T384" s="399">
        <v>128.11000000000001</v>
      </c>
      <c r="U384" s="399">
        <v>24819.84</v>
      </c>
      <c r="V384" s="399">
        <v>220320.62685000003</v>
      </c>
      <c r="W384" s="399">
        <v>245140.46685000003</v>
      </c>
      <c r="X384" s="399">
        <v>243679.99320000003</v>
      </c>
      <c r="Y384" s="399">
        <v>0</v>
      </c>
      <c r="Z384" s="399">
        <v>44463.889521261764</v>
      </c>
      <c r="AA384" s="399">
        <v>0</v>
      </c>
      <c r="AB384" s="399">
        <v>0</v>
      </c>
      <c r="AC384" s="399">
        <v>0</v>
      </c>
      <c r="AD384" s="399">
        <v>0</v>
      </c>
      <c r="AE384" s="399">
        <v>12310.386604762838</v>
      </c>
      <c r="AF384" s="399">
        <v>138884.54487430875</v>
      </c>
      <c r="AG384" s="399">
        <v>0</v>
      </c>
      <c r="AH384" s="399">
        <v>0</v>
      </c>
      <c r="AI384" s="399">
        <v>0</v>
      </c>
      <c r="AJ384" s="399">
        <v>0</v>
      </c>
      <c r="AK384" s="399">
        <v>0</v>
      </c>
      <c r="AL384" s="399">
        <v>10248.871963645552</v>
      </c>
      <c r="AM384" s="399"/>
      <c r="AN384" s="399">
        <v>265.33875566768899</v>
      </c>
      <c r="AO384" s="399">
        <v>1859.5952469435485</v>
      </c>
      <c r="AP384" s="399">
        <v>10642.370477323391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3216.9227434295963</v>
      </c>
      <c r="BH384" s="399">
        <v>0</v>
      </c>
      <c r="BI384" s="399">
        <v>0</v>
      </c>
      <c r="BJ384" s="399">
        <v>0</v>
      </c>
      <c r="BK384" s="399">
        <v>0</v>
      </c>
      <c r="BL384" s="399">
        <v>0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142101.46761773835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243681.01599999997</v>
      </c>
      <c r="CJ384" s="399">
        <v>-1459.48085000008</v>
      </c>
      <c r="CK384" s="399"/>
      <c r="CL384" s="399"/>
      <c r="CM384" s="399"/>
      <c r="CN384" s="399"/>
      <c r="CO384" s="399">
        <v>-7813.2703500000007</v>
      </c>
      <c r="CP384" s="399">
        <v>6352.7966999999844</v>
      </c>
      <c r="CQ384" s="399">
        <v>31</v>
      </c>
      <c r="CR384" s="399">
        <v>2356.589066741406</v>
      </c>
      <c r="CS384" s="399">
        <v>135.74266158181672</v>
      </c>
      <c r="CT384" s="399">
        <v>776.84845479467731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0</v>
      </c>
      <c r="DA384" s="399">
        <v>0</v>
      </c>
      <c r="DB384" s="399">
        <v>0</v>
      </c>
      <c r="DC384" s="399">
        <v>6352.1833814332786</v>
      </c>
      <c r="DD384" s="399">
        <v>0</v>
      </c>
      <c r="DE384" s="399">
        <v>0</v>
      </c>
      <c r="DF384" s="399">
        <v>0</v>
      </c>
      <c r="DG384" s="399">
        <v>147.13288083034695</v>
      </c>
      <c r="DH384" s="399">
        <v>0</v>
      </c>
      <c r="DI384" s="399">
        <v>-4205.891890165316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-818.33738408698082</v>
      </c>
      <c r="DP384" s="399">
        <v>-31.08903764640749</v>
      </c>
      <c r="DQ384" s="399">
        <v>0</v>
      </c>
      <c r="DR384" s="399">
        <v>0</v>
      </c>
      <c r="DS384" s="399"/>
      <c r="DT384" s="399"/>
      <c r="DU384" s="399">
        <v>12310.386604762838</v>
      </c>
      <c r="DV384" s="399">
        <v>0</v>
      </c>
      <c r="DW384" s="399">
        <v>0</v>
      </c>
      <c r="DX384" s="399">
        <v>0</v>
      </c>
      <c r="DY384" s="399">
        <v>-7813.2703499999916</v>
      </c>
      <c r="DZ384" s="399">
        <v>6352.7966999999771</v>
      </c>
      <c r="EA384" s="399">
        <v>0</v>
      </c>
      <c r="EB384" s="399">
        <v>0</v>
      </c>
      <c r="EC384" s="399">
        <v>-3806.3829242301981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23241.918069084822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230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383</v>
      </c>
      <c r="B385" s="399" t="s">
        <v>956</v>
      </c>
      <c r="C385" s="399" t="s">
        <v>2336</v>
      </c>
      <c r="D385" s="399" t="s">
        <v>535</v>
      </c>
      <c r="E385" s="399" t="s">
        <v>890</v>
      </c>
      <c r="F385" s="399" t="s">
        <v>1239</v>
      </c>
      <c r="G385" s="399" t="s">
        <v>1239</v>
      </c>
      <c r="H385" s="399" t="s">
        <v>1239</v>
      </c>
      <c r="I385" s="399" t="s">
        <v>1239</v>
      </c>
      <c r="J385" s="399" t="s">
        <v>2329</v>
      </c>
      <c r="K385" s="789">
        <v>44682</v>
      </c>
      <c r="L385" s="399">
        <v>0</v>
      </c>
      <c r="M385" s="399">
        <v>0</v>
      </c>
      <c r="N385" s="399">
        <v>0</v>
      </c>
      <c r="O385" s="399">
        <v>0</v>
      </c>
      <c r="P385" s="399">
        <v>0</v>
      </c>
      <c r="Q385" s="399">
        <v>0</v>
      </c>
      <c r="R385" s="399"/>
      <c r="S385" s="399"/>
      <c r="T385" s="399"/>
      <c r="U385" s="399"/>
      <c r="V385" s="399"/>
      <c r="W385" s="399"/>
      <c r="X385" s="399"/>
      <c r="Y385" s="399"/>
      <c r="Z385" s="399"/>
      <c r="AA385" s="399">
        <v>0</v>
      </c>
      <c r="AB385" s="399"/>
      <c r="AC385" s="399"/>
      <c r="AD385" s="399"/>
      <c r="AE385" s="399"/>
      <c r="AF385" s="399"/>
      <c r="AG385" s="399"/>
      <c r="AH385" s="399"/>
      <c r="AI385" s="399"/>
      <c r="AJ385" s="399"/>
      <c r="AK385" s="399"/>
      <c r="AL385" s="399"/>
      <c r="AM385" s="399"/>
      <c r="AN385" s="399"/>
      <c r="AO385" s="399"/>
      <c r="AP385" s="399"/>
      <c r="AQ385" s="399"/>
      <c r="AR385" s="399"/>
      <c r="AS385" s="399"/>
      <c r="AT385" s="399"/>
      <c r="AU385" s="399"/>
      <c r="AV385" s="399"/>
      <c r="AW385" s="399"/>
      <c r="AX385" s="399"/>
      <c r="AY385" s="399"/>
      <c r="AZ385" s="399">
        <v>0</v>
      </c>
      <c r="BA385" s="399"/>
      <c r="BB385" s="399"/>
      <c r="BC385" s="399"/>
      <c r="BD385" s="399"/>
      <c r="BE385" s="399"/>
      <c r="BF385" s="399"/>
      <c r="BG385" s="399"/>
      <c r="BH385" s="399"/>
      <c r="BI385" s="399">
        <v>0</v>
      </c>
      <c r="BJ385" s="399">
        <v>0</v>
      </c>
      <c r="BK385" s="399">
        <v>109221.61</v>
      </c>
      <c r="BL385" s="399">
        <v>1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/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/>
      <c r="CJ385" s="399">
        <v>-0.03</v>
      </c>
      <c r="CK385" s="399"/>
      <c r="CL385" s="399"/>
      <c r="CM385" s="399"/>
      <c r="CN385" s="399"/>
      <c r="CO385" s="399">
        <v>0</v>
      </c>
      <c r="CP385" s="399">
        <v>0</v>
      </c>
      <c r="CQ385" s="399">
        <v>31</v>
      </c>
      <c r="CR385" s="399"/>
      <c r="CS385" s="399"/>
      <c r="CT385" s="399"/>
      <c r="CU385" s="399"/>
      <c r="CV385" s="399"/>
      <c r="CW385" s="399"/>
      <c r="CX385" s="399"/>
      <c r="CY385" s="399"/>
      <c r="CZ385" s="399"/>
      <c r="DA385" s="399"/>
      <c r="DB385" s="399"/>
      <c r="DC385" s="399"/>
      <c r="DD385" s="399"/>
      <c r="DE385" s="399"/>
      <c r="DF385" s="399"/>
      <c r="DG385" s="399"/>
      <c r="DH385" s="399"/>
      <c r="DI385" s="399"/>
      <c r="DJ385" s="399"/>
      <c r="DK385" s="399">
        <v>0</v>
      </c>
      <c r="DL385" s="399"/>
      <c r="DM385" s="399"/>
      <c r="DN385" s="399"/>
      <c r="DO385" s="399"/>
      <c r="DP385" s="399"/>
      <c r="DQ385" s="399"/>
      <c r="DR385" s="399"/>
      <c r="DS385" s="399"/>
      <c r="DT385" s="399"/>
      <c r="DU385" s="399"/>
      <c r="DV385" s="399"/>
      <c r="DW385" s="399"/>
      <c r="DX385" s="399"/>
      <c r="DY385" s="399"/>
      <c r="DZ385" s="399"/>
      <c r="EA385" s="399"/>
      <c r="EB385" s="399"/>
      <c r="EC385" s="399"/>
      <c r="ED385" s="399"/>
      <c r="EE385" s="399"/>
      <c r="EF385" s="399"/>
      <c r="EG385" s="399"/>
      <c r="EH385" s="399"/>
      <c r="EI385" s="399"/>
      <c r="EJ385" s="399"/>
      <c r="EK385" s="399"/>
      <c r="EL385" s="399"/>
      <c r="EM385" s="399"/>
      <c r="EN385" s="399"/>
      <c r="EO385" s="399"/>
      <c r="EP385" s="399"/>
      <c r="EQ385" s="399"/>
      <c r="ER385" s="399"/>
      <c r="ES385" s="399"/>
      <c r="ET385" s="399"/>
      <c r="EU385" s="399"/>
      <c r="EV385" s="399">
        <v>230</v>
      </c>
      <c r="EW385" s="399"/>
      <c r="EX385" s="399"/>
      <c r="EY385" s="399"/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384</v>
      </c>
      <c r="B386" s="399" t="s">
        <v>956</v>
      </c>
      <c r="C386" s="399" t="s">
        <v>2336</v>
      </c>
      <c r="D386" s="399" t="s">
        <v>533</v>
      </c>
      <c r="E386" s="399" t="s">
        <v>890</v>
      </c>
      <c r="F386" s="399" t="s">
        <v>1239</v>
      </c>
      <c r="G386" s="399" t="s">
        <v>1239</v>
      </c>
      <c r="H386" s="399" t="s">
        <v>1239</v>
      </c>
      <c r="I386" s="399" t="s">
        <v>893</v>
      </c>
      <c r="J386" s="399" t="s">
        <v>2329</v>
      </c>
      <c r="K386" s="789">
        <v>44682</v>
      </c>
      <c r="L386" s="399">
        <v>6061</v>
      </c>
      <c r="M386" s="399">
        <v>6061</v>
      </c>
      <c r="N386" s="399">
        <v>355.01900000000001</v>
      </c>
      <c r="O386" s="399">
        <v>355.01900000000001</v>
      </c>
      <c r="P386" s="399">
        <v>355.01900000000001</v>
      </c>
      <c r="Q386" s="399">
        <v>355.01900000000001</v>
      </c>
      <c r="R386" s="399">
        <v>52.19</v>
      </c>
      <c r="S386" s="399">
        <v>96.28</v>
      </c>
      <c r="T386" s="399">
        <v>128.11000000000001</v>
      </c>
      <c r="U386" s="399">
        <v>316323.58999999997</v>
      </c>
      <c r="V386" s="399">
        <v>79662.713409999997</v>
      </c>
      <c r="W386" s="399">
        <v>395986.30340999993</v>
      </c>
      <c r="X386" s="399">
        <v>310918.00815999997</v>
      </c>
      <c r="Y386" s="399">
        <v>0</v>
      </c>
      <c r="Z386" s="399">
        <v>18907.589082296643</v>
      </c>
      <c r="AA386" s="399">
        <v>0</v>
      </c>
      <c r="AB386" s="399">
        <v>0</v>
      </c>
      <c r="AC386" s="399">
        <v>0</v>
      </c>
      <c r="AD386" s="399">
        <v>0</v>
      </c>
      <c r="AE386" s="399">
        <v>283252.63160976762</v>
      </c>
      <c r="AF386" s="399">
        <v>45481.855590822044</v>
      </c>
      <c r="AG386" s="399">
        <v>0</v>
      </c>
      <c r="AH386" s="399">
        <v>0</v>
      </c>
      <c r="AI386" s="399">
        <v>0</v>
      </c>
      <c r="AJ386" s="399">
        <v>0</v>
      </c>
      <c r="AK386" s="399">
        <v>0</v>
      </c>
      <c r="AL386" s="399">
        <v>3356.2965198266575</v>
      </c>
      <c r="AM386" s="399"/>
      <c r="AN386" s="399">
        <v>174.52757211810871</v>
      </c>
      <c r="AO386" s="399">
        <v>5234.4592155882547</v>
      </c>
      <c r="AP386" s="399">
        <v>27845.955719328907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1859.8079702377568</v>
      </c>
      <c r="BH386" s="399">
        <v>0</v>
      </c>
      <c r="BI386" s="399">
        <v>0</v>
      </c>
      <c r="BJ386" s="399">
        <v>0</v>
      </c>
      <c r="BK386" s="399">
        <v>0</v>
      </c>
      <c r="BL386" s="399">
        <v>0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47341.663561059802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310918.2328</v>
      </c>
      <c r="CJ386" s="399">
        <v>-85068.100609999965</v>
      </c>
      <c r="CK386" s="399"/>
      <c r="CL386" s="399"/>
      <c r="CM386" s="399"/>
      <c r="CN386" s="399"/>
      <c r="CO386" s="399">
        <v>-87148.706589999987</v>
      </c>
      <c r="CP386" s="399">
        <v>2080.4113399999947</v>
      </c>
      <c r="CQ386" s="399">
        <v>31</v>
      </c>
      <c r="CR386" s="399">
        <v>2503.0755521924148</v>
      </c>
      <c r="CS386" s="399">
        <v>382.09359108293756</v>
      </c>
      <c r="CT386" s="399">
        <v>2032.6380968351987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0</v>
      </c>
      <c r="DA386" s="399">
        <v>0</v>
      </c>
      <c r="DB386" s="399">
        <v>0</v>
      </c>
      <c r="DC386" s="399">
        <v>2080.2104906793684</v>
      </c>
      <c r="DD386" s="399">
        <v>0</v>
      </c>
      <c r="DE386" s="399">
        <v>0</v>
      </c>
      <c r="DF386" s="399">
        <v>0</v>
      </c>
      <c r="DG386" s="399">
        <v>85.062317710671095</v>
      </c>
      <c r="DH386" s="399">
        <v>0</v>
      </c>
      <c r="DI386" s="399">
        <v>-1788.4912102838716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-267.98880149910883</v>
      </c>
      <c r="DP386" s="399">
        <v>-20.44893233279268</v>
      </c>
      <c r="DQ386" s="399">
        <v>0</v>
      </c>
      <c r="DR386" s="399">
        <v>0</v>
      </c>
      <c r="DS386" s="399"/>
      <c r="DT386" s="399"/>
      <c r="DU386" s="399">
        <v>283252.63160976762</v>
      </c>
      <c r="DV386" s="399">
        <v>0</v>
      </c>
      <c r="DW386" s="399">
        <v>0</v>
      </c>
      <c r="DX386" s="399">
        <v>0</v>
      </c>
      <c r="DY386" s="399">
        <v>-87148.706589999958</v>
      </c>
      <c r="DZ386" s="399">
        <v>2080.4113399999915</v>
      </c>
      <c r="EA386" s="399">
        <v>0</v>
      </c>
      <c r="EB386" s="399">
        <v>0</v>
      </c>
      <c r="EC386" s="399">
        <v>-87581.975677802606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9883.2702461741155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230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385</v>
      </c>
      <c r="B387" s="399" t="s">
        <v>956</v>
      </c>
      <c r="C387" s="399" t="s">
        <v>2336</v>
      </c>
      <c r="D387" s="399" t="s">
        <v>533</v>
      </c>
      <c r="E387" s="399" t="s">
        <v>890</v>
      </c>
      <c r="F387" s="399" t="s">
        <v>1239</v>
      </c>
      <c r="G387" s="399" t="s">
        <v>1239</v>
      </c>
      <c r="H387" s="399" t="s">
        <v>1239</v>
      </c>
      <c r="I387" s="399" t="s">
        <v>2326</v>
      </c>
      <c r="J387" s="399" t="s">
        <v>2329</v>
      </c>
      <c r="K387" s="789">
        <v>44682</v>
      </c>
      <c r="L387" s="399">
        <v>6095</v>
      </c>
      <c r="M387" s="399">
        <v>6095</v>
      </c>
      <c r="N387" s="399">
        <v>3039.1750000000002</v>
      </c>
      <c r="O387" s="399">
        <v>3039.1750000000002</v>
      </c>
      <c r="P387" s="399">
        <v>3039.1750000000002</v>
      </c>
      <c r="Q387" s="399">
        <v>3039.1750000000002</v>
      </c>
      <c r="R387" s="399">
        <v>18.12</v>
      </c>
      <c r="S387" s="399">
        <v>96.28</v>
      </c>
      <c r="T387" s="399">
        <v>128.11000000000001</v>
      </c>
      <c r="U387" s="399">
        <v>110441.40000000001</v>
      </c>
      <c r="V387" s="399">
        <v>681960.47825000016</v>
      </c>
      <c r="W387" s="399">
        <v>792401.87825000007</v>
      </c>
      <c r="X387" s="399">
        <v>770793.02200000011</v>
      </c>
      <c r="Y387" s="399">
        <v>0</v>
      </c>
      <c r="Z387" s="399">
        <v>161860.27240567096</v>
      </c>
      <c r="AA387" s="399">
        <v>0</v>
      </c>
      <c r="AB387" s="399">
        <v>0</v>
      </c>
      <c r="AC387" s="399">
        <v>0</v>
      </c>
      <c r="AD387" s="399">
        <v>0</v>
      </c>
      <c r="AE387" s="399">
        <v>79594.229048130161</v>
      </c>
      <c r="AF387" s="399">
        <v>389351.88951925555</v>
      </c>
      <c r="AG387" s="399">
        <v>0</v>
      </c>
      <c r="AH387" s="399">
        <v>0</v>
      </c>
      <c r="AI387" s="399">
        <v>0</v>
      </c>
      <c r="AJ387" s="399">
        <v>0</v>
      </c>
      <c r="AK387" s="399">
        <v>0</v>
      </c>
      <c r="AL387" s="399">
        <v>28731.905829389925</v>
      </c>
      <c r="AM387" s="399"/>
      <c r="AN387" s="399">
        <v>1494.0604136456163</v>
      </c>
      <c r="AO387" s="399">
        <v>4844.7351609570032</v>
      </c>
      <c r="AP387" s="399">
        <v>25972.751737884711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15921.068697583325</v>
      </c>
      <c r="BH387" s="399">
        <v>0</v>
      </c>
      <c r="BI387" s="399">
        <v>0</v>
      </c>
      <c r="BJ387" s="399">
        <v>0</v>
      </c>
      <c r="BK387" s="399">
        <v>0</v>
      </c>
      <c r="BL387" s="399">
        <v>0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405272.95821683889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770794.14519999991</v>
      </c>
      <c r="CJ387" s="399">
        <v>-21607.763050000183</v>
      </c>
      <c r="CK387" s="399"/>
      <c r="CL387" s="399"/>
      <c r="CM387" s="399"/>
      <c r="CN387" s="399"/>
      <c r="CO387" s="399">
        <v>-39418.421750000009</v>
      </c>
      <c r="CP387" s="399">
        <v>17809.565499999957</v>
      </c>
      <c r="CQ387" s="399">
        <v>31</v>
      </c>
      <c r="CR387" s="399">
        <v>3005.8237450481392</v>
      </c>
      <c r="CS387" s="399">
        <v>353.64536798435711</v>
      </c>
      <c r="CT387" s="399">
        <v>1895.9020546535503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0</v>
      </c>
      <c r="DA387" s="399">
        <v>0</v>
      </c>
      <c r="DB387" s="399">
        <v>0</v>
      </c>
      <c r="DC387" s="399">
        <v>17807.84610967437</v>
      </c>
      <c r="DD387" s="399">
        <v>0</v>
      </c>
      <c r="DE387" s="399">
        <v>0</v>
      </c>
      <c r="DF387" s="399">
        <v>0</v>
      </c>
      <c r="DG387" s="399">
        <v>728.18432091896284</v>
      </c>
      <c r="DH387" s="399">
        <v>0</v>
      </c>
      <c r="DI387" s="399">
        <v>-15310.554573176312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-2294.1444423990069</v>
      </c>
      <c r="DP387" s="399">
        <v>-175.05509260776239</v>
      </c>
      <c r="DQ387" s="399">
        <v>0</v>
      </c>
      <c r="DR387" s="399">
        <v>0</v>
      </c>
      <c r="DS387" s="399"/>
      <c r="DT387" s="399"/>
      <c r="DU387" s="399">
        <v>79594.229048130161</v>
      </c>
      <c r="DV387" s="399">
        <v>0</v>
      </c>
      <c r="DW387" s="399">
        <v>0</v>
      </c>
      <c r="DX387" s="399">
        <v>0</v>
      </c>
      <c r="DY387" s="399">
        <v>-39418.421750000038</v>
      </c>
      <c r="DZ387" s="399">
        <v>17809.565499999968</v>
      </c>
      <c r="EA387" s="399">
        <v>0</v>
      </c>
      <c r="EB387" s="399">
        <v>0</v>
      </c>
      <c r="EC387" s="399">
        <v>-24610.609239425074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84606.705135263808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230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386</v>
      </c>
      <c r="B388" s="399" t="s">
        <v>956</v>
      </c>
      <c r="C388" s="399" t="s">
        <v>2336</v>
      </c>
      <c r="D388" s="399" t="s">
        <v>533</v>
      </c>
      <c r="E388" s="399" t="s">
        <v>890</v>
      </c>
      <c r="F388" s="399" t="s">
        <v>1239</v>
      </c>
      <c r="G388" s="399" t="s">
        <v>1239</v>
      </c>
      <c r="H388" s="399" t="s">
        <v>1239</v>
      </c>
      <c r="I388" s="399" t="s">
        <v>1239</v>
      </c>
      <c r="J388" s="399" t="s">
        <v>2329</v>
      </c>
      <c r="K388" s="789">
        <v>44682</v>
      </c>
      <c r="L388" s="399">
        <v>0</v>
      </c>
      <c r="M388" s="399">
        <v>0</v>
      </c>
      <c r="N388" s="399">
        <v>0</v>
      </c>
      <c r="O388" s="399">
        <v>0</v>
      </c>
      <c r="P388" s="399">
        <v>0</v>
      </c>
      <c r="Q388" s="399">
        <v>0</v>
      </c>
      <c r="R388" s="399"/>
      <c r="S388" s="399"/>
      <c r="T388" s="399"/>
      <c r="U388" s="399"/>
      <c r="V388" s="399"/>
      <c r="W388" s="399"/>
      <c r="X388" s="399"/>
      <c r="Y388" s="399"/>
      <c r="Z388" s="399"/>
      <c r="AA388" s="399">
        <v>0</v>
      </c>
      <c r="AB388" s="399"/>
      <c r="AC388" s="399"/>
      <c r="AD388" s="399"/>
      <c r="AE388" s="399"/>
      <c r="AF388" s="399"/>
      <c r="AG388" s="399"/>
      <c r="AH388" s="399"/>
      <c r="AI388" s="399"/>
      <c r="AJ388" s="399"/>
      <c r="AK388" s="399"/>
      <c r="AL388" s="399"/>
      <c r="AM388" s="399"/>
      <c r="AN388" s="399"/>
      <c r="AO388" s="399"/>
      <c r="AP388" s="399"/>
      <c r="AQ388" s="399"/>
      <c r="AR388" s="399"/>
      <c r="AS388" s="399"/>
      <c r="AT388" s="399"/>
      <c r="AU388" s="399"/>
      <c r="AV388" s="399"/>
      <c r="AW388" s="399"/>
      <c r="AX388" s="399"/>
      <c r="AY388" s="399"/>
      <c r="AZ388" s="399">
        <v>0</v>
      </c>
      <c r="BA388" s="399"/>
      <c r="BB388" s="399"/>
      <c r="BC388" s="399"/>
      <c r="BD388" s="399"/>
      <c r="BE388" s="399"/>
      <c r="BF388" s="399"/>
      <c r="BG388" s="399"/>
      <c r="BH388" s="399"/>
      <c r="BI388" s="399">
        <v>0</v>
      </c>
      <c r="BJ388" s="399">
        <v>0</v>
      </c>
      <c r="BK388" s="399">
        <v>0</v>
      </c>
      <c r="BL388" s="399">
        <v>1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/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/>
      <c r="CJ388" s="399">
        <v>-0.03</v>
      </c>
      <c r="CK388" s="399"/>
      <c r="CL388" s="399"/>
      <c r="CM388" s="399"/>
      <c r="CN388" s="399"/>
      <c r="CO388" s="399">
        <v>0</v>
      </c>
      <c r="CP388" s="399">
        <v>0</v>
      </c>
      <c r="CQ388" s="399">
        <v>31</v>
      </c>
      <c r="CR388" s="399"/>
      <c r="CS388" s="399"/>
      <c r="CT388" s="399"/>
      <c r="CU388" s="399"/>
      <c r="CV388" s="399"/>
      <c r="CW388" s="399"/>
      <c r="CX388" s="399"/>
      <c r="CY388" s="399"/>
      <c r="CZ388" s="399"/>
      <c r="DA388" s="399"/>
      <c r="DB388" s="399"/>
      <c r="DC388" s="399"/>
      <c r="DD388" s="399"/>
      <c r="DE388" s="399"/>
      <c r="DF388" s="399"/>
      <c r="DG388" s="399"/>
      <c r="DH388" s="399"/>
      <c r="DI388" s="399"/>
      <c r="DJ388" s="399"/>
      <c r="DK388" s="399">
        <v>0</v>
      </c>
      <c r="DL388" s="399"/>
      <c r="DM388" s="399"/>
      <c r="DN388" s="399"/>
      <c r="DO388" s="399"/>
      <c r="DP388" s="399"/>
      <c r="DQ388" s="399"/>
      <c r="DR388" s="399"/>
      <c r="DS388" s="399"/>
      <c r="DT388" s="399"/>
      <c r="DU388" s="399"/>
      <c r="DV388" s="399"/>
      <c r="DW388" s="399"/>
      <c r="DX388" s="399"/>
      <c r="DY388" s="399"/>
      <c r="DZ388" s="399"/>
      <c r="EA388" s="399"/>
      <c r="EB388" s="399"/>
      <c r="EC388" s="399"/>
      <c r="ED388" s="399"/>
      <c r="EE388" s="399"/>
      <c r="EF388" s="399"/>
      <c r="EG388" s="399"/>
      <c r="EH388" s="399"/>
      <c r="EI388" s="399"/>
      <c r="EJ388" s="399"/>
      <c r="EK388" s="399"/>
      <c r="EL388" s="399"/>
      <c r="EM388" s="399"/>
      <c r="EN388" s="399"/>
      <c r="EO388" s="399"/>
      <c r="EP388" s="399"/>
      <c r="EQ388" s="399"/>
      <c r="ER388" s="399"/>
      <c r="ES388" s="399"/>
      <c r="ET388" s="399"/>
      <c r="EU388" s="399"/>
      <c r="EV388" s="399">
        <v>230</v>
      </c>
      <c r="EW388" s="399"/>
      <c r="EX388" s="399"/>
      <c r="EY388" s="399"/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387</v>
      </c>
      <c r="B389" s="399" t="s">
        <v>956</v>
      </c>
      <c r="C389" s="399" t="s">
        <v>2337</v>
      </c>
      <c r="D389" s="399" t="s">
        <v>533</v>
      </c>
      <c r="E389" s="399" t="s">
        <v>890</v>
      </c>
      <c r="F389" s="399" t="s">
        <v>1239</v>
      </c>
      <c r="G389" s="399" t="s">
        <v>1239</v>
      </c>
      <c r="H389" s="399" t="s">
        <v>1239</v>
      </c>
      <c r="I389" s="399" t="s">
        <v>893</v>
      </c>
      <c r="J389" s="399" t="s">
        <v>2329</v>
      </c>
      <c r="K389" s="789">
        <v>44682</v>
      </c>
      <c r="L389" s="399">
        <v>0</v>
      </c>
      <c r="M389" s="399">
        <v>0</v>
      </c>
      <c r="N389" s="399">
        <v>887.73900000000003</v>
      </c>
      <c r="O389" s="399">
        <v>887.73900000000003</v>
      </c>
      <c r="P389" s="399">
        <v>887.73900000000003</v>
      </c>
      <c r="Q389" s="399">
        <v>887.73900000000003</v>
      </c>
      <c r="R389" s="399"/>
      <c r="S389" s="399">
        <v>1351.49</v>
      </c>
      <c r="T389" s="399">
        <v>128.11000000000001</v>
      </c>
      <c r="U389" s="399"/>
      <c r="V389" s="399">
        <v>1313498.6244000001</v>
      </c>
      <c r="W389" s="399">
        <v>1313498.6244000001</v>
      </c>
      <c r="X389" s="399">
        <v>1013718.0414900001</v>
      </c>
      <c r="Y389" s="399">
        <v>0</v>
      </c>
      <c r="Z389" s="399">
        <v>47279.171605826559</v>
      </c>
      <c r="AA389" s="399">
        <v>0</v>
      </c>
      <c r="AB389" s="399">
        <v>0</v>
      </c>
      <c r="AC389" s="399">
        <v>0</v>
      </c>
      <c r="AD389" s="399">
        <v>0</v>
      </c>
      <c r="AE389" s="399">
        <v>997769.48272755393</v>
      </c>
      <c r="AF389" s="399">
        <v>113729.17224244552</v>
      </c>
      <c r="AG389" s="399">
        <v>0</v>
      </c>
      <c r="AH389" s="399">
        <v>0</v>
      </c>
      <c r="AI389" s="399">
        <v>0</v>
      </c>
      <c r="AJ389" s="399">
        <v>0</v>
      </c>
      <c r="AK389" s="399">
        <v>0</v>
      </c>
      <c r="AL389" s="399">
        <v>8392.5517119207634</v>
      </c>
      <c r="AM389" s="399"/>
      <c r="AN389" s="399">
        <v>436.41307182026236</v>
      </c>
      <c r="AO389" s="399">
        <v>18440.584221977766</v>
      </c>
      <c r="AP389" s="399">
        <v>98088.126392164151</v>
      </c>
      <c r="AQ389" s="399">
        <v>0</v>
      </c>
      <c r="AR389" s="399">
        <v>0</v>
      </c>
      <c r="AS389" s="399">
        <v>0</v>
      </c>
      <c r="AT389" s="399">
        <v>0</v>
      </c>
      <c r="AU389" s="399">
        <v>0</v>
      </c>
      <c r="AV389" s="399">
        <v>0</v>
      </c>
      <c r="AW389" s="399">
        <v>0</v>
      </c>
      <c r="AX389" s="399">
        <v>0</v>
      </c>
      <c r="AY389" s="399">
        <v>0</v>
      </c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>
        <v>0</v>
      </c>
      <c r="BG389" s="399">
        <v>4650.523120427064</v>
      </c>
      <c r="BH389" s="399">
        <v>0</v>
      </c>
      <c r="BI389" s="399">
        <v>0</v>
      </c>
      <c r="BJ389" s="399">
        <v>0</v>
      </c>
      <c r="BK389" s="399">
        <v>0</v>
      </c>
      <c r="BL389" s="399">
        <v>0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118379.69536287259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1013719.1834000001</v>
      </c>
      <c r="CJ389" s="399">
        <v>-299779.47100000002</v>
      </c>
      <c r="CK389" s="399"/>
      <c r="CL389" s="399"/>
      <c r="CM389" s="399"/>
      <c r="CN389" s="399"/>
      <c r="CO389" s="399">
        <v>-304982.73345</v>
      </c>
      <c r="CP389" s="399">
        <v>5202.1505399999869</v>
      </c>
      <c r="CQ389" s="399">
        <v>31</v>
      </c>
      <c r="CR389" s="399">
        <v>8727.0149498170358</v>
      </c>
      <c r="CS389" s="399">
        <v>1346.0853847250692</v>
      </c>
      <c r="CT389" s="399">
        <v>7160.0222510412423</v>
      </c>
      <c r="CU389" s="399">
        <v>0</v>
      </c>
      <c r="CV389" s="399">
        <v>0</v>
      </c>
      <c r="CW389" s="399">
        <v>0</v>
      </c>
      <c r="CX389" s="399">
        <v>0</v>
      </c>
      <c r="CY389" s="399">
        <v>0</v>
      </c>
      <c r="CZ389" s="399">
        <v>0</v>
      </c>
      <c r="DA389" s="399">
        <v>0</v>
      </c>
      <c r="DB389" s="399">
        <v>0</v>
      </c>
      <c r="DC389" s="399">
        <v>5201.6483083587664</v>
      </c>
      <c r="DD389" s="399">
        <v>0</v>
      </c>
      <c r="DE389" s="399">
        <v>0</v>
      </c>
      <c r="DF389" s="399">
        <v>0</v>
      </c>
      <c r="DG389" s="399">
        <v>212.70167755008515</v>
      </c>
      <c r="DH389" s="399">
        <v>0</v>
      </c>
      <c r="DI389" s="399">
        <v>-4472.1927517293225</v>
      </c>
      <c r="DJ389" s="399"/>
      <c r="DK389" s="399">
        <v>0</v>
      </c>
      <c r="DL389" s="399">
        <v>0</v>
      </c>
      <c r="DM389" s="399">
        <v>0</v>
      </c>
      <c r="DN389" s="399">
        <v>0</v>
      </c>
      <c r="DO389" s="399">
        <v>-670.11655898421668</v>
      </c>
      <c r="DP389" s="399">
        <v>-51.133361144561434</v>
      </c>
      <c r="DQ389" s="399">
        <v>0</v>
      </c>
      <c r="DR389" s="399">
        <v>0</v>
      </c>
      <c r="DS389" s="399"/>
      <c r="DT389" s="399"/>
      <c r="DU389" s="399"/>
      <c r="DV389" s="399">
        <v>997769.48272755393</v>
      </c>
      <c r="DW389" s="399">
        <v>0</v>
      </c>
      <c r="DX389" s="399">
        <v>0</v>
      </c>
      <c r="DY389" s="399">
        <v>-304982.73344999983</v>
      </c>
      <c r="DZ389" s="399">
        <v>5202.1505399999878</v>
      </c>
      <c r="EA389" s="399">
        <v>0</v>
      </c>
      <c r="EB389" s="399">
        <v>0</v>
      </c>
      <c r="EC389" s="399">
        <v>-308511.24690939893</v>
      </c>
      <c r="ED389" s="399">
        <v>0</v>
      </c>
      <c r="EE389" s="399">
        <v>0</v>
      </c>
      <c r="EF389" s="399">
        <v>0</v>
      </c>
      <c r="EG389" s="399">
        <v>0</v>
      </c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>
        <v>0</v>
      </c>
      <c r="EN389" s="399">
        <v>0</v>
      </c>
      <c r="EO389" s="399">
        <v>0</v>
      </c>
      <c r="EP389" s="399">
        <v>24713.506728001499</v>
      </c>
      <c r="EQ389" s="399">
        <v>0</v>
      </c>
      <c r="ER389" s="399">
        <v>0</v>
      </c>
      <c r="ES389" s="399">
        <v>0</v>
      </c>
      <c r="ET389" s="399">
        <v>0</v>
      </c>
      <c r="EU389" s="399">
        <v>0</v>
      </c>
      <c r="EV389" s="399">
        <v>230</v>
      </c>
      <c r="EW389" s="399">
        <v>0</v>
      </c>
      <c r="EX389" s="399">
        <v>0</v>
      </c>
      <c r="EY389" s="399">
        <v>0</v>
      </c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388</v>
      </c>
      <c r="B390" s="399" t="s">
        <v>956</v>
      </c>
      <c r="C390" s="399" t="s">
        <v>2337</v>
      </c>
      <c r="D390" s="399" t="s">
        <v>533</v>
      </c>
      <c r="E390" s="399" t="s">
        <v>890</v>
      </c>
      <c r="F390" s="399" t="s">
        <v>1239</v>
      </c>
      <c r="G390" s="399" t="s">
        <v>1239</v>
      </c>
      <c r="H390" s="399" t="s">
        <v>1239</v>
      </c>
      <c r="I390" s="399" t="s">
        <v>2326</v>
      </c>
      <c r="J390" s="399" t="s">
        <v>2329</v>
      </c>
      <c r="K390" s="789">
        <v>44682</v>
      </c>
      <c r="L390" s="399">
        <v>0</v>
      </c>
      <c r="M390" s="399">
        <v>0</v>
      </c>
      <c r="N390" s="399">
        <v>13825.42</v>
      </c>
      <c r="O390" s="399">
        <v>13825.42</v>
      </c>
      <c r="P390" s="399">
        <v>13825.42</v>
      </c>
      <c r="Q390" s="399">
        <v>13825.42</v>
      </c>
      <c r="R390" s="399"/>
      <c r="S390" s="399">
        <v>96.28</v>
      </c>
      <c r="T390" s="399">
        <v>128.11000000000001</v>
      </c>
      <c r="U390" s="399"/>
      <c r="V390" s="399">
        <v>3102285.9938000003</v>
      </c>
      <c r="W390" s="399">
        <v>3102285.9938000003</v>
      </c>
      <c r="X390" s="399">
        <v>3105742.3487999998</v>
      </c>
      <c r="Y390" s="399">
        <v>0</v>
      </c>
      <c r="Z390" s="399">
        <v>736313.7191253585</v>
      </c>
      <c r="AA390" s="399">
        <v>0</v>
      </c>
      <c r="AB390" s="399">
        <v>0</v>
      </c>
      <c r="AC390" s="399">
        <v>0</v>
      </c>
      <c r="AD390" s="399">
        <v>0</v>
      </c>
      <c r="AE390" s="399">
        <v>0</v>
      </c>
      <c r="AF390" s="399">
        <v>1771189.0234676534</v>
      </c>
      <c r="AG390" s="399">
        <v>0</v>
      </c>
      <c r="AH390" s="399">
        <v>0</v>
      </c>
      <c r="AI390" s="399">
        <v>0</v>
      </c>
      <c r="AJ390" s="399">
        <v>0</v>
      </c>
      <c r="AK390" s="399">
        <v>0</v>
      </c>
      <c r="AL390" s="399">
        <v>130703.45257899399</v>
      </c>
      <c r="AM390" s="399"/>
      <c r="AN390" s="399">
        <v>6796.5854957428828</v>
      </c>
      <c r="AO390" s="399">
        <v>0</v>
      </c>
      <c r="AP390" s="399">
        <v>0</v>
      </c>
      <c r="AQ390" s="399">
        <v>0</v>
      </c>
      <c r="AR390" s="399">
        <v>0</v>
      </c>
      <c r="AS390" s="399">
        <v>0</v>
      </c>
      <c r="AT390" s="399">
        <v>0</v>
      </c>
      <c r="AU390" s="399">
        <v>0</v>
      </c>
      <c r="AV390" s="399">
        <v>0</v>
      </c>
      <c r="AW390" s="399">
        <v>0</v>
      </c>
      <c r="AX390" s="399">
        <v>0</v>
      </c>
      <c r="AY390" s="399">
        <v>0</v>
      </c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>
        <v>0</v>
      </c>
      <c r="BG390" s="399">
        <v>72426.056937472327</v>
      </c>
      <c r="BH390" s="399">
        <v>0</v>
      </c>
      <c r="BI390" s="399">
        <v>0</v>
      </c>
      <c r="BJ390" s="399">
        <v>0</v>
      </c>
      <c r="BK390" s="399">
        <v>0</v>
      </c>
      <c r="BL390" s="399">
        <v>0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1843615.0804051259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3105742.3487999998</v>
      </c>
      <c r="CJ390" s="399">
        <v>3456.3249999997206</v>
      </c>
      <c r="CK390" s="399"/>
      <c r="CL390" s="399"/>
      <c r="CM390" s="399"/>
      <c r="CN390" s="399"/>
      <c r="CO390" s="399">
        <v>-77560.606199999995</v>
      </c>
      <c r="CP390" s="399">
        <v>81016.961199999801</v>
      </c>
      <c r="CQ390" s="399">
        <v>31</v>
      </c>
      <c r="CR390" s="399">
        <v>3440.3539754627272</v>
      </c>
      <c r="CS390" s="399">
        <v>0</v>
      </c>
      <c r="CT390" s="399">
        <v>0</v>
      </c>
      <c r="CU390" s="399">
        <v>0</v>
      </c>
      <c r="CV390" s="399">
        <v>0</v>
      </c>
      <c r="CW390" s="399">
        <v>0</v>
      </c>
      <c r="CX390" s="399">
        <v>0</v>
      </c>
      <c r="CY390" s="399">
        <v>0</v>
      </c>
      <c r="CZ390" s="399">
        <v>0</v>
      </c>
      <c r="DA390" s="399">
        <v>0</v>
      </c>
      <c r="DB390" s="399">
        <v>0</v>
      </c>
      <c r="DC390" s="399">
        <v>81009.139572947985</v>
      </c>
      <c r="DD390" s="399">
        <v>0</v>
      </c>
      <c r="DE390" s="399">
        <v>0</v>
      </c>
      <c r="DF390" s="399">
        <v>0</v>
      </c>
      <c r="DG390" s="399">
        <v>3312.5614925496047</v>
      </c>
      <c r="DH390" s="399">
        <v>0</v>
      </c>
      <c r="DI390" s="399">
        <v>-69648.785412845085</v>
      </c>
      <c r="DJ390" s="399"/>
      <c r="DK390" s="399">
        <v>0</v>
      </c>
      <c r="DL390" s="399">
        <v>0</v>
      </c>
      <c r="DM390" s="399">
        <v>0</v>
      </c>
      <c r="DN390" s="399">
        <v>0</v>
      </c>
      <c r="DO390" s="399">
        <v>-10436.223796534294</v>
      </c>
      <c r="DP390" s="399">
        <v>-796.33788065551016</v>
      </c>
      <c r="DQ390" s="399">
        <v>0</v>
      </c>
      <c r="DR390" s="399">
        <v>0</v>
      </c>
      <c r="DS390" s="399"/>
      <c r="DT390" s="399"/>
      <c r="DU390" s="399"/>
      <c r="DV390" s="399">
        <v>0</v>
      </c>
      <c r="DW390" s="399">
        <v>0</v>
      </c>
      <c r="DX390" s="399">
        <v>0</v>
      </c>
      <c r="DY390" s="399">
        <v>-77560.606200000038</v>
      </c>
      <c r="DZ390" s="399">
        <v>81016.961199999787</v>
      </c>
      <c r="EA390" s="399">
        <v>0</v>
      </c>
      <c r="EB390" s="399">
        <v>0</v>
      </c>
      <c r="EC390" s="399">
        <v>0</v>
      </c>
      <c r="ED390" s="399">
        <v>0</v>
      </c>
      <c r="EE390" s="399">
        <v>0</v>
      </c>
      <c r="EF390" s="399">
        <v>0</v>
      </c>
      <c r="EG390" s="399">
        <v>0</v>
      </c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>
        <v>0</v>
      </c>
      <c r="EN390" s="399">
        <v>0</v>
      </c>
      <c r="EO390" s="399">
        <v>0</v>
      </c>
      <c r="EP390" s="399">
        <v>384881.82921719836</v>
      </c>
      <c r="EQ390" s="399">
        <v>0</v>
      </c>
      <c r="ER390" s="399">
        <v>0</v>
      </c>
      <c r="ES390" s="399">
        <v>0</v>
      </c>
      <c r="ET390" s="399">
        <v>0</v>
      </c>
      <c r="EU390" s="399">
        <v>0</v>
      </c>
      <c r="EV390" s="399">
        <v>230</v>
      </c>
      <c r="EW390" s="399">
        <v>0</v>
      </c>
      <c r="EX390" s="399">
        <v>0</v>
      </c>
      <c r="EY390" s="399">
        <v>0</v>
      </c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389</v>
      </c>
      <c r="B391" s="399" t="s">
        <v>956</v>
      </c>
      <c r="C391" s="399" t="s">
        <v>2337</v>
      </c>
      <c r="D391" s="399" t="s">
        <v>533</v>
      </c>
      <c r="E391" s="399" t="s">
        <v>890</v>
      </c>
      <c r="F391" s="399" t="s">
        <v>1239</v>
      </c>
      <c r="G391" s="399" t="s">
        <v>1239</v>
      </c>
      <c r="H391" s="399" t="s">
        <v>1239</v>
      </c>
      <c r="I391" s="399" t="s">
        <v>1239</v>
      </c>
      <c r="J391" s="399" t="s">
        <v>2329</v>
      </c>
      <c r="K391" s="789">
        <v>44682</v>
      </c>
      <c r="L391" s="399">
        <v>50938</v>
      </c>
      <c r="M391" s="399">
        <v>50938</v>
      </c>
      <c r="N391" s="399">
        <v>0</v>
      </c>
      <c r="O391" s="399">
        <v>0</v>
      </c>
      <c r="P391" s="399">
        <v>0</v>
      </c>
      <c r="Q391" s="399">
        <v>0</v>
      </c>
      <c r="R391" s="399">
        <v>18.12</v>
      </c>
      <c r="S391" s="399"/>
      <c r="T391" s="399"/>
      <c r="U391" s="399">
        <v>922996.56</v>
      </c>
      <c r="V391" s="399"/>
      <c r="W391" s="399">
        <v>922996.56</v>
      </c>
      <c r="X391" s="399">
        <v>736054.1</v>
      </c>
      <c r="Y391" s="399">
        <v>0</v>
      </c>
      <c r="Z391" s="399">
        <v>0</v>
      </c>
      <c r="AA391" s="399">
        <v>0</v>
      </c>
      <c r="AB391" s="399">
        <v>0</v>
      </c>
      <c r="AC391" s="399">
        <v>0</v>
      </c>
      <c r="AD391" s="399">
        <v>0</v>
      </c>
      <c r="AE391" s="399">
        <v>665196.20004161668</v>
      </c>
      <c r="AF391" s="399"/>
      <c r="AG391" s="399"/>
      <c r="AH391" s="399"/>
      <c r="AI391" s="399">
        <v>0</v>
      </c>
      <c r="AJ391" s="399">
        <v>0</v>
      </c>
      <c r="AK391" s="399">
        <v>0</v>
      </c>
      <c r="AL391" s="399">
        <v>0</v>
      </c>
      <c r="AM391" s="399"/>
      <c r="AN391" s="399">
        <v>0</v>
      </c>
      <c r="AO391" s="399">
        <v>40489.109044926634</v>
      </c>
      <c r="AP391" s="399">
        <v>217063.17112787062</v>
      </c>
      <c r="AQ391" s="399">
        <v>0</v>
      </c>
      <c r="AR391" s="399">
        <v>0</v>
      </c>
      <c r="AS391" s="399"/>
      <c r="AT391" s="399"/>
      <c r="AU391" s="399">
        <v>0</v>
      </c>
      <c r="AV391" s="399">
        <v>0</v>
      </c>
      <c r="AW391" s="399">
        <v>0</v>
      </c>
      <c r="AX391" s="399"/>
      <c r="AY391" s="399"/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/>
      <c r="BG391" s="399">
        <v>0</v>
      </c>
      <c r="BH391" s="399">
        <v>0</v>
      </c>
      <c r="BI391" s="399">
        <v>0</v>
      </c>
      <c r="BJ391" s="399">
        <v>0</v>
      </c>
      <c r="BK391" s="399">
        <v>1411452.34</v>
      </c>
      <c r="BL391" s="399">
        <v>96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0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736054.1</v>
      </c>
      <c r="CJ391" s="399">
        <v>-186942.49000000011</v>
      </c>
      <c r="CK391" s="399"/>
      <c r="CL391" s="399"/>
      <c r="CM391" s="399"/>
      <c r="CN391" s="399"/>
      <c r="CO391" s="399">
        <v>-186942.46000000008</v>
      </c>
      <c r="CP391" s="399">
        <v>0</v>
      </c>
      <c r="CQ391" s="399">
        <v>31</v>
      </c>
      <c r="CR391" s="399">
        <v>18800.237344434718</v>
      </c>
      <c r="CS391" s="399">
        <v>2955.5353165524502</v>
      </c>
      <c r="CT391" s="399">
        <v>15844.702027882304</v>
      </c>
      <c r="CU391" s="399">
        <v>0</v>
      </c>
      <c r="CV391" s="399">
        <v>0</v>
      </c>
      <c r="CW391" s="399"/>
      <c r="CX391" s="399"/>
      <c r="CY391" s="399"/>
      <c r="CZ391" s="399">
        <v>0</v>
      </c>
      <c r="DA391" s="399">
        <v>0</v>
      </c>
      <c r="DB391" s="399">
        <v>0</v>
      </c>
      <c r="DC391" s="399"/>
      <c r="DD391" s="399"/>
      <c r="DE391" s="399">
        <v>0</v>
      </c>
      <c r="DF391" s="399">
        <v>0</v>
      </c>
      <c r="DG391" s="399">
        <v>0</v>
      </c>
      <c r="DH391" s="399">
        <v>0</v>
      </c>
      <c r="DI391" s="399">
        <v>0</v>
      </c>
      <c r="DJ391" s="399"/>
      <c r="DK391" s="399">
        <v>0</v>
      </c>
      <c r="DL391" s="399">
        <v>0</v>
      </c>
      <c r="DM391" s="399"/>
      <c r="DN391" s="399">
        <v>0</v>
      </c>
      <c r="DO391" s="399">
        <v>0</v>
      </c>
      <c r="DP391" s="399">
        <v>0</v>
      </c>
      <c r="DQ391" s="399">
        <v>0</v>
      </c>
      <c r="DR391" s="399">
        <v>0</v>
      </c>
      <c r="DS391" s="399"/>
      <c r="DT391" s="399"/>
      <c r="DU391" s="399">
        <v>665196.20004161668</v>
      </c>
      <c r="DV391" s="399"/>
      <c r="DW391" s="399">
        <v>0</v>
      </c>
      <c r="DX391" s="399">
        <v>0</v>
      </c>
      <c r="DY391" s="399">
        <v>-186942.46000000008</v>
      </c>
      <c r="DZ391" s="399"/>
      <c r="EA391" s="399">
        <v>0</v>
      </c>
      <c r="EB391" s="399"/>
      <c r="EC391" s="399">
        <v>-205679.28030153143</v>
      </c>
      <c r="ED391" s="399"/>
      <c r="EE391" s="399">
        <v>0</v>
      </c>
      <c r="EF391" s="399">
        <v>0</v>
      </c>
      <c r="EG391" s="399"/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/>
      <c r="EN391" s="399"/>
      <c r="EO391" s="399">
        <v>0</v>
      </c>
      <c r="EP391" s="399">
        <v>0</v>
      </c>
      <c r="EQ391" s="399"/>
      <c r="ER391" s="399">
        <v>0</v>
      </c>
      <c r="ES391" s="399"/>
      <c r="ET391" s="399">
        <v>0</v>
      </c>
      <c r="EU391" s="399"/>
      <c r="EV391" s="399">
        <v>230</v>
      </c>
      <c r="EW391" s="399"/>
      <c r="EX391" s="399"/>
      <c r="EY391" s="399"/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390</v>
      </c>
      <c r="B392" s="399" t="s">
        <v>956</v>
      </c>
      <c r="C392" s="399" t="s">
        <v>2328</v>
      </c>
      <c r="D392" s="399" t="s">
        <v>1826</v>
      </c>
      <c r="E392" s="399" t="s">
        <v>918</v>
      </c>
      <c r="F392" s="399" t="s">
        <v>1239</v>
      </c>
      <c r="G392" s="399" t="s">
        <v>1239</v>
      </c>
      <c r="H392" s="399" t="s">
        <v>1239</v>
      </c>
      <c r="I392" s="399" t="s">
        <v>1239</v>
      </c>
      <c r="J392" s="399" t="s">
        <v>2329</v>
      </c>
      <c r="K392" s="789">
        <v>44682</v>
      </c>
      <c r="L392" s="399">
        <v>0</v>
      </c>
      <c r="M392" s="399">
        <v>0</v>
      </c>
      <c r="N392" s="399">
        <v>1003.98</v>
      </c>
      <c r="O392" s="399">
        <v>1003.98</v>
      </c>
      <c r="P392" s="399">
        <v>1003.98</v>
      </c>
      <c r="Q392" s="399">
        <v>1003.98</v>
      </c>
      <c r="R392" s="399"/>
      <c r="S392" s="399">
        <v>333.61</v>
      </c>
      <c r="T392" s="399">
        <v>128.11000000000001</v>
      </c>
      <c r="U392" s="399"/>
      <c r="V392" s="399">
        <v>463557.64560000005</v>
      </c>
      <c r="W392" s="399">
        <v>463557.64560000005</v>
      </c>
      <c r="X392" s="399">
        <v>404634.05940000003</v>
      </c>
      <c r="Y392" s="399">
        <v>0</v>
      </c>
      <c r="Z392" s="399">
        <v>61459.690329166362</v>
      </c>
      <c r="AA392" s="399">
        <v>0</v>
      </c>
      <c r="AB392" s="399">
        <v>0</v>
      </c>
      <c r="AC392" s="399">
        <v>0</v>
      </c>
      <c r="AD392" s="399">
        <v>0</v>
      </c>
      <c r="AE392" s="399">
        <v>195270.29313341301</v>
      </c>
      <c r="AF392" s="399">
        <v>128620.92838995522</v>
      </c>
      <c r="AG392" s="399">
        <v>0</v>
      </c>
      <c r="AH392" s="399">
        <v>0</v>
      </c>
      <c r="AI392" s="399">
        <v>0</v>
      </c>
      <c r="AJ392" s="399">
        <v>0</v>
      </c>
      <c r="AK392" s="399">
        <v>0</v>
      </c>
      <c r="AL392" s="399">
        <v>9491.4767377959142</v>
      </c>
      <c r="AM392" s="399"/>
      <c r="AN392" s="399">
        <v>863.81225013128517</v>
      </c>
      <c r="AO392" s="399">
        <v>3489.8547286869484</v>
      </c>
      <c r="AP392" s="399">
        <v>18616.435271387854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13622.372952897827</v>
      </c>
      <c r="BH392" s="399">
        <v>0</v>
      </c>
      <c r="BI392" s="399">
        <v>0</v>
      </c>
      <c r="BJ392" s="399">
        <v>0</v>
      </c>
      <c r="BK392" s="399">
        <v>138132</v>
      </c>
      <c r="BL392" s="399">
        <v>1672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>
        <v>142243.30134285305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404634.05940000003</v>
      </c>
      <c r="CJ392" s="399">
        <v>-58923.616200000048</v>
      </c>
      <c r="CK392" s="399"/>
      <c r="CL392" s="399"/>
      <c r="CM392" s="399"/>
      <c r="CN392" s="399"/>
      <c r="CO392" s="399">
        <v>-64806.909000000014</v>
      </c>
      <c r="CP392" s="399">
        <v>5883.3227999999854</v>
      </c>
      <c r="CQ392" s="399">
        <v>31</v>
      </c>
      <c r="CR392" s="399">
        <v>1446.8525404199027</v>
      </c>
      <c r="CS392" s="399">
        <v>254.74477318894105</v>
      </c>
      <c r="CT392" s="399">
        <v>1358.9217745407113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0</v>
      </c>
      <c r="DA392" s="399">
        <v>0</v>
      </c>
      <c r="DB392" s="399">
        <v>0</v>
      </c>
      <c r="DC392" s="399">
        <v>5882.7548058900575</v>
      </c>
      <c r="DD392" s="399">
        <v>0</v>
      </c>
      <c r="DE392" s="399">
        <v>0</v>
      </c>
      <c r="DF392" s="399">
        <v>0</v>
      </c>
      <c r="DG392" s="399">
        <v>623.04852685645528</v>
      </c>
      <c r="DH392" s="399">
        <v>0</v>
      </c>
      <c r="DI392" s="399">
        <v>-5813.5447868073315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-757.86196493448369</v>
      </c>
      <c r="DP392" s="399">
        <v>-101.21058831448318</v>
      </c>
      <c r="DQ392" s="399">
        <v>0</v>
      </c>
      <c r="DR392" s="399">
        <v>0</v>
      </c>
      <c r="DS392" s="399"/>
      <c r="DT392" s="399"/>
      <c r="DU392" s="399"/>
      <c r="DV392" s="399">
        <v>195270.29313341301</v>
      </c>
      <c r="DW392" s="399">
        <v>0</v>
      </c>
      <c r="DX392" s="399">
        <v>0</v>
      </c>
      <c r="DY392" s="399">
        <v>-64806.909000000043</v>
      </c>
      <c r="DZ392" s="399">
        <v>5883.3227999999945</v>
      </c>
      <c r="EA392" s="399">
        <v>0</v>
      </c>
      <c r="EB392" s="399">
        <v>0</v>
      </c>
      <c r="EC392" s="399">
        <v>-60377.755244898726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32125.868936831397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230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391</v>
      </c>
      <c r="B393" s="399" t="s">
        <v>2330</v>
      </c>
      <c r="C393" s="399" t="s">
        <v>2328</v>
      </c>
      <c r="D393" s="399" t="s">
        <v>1826</v>
      </c>
      <c r="E393" s="399" t="s">
        <v>918</v>
      </c>
      <c r="F393" s="399" t="s">
        <v>1239</v>
      </c>
      <c r="G393" s="399" t="s">
        <v>1239</v>
      </c>
      <c r="H393" s="399" t="s">
        <v>1239</v>
      </c>
      <c r="I393" s="399" t="s">
        <v>1239</v>
      </c>
      <c r="J393" s="399" t="s">
        <v>2329</v>
      </c>
      <c r="K393" s="789">
        <v>44682</v>
      </c>
      <c r="L393" s="399">
        <v>0</v>
      </c>
      <c r="M393" s="399">
        <v>0</v>
      </c>
      <c r="N393" s="399">
        <v>-0.55600000000000005</v>
      </c>
      <c r="O393" s="399">
        <v>-0.55600000000000005</v>
      </c>
      <c r="P393" s="399">
        <v>-0.55600000000000005</v>
      </c>
      <c r="Q393" s="399">
        <v>-0.55600000000000005</v>
      </c>
      <c r="R393" s="399"/>
      <c r="S393" s="399">
        <v>333.61</v>
      </c>
      <c r="T393" s="399">
        <v>128.11000000000001</v>
      </c>
      <c r="U393" s="399"/>
      <c r="V393" s="399">
        <v>-256.71632</v>
      </c>
      <c r="W393" s="399">
        <v>-256.71632</v>
      </c>
      <c r="X393" s="399">
        <v>-224.08468000000002</v>
      </c>
      <c r="Y393" s="399">
        <v>0</v>
      </c>
      <c r="Z393" s="399">
        <v>-34.036124049300284</v>
      </c>
      <c r="AA393" s="399">
        <v>0</v>
      </c>
      <c r="AB393" s="399">
        <v>0</v>
      </c>
      <c r="AC393" s="399">
        <v>0</v>
      </c>
      <c r="AD393" s="399">
        <v>0</v>
      </c>
      <c r="AE393" s="399">
        <v>-108.13988623496249</v>
      </c>
      <c r="AF393" s="399">
        <v>-71.229741812401755</v>
      </c>
      <c r="AG393" s="399">
        <v>0</v>
      </c>
      <c r="AH393" s="399">
        <v>0</v>
      </c>
      <c r="AI393" s="399">
        <v>0</v>
      </c>
      <c r="AJ393" s="399">
        <v>0</v>
      </c>
      <c r="AK393" s="399">
        <v>0</v>
      </c>
      <c r="AL393" s="399">
        <v>-5.2563408297122738</v>
      </c>
      <c r="AM393" s="399"/>
      <c r="AN393" s="399">
        <v>-0.4783756758829803</v>
      </c>
      <c r="AO393" s="399">
        <v>-1.9326672136396577</v>
      </c>
      <c r="AP393" s="399">
        <v>-10.309705383465456</v>
      </c>
      <c r="AQ393" s="399">
        <v>0</v>
      </c>
      <c r="AR393" s="399">
        <v>0</v>
      </c>
      <c r="AS393" s="399">
        <v>0</v>
      </c>
      <c r="AT393" s="399">
        <v>0</v>
      </c>
      <c r="AU393" s="399">
        <v>0</v>
      </c>
      <c r="AV393" s="399">
        <v>0</v>
      </c>
      <c r="AW393" s="399">
        <v>0</v>
      </c>
      <c r="AX393" s="399">
        <v>0</v>
      </c>
      <c r="AY393" s="399">
        <v>0</v>
      </c>
      <c r="AZ393" s="399">
        <v>0</v>
      </c>
      <c r="BA393" s="399"/>
      <c r="BB393" s="399">
        <v>0</v>
      </c>
      <c r="BC393" s="399">
        <v>0</v>
      </c>
      <c r="BD393" s="399">
        <v>0</v>
      </c>
      <c r="BE393" s="399">
        <v>0</v>
      </c>
      <c r="BF393" s="399">
        <v>0</v>
      </c>
      <c r="BG393" s="399">
        <v>-7.5440141853534861</v>
      </c>
      <c r="BH393" s="399">
        <v>0</v>
      </c>
      <c r="BI393" s="399">
        <v>0</v>
      </c>
      <c r="BJ393" s="399">
        <v>0</v>
      </c>
      <c r="BK393" s="399">
        <v>-101</v>
      </c>
      <c r="BL393" s="399">
        <v>0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>
        <v>-78.773755997755245</v>
      </c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>
        <v>-225.69680000000002</v>
      </c>
      <c r="CJ393" s="399">
        <v>30.989519999999999</v>
      </c>
      <c r="CK393" s="399"/>
      <c r="CL393" s="399"/>
      <c r="CM393" s="399"/>
      <c r="CN393" s="399"/>
      <c r="CO393" s="399">
        <v>35.889800000000008</v>
      </c>
      <c r="CP393" s="399">
        <v>-3.2581599999999922</v>
      </c>
      <c r="CQ393" s="399">
        <v>31</v>
      </c>
      <c r="CR393" s="399">
        <v>-0.80126099371838677</v>
      </c>
      <c r="CS393" s="399">
        <v>-0.14107660898927388</v>
      </c>
      <c r="CT393" s="399">
        <v>-0.75256529676351569</v>
      </c>
      <c r="CU393" s="399">
        <v>0</v>
      </c>
      <c r="CV393" s="399">
        <v>0</v>
      </c>
      <c r="CW393" s="399">
        <v>0</v>
      </c>
      <c r="CX393" s="399">
        <v>0</v>
      </c>
      <c r="CY393" s="399">
        <v>0</v>
      </c>
      <c r="CZ393" s="399">
        <v>0</v>
      </c>
      <c r="DA393" s="399">
        <v>0</v>
      </c>
      <c r="DB393" s="399">
        <v>0</v>
      </c>
      <c r="DC393" s="399">
        <v>-3.2578454471950238</v>
      </c>
      <c r="DD393" s="399">
        <v>0</v>
      </c>
      <c r="DE393" s="399">
        <v>0</v>
      </c>
      <c r="DF393" s="399">
        <v>0</v>
      </c>
      <c r="DG393" s="399">
        <v>-0.3450417149068592</v>
      </c>
      <c r="DH393" s="399">
        <v>0</v>
      </c>
      <c r="DI393" s="399">
        <v>3.2195172229176663</v>
      </c>
      <c r="DJ393" s="399"/>
      <c r="DK393" s="399">
        <v>0</v>
      </c>
      <c r="DL393" s="399">
        <v>0</v>
      </c>
      <c r="DM393" s="399">
        <v>0</v>
      </c>
      <c r="DN393" s="399">
        <v>0</v>
      </c>
      <c r="DO393" s="399">
        <v>0.41970084314784373</v>
      </c>
      <c r="DP393" s="399">
        <v>5.6050008070731072E-2</v>
      </c>
      <c r="DQ393" s="399">
        <v>0</v>
      </c>
      <c r="DR393" s="399">
        <v>0</v>
      </c>
      <c r="DS393" s="399"/>
      <c r="DT393" s="399"/>
      <c r="DU393" s="399"/>
      <c r="DV393" s="399">
        <v>-108.13988623496249</v>
      </c>
      <c r="DW393" s="399">
        <v>0</v>
      </c>
      <c r="DX393" s="399">
        <v>0</v>
      </c>
      <c r="DY393" s="399">
        <v>35.889800000000008</v>
      </c>
      <c r="DZ393" s="399">
        <v>-3.2581600000000037</v>
      </c>
      <c r="EA393" s="399">
        <v>0</v>
      </c>
      <c r="EB393" s="399">
        <v>0</v>
      </c>
      <c r="EC393" s="399">
        <v>33.436952843845191</v>
      </c>
      <c r="ED393" s="399">
        <v>0</v>
      </c>
      <c r="EE393" s="399">
        <v>0</v>
      </c>
      <c r="EF393" s="399">
        <v>0</v>
      </c>
      <c r="EG393" s="399">
        <v>0</v>
      </c>
      <c r="EH393" s="399">
        <v>0</v>
      </c>
      <c r="EI393" s="399">
        <v>0</v>
      </c>
      <c r="EJ393" s="399">
        <v>0</v>
      </c>
      <c r="EK393" s="399">
        <v>0</v>
      </c>
      <c r="EL393" s="399">
        <v>0</v>
      </c>
      <c r="EM393" s="399">
        <v>0</v>
      </c>
      <c r="EN393" s="399">
        <v>0</v>
      </c>
      <c r="EO393" s="399">
        <v>0</v>
      </c>
      <c r="EP393" s="399">
        <v>-17.791174255341996</v>
      </c>
      <c r="EQ393" s="399">
        <v>0</v>
      </c>
      <c r="ER393" s="399">
        <v>0</v>
      </c>
      <c r="ES393" s="399">
        <v>0</v>
      </c>
      <c r="ET393" s="399">
        <v>0</v>
      </c>
      <c r="EU393" s="399">
        <v>0</v>
      </c>
      <c r="EV393" s="399">
        <v>230</v>
      </c>
      <c r="EW393" s="399">
        <v>0</v>
      </c>
      <c r="EX393" s="399">
        <v>0</v>
      </c>
      <c r="EY393" s="399">
        <v>0</v>
      </c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392</v>
      </c>
      <c r="B394" s="399" t="s">
        <v>2331</v>
      </c>
      <c r="C394" s="399" t="s">
        <v>2328</v>
      </c>
      <c r="D394" s="399" t="s">
        <v>1826</v>
      </c>
      <c r="E394" s="399" t="s">
        <v>918</v>
      </c>
      <c r="F394" s="399" t="s">
        <v>1239</v>
      </c>
      <c r="G394" s="399" t="s">
        <v>1239</v>
      </c>
      <c r="H394" s="399" t="s">
        <v>1239</v>
      </c>
      <c r="I394" s="399" t="s">
        <v>1239</v>
      </c>
      <c r="J394" s="399" t="s">
        <v>2329</v>
      </c>
      <c r="K394" s="789">
        <v>44682</v>
      </c>
      <c r="L394" s="399">
        <v>0</v>
      </c>
      <c r="M394" s="399">
        <v>0</v>
      </c>
      <c r="N394" s="399">
        <v>2.069</v>
      </c>
      <c r="O394" s="399">
        <v>2.069</v>
      </c>
      <c r="P394" s="399">
        <v>2.069</v>
      </c>
      <c r="Q394" s="399">
        <v>2.069</v>
      </c>
      <c r="R394" s="399"/>
      <c r="S394" s="399">
        <v>333.61</v>
      </c>
      <c r="T394" s="399">
        <v>128.11000000000001</v>
      </c>
      <c r="U394" s="399"/>
      <c r="V394" s="399">
        <v>955.2986800000001</v>
      </c>
      <c r="W394" s="399">
        <v>955.2986800000001</v>
      </c>
      <c r="X394" s="399">
        <v>833.86906999999997</v>
      </c>
      <c r="Y394" s="399">
        <v>0</v>
      </c>
      <c r="Z394" s="399">
        <v>126.65600837770194</v>
      </c>
      <c r="AA394" s="399">
        <v>0</v>
      </c>
      <c r="AB394" s="399">
        <v>0</v>
      </c>
      <c r="AC394" s="399">
        <v>0</v>
      </c>
      <c r="AD394" s="399">
        <v>0</v>
      </c>
      <c r="AE394" s="399">
        <v>402.41263420888015</v>
      </c>
      <c r="AF394" s="399">
        <v>265.06175505370362</v>
      </c>
      <c r="AG394" s="399">
        <v>0</v>
      </c>
      <c r="AH394" s="399">
        <v>0</v>
      </c>
      <c r="AI394" s="399">
        <v>0</v>
      </c>
      <c r="AJ394" s="399">
        <v>0</v>
      </c>
      <c r="AK394" s="399">
        <v>0</v>
      </c>
      <c r="AL394" s="399">
        <v>19.560016504810598</v>
      </c>
      <c r="AM394" s="399"/>
      <c r="AN394" s="399">
        <v>1.7801425780609463</v>
      </c>
      <c r="AO394" s="399">
        <v>7.1918857284540492</v>
      </c>
      <c r="AP394" s="399">
        <v>38.364713018687098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28.072959261684101</v>
      </c>
      <c r="BH394" s="399">
        <v>0</v>
      </c>
      <c r="BI394" s="399">
        <v>0</v>
      </c>
      <c r="BJ394" s="399">
        <v>0</v>
      </c>
      <c r="BK394" s="399">
        <v>1212.75</v>
      </c>
      <c r="BL394" s="399">
        <v>9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293.13471431538773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834.27209999999991</v>
      </c>
      <c r="CJ394" s="399">
        <v>-121.05658000000017</v>
      </c>
      <c r="CK394" s="399"/>
      <c r="CL394" s="399"/>
      <c r="CM394" s="399"/>
      <c r="CN394" s="399"/>
      <c r="CO394" s="399">
        <v>-133.55395000000001</v>
      </c>
      <c r="CP394" s="399">
        <v>12.12433999999997</v>
      </c>
      <c r="CQ394" s="399">
        <v>31</v>
      </c>
      <c r="CR394" s="399">
        <v>2.9816708561211271</v>
      </c>
      <c r="CS394" s="399">
        <v>0.52497752517771179</v>
      </c>
      <c r="CT394" s="399">
        <v>2.8004633075606336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0</v>
      </c>
      <c r="DA394" s="399">
        <v>0</v>
      </c>
      <c r="DB394" s="399">
        <v>0</v>
      </c>
      <c r="DC394" s="399">
        <v>12.123169478860632</v>
      </c>
      <c r="DD394" s="399">
        <v>0</v>
      </c>
      <c r="DE394" s="399">
        <v>0</v>
      </c>
      <c r="DF394" s="399">
        <v>0</v>
      </c>
      <c r="DG394" s="399">
        <v>1.283977172917794</v>
      </c>
      <c r="DH394" s="399">
        <v>0</v>
      </c>
      <c r="DI394" s="399">
        <v>-11.980541608303326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-1.5618004396994394</v>
      </c>
      <c r="DP394" s="399">
        <v>-0.2085745803927026</v>
      </c>
      <c r="DQ394" s="399">
        <v>0</v>
      </c>
      <c r="DR394" s="399">
        <v>0</v>
      </c>
      <c r="DS394" s="399"/>
      <c r="DT394" s="399"/>
      <c r="DU394" s="399"/>
      <c r="DV394" s="399">
        <v>402.41263420888015</v>
      </c>
      <c r="DW394" s="399">
        <v>0</v>
      </c>
      <c r="DX394" s="399">
        <v>0</v>
      </c>
      <c r="DY394" s="399">
        <v>-133.55394999999999</v>
      </c>
      <c r="DZ394" s="399">
        <v>12.124339999999961</v>
      </c>
      <c r="EA394" s="399">
        <v>0</v>
      </c>
      <c r="EB394" s="399">
        <v>0</v>
      </c>
      <c r="EC394" s="399">
        <v>-124.42635869409298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66.204927219968681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230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393</v>
      </c>
      <c r="B395" s="399" t="s">
        <v>956</v>
      </c>
      <c r="C395" s="399" t="s">
        <v>2337</v>
      </c>
      <c r="D395" s="399" t="s">
        <v>533</v>
      </c>
      <c r="E395" s="399" t="s">
        <v>918</v>
      </c>
      <c r="F395" s="399" t="s">
        <v>1239</v>
      </c>
      <c r="G395" s="399" t="s">
        <v>1239</v>
      </c>
      <c r="H395" s="399" t="s">
        <v>1239</v>
      </c>
      <c r="I395" s="399" t="s">
        <v>893</v>
      </c>
      <c r="J395" s="399" t="s">
        <v>2329</v>
      </c>
      <c r="K395" s="789">
        <v>44682</v>
      </c>
      <c r="L395" s="399">
        <v>0</v>
      </c>
      <c r="M395" s="399">
        <v>0</v>
      </c>
      <c r="N395" s="399">
        <v>35.722000000000001</v>
      </c>
      <c r="O395" s="399">
        <v>35.722000000000001</v>
      </c>
      <c r="P395" s="399">
        <v>35.722000000000001</v>
      </c>
      <c r="Q395" s="399">
        <v>35.722000000000001</v>
      </c>
      <c r="R395" s="399"/>
      <c r="S395" s="399">
        <v>1351.49</v>
      </c>
      <c r="T395" s="399">
        <v>128.11000000000001</v>
      </c>
      <c r="U395" s="399"/>
      <c r="V395" s="399">
        <v>52854.271200000003</v>
      </c>
      <c r="W395" s="399">
        <v>52854.271200000003</v>
      </c>
      <c r="X395" s="399">
        <v>40791.309020000001</v>
      </c>
      <c r="Y395" s="399">
        <v>0</v>
      </c>
      <c r="Z395" s="399">
        <v>1902.4809860818737</v>
      </c>
      <c r="AA395" s="399">
        <v>0</v>
      </c>
      <c r="AB395" s="399">
        <v>0</v>
      </c>
      <c r="AC395" s="399">
        <v>0</v>
      </c>
      <c r="AD395" s="399">
        <v>0</v>
      </c>
      <c r="AE395" s="399">
        <v>40149.55010649941</v>
      </c>
      <c r="AF395" s="399">
        <v>4576.3828004003872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337.71044445860042</v>
      </c>
      <c r="AM395" s="399"/>
      <c r="AN395" s="399">
        <v>17.56095851546841</v>
      </c>
      <c r="AO395" s="399">
        <v>742.03628496381225</v>
      </c>
      <c r="AP395" s="399">
        <v>3946.9979926317169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187.13381625443469</v>
      </c>
      <c r="BH395" s="399">
        <v>0</v>
      </c>
      <c r="BI395" s="399">
        <v>0</v>
      </c>
      <c r="BJ395" s="399">
        <v>0</v>
      </c>
      <c r="BK395" s="399">
        <v>0</v>
      </c>
      <c r="BL395" s="399">
        <v>0</v>
      </c>
      <c r="BM395" s="399"/>
      <c r="BN395" s="399"/>
      <c r="BO395" s="399"/>
      <c r="BP395" s="399"/>
      <c r="BQ395" s="399"/>
      <c r="BR395" s="399"/>
      <c r="BS395" s="399"/>
      <c r="BT395" s="399"/>
      <c r="BU395" s="399"/>
      <c r="BV395" s="399">
        <v>4763.5166166548215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40789.025200000004</v>
      </c>
      <c r="CJ395" s="399">
        <v>-12065.276000000005</v>
      </c>
      <c r="CK395" s="399"/>
      <c r="CL395" s="399"/>
      <c r="CM395" s="399"/>
      <c r="CN395" s="399"/>
      <c r="CO395" s="399">
        <v>-12272.293099999999</v>
      </c>
      <c r="CP395" s="399">
        <v>209.33091999999948</v>
      </c>
      <c r="CQ395" s="399">
        <v>31</v>
      </c>
      <c r="CR395" s="399">
        <v>351.16901255590346</v>
      </c>
      <c r="CS395" s="399">
        <v>54.165539773682326</v>
      </c>
      <c r="CT395" s="399">
        <v>288.11431609030979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0</v>
      </c>
      <c r="DA395" s="399">
        <v>0</v>
      </c>
      <c r="DB395" s="399">
        <v>0</v>
      </c>
      <c r="DC395" s="399">
        <v>209.31071054802305</v>
      </c>
      <c r="DD395" s="399">
        <v>0</v>
      </c>
      <c r="DE395" s="399">
        <v>0</v>
      </c>
      <c r="DF395" s="399">
        <v>0</v>
      </c>
      <c r="DG395" s="399">
        <v>8.5589675855675296</v>
      </c>
      <c r="DH395" s="399">
        <v>0</v>
      </c>
      <c r="DI395" s="399">
        <v>-179.95792623425928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-26.965024314617438</v>
      </c>
      <c r="DP395" s="399">
        <v>-2.0575708928029783</v>
      </c>
      <c r="DQ395" s="399">
        <v>0</v>
      </c>
      <c r="DR395" s="399">
        <v>0</v>
      </c>
      <c r="DS395" s="399"/>
      <c r="DT395" s="399"/>
      <c r="DU395" s="399"/>
      <c r="DV395" s="399">
        <v>40149.55010649941</v>
      </c>
      <c r="DW395" s="399">
        <v>0</v>
      </c>
      <c r="DX395" s="399">
        <v>0</v>
      </c>
      <c r="DY395" s="399">
        <v>-12272.293100000003</v>
      </c>
      <c r="DZ395" s="399">
        <v>209.33091999999942</v>
      </c>
      <c r="EA395" s="399">
        <v>0</v>
      </c>
      <c r="EB395" s="399">
        <v>0</v>
      </c>
      <c r="EC395" s="399">
        <v>-12414.278027773416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994.45432423006037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230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394</v>
      </c>
      <c r="B396" s="399" t="s">
        <v>956</v>
      </c>
      <c r="C396" s="399" t="s">
        <v>2337</v>
      </c>
      <c r="D396" s="399" t="s">
        <v>533</v>
      </c>
      <c r="E396" s="399" t="s">
        <v>918</v>
      </c>
      <c r="F396" s="399" t="s">
        <v>1239</v>
      </c>
      <c r="G396" s="399" t="s">
        <v>1239</v>
      </c>
      <c r="H396" s="399" t="s">
        <v>1239</v>
      </c>
      <c r="I396" s="399" t="s">
        <v>2326</v>
      </c>
      <c r="J396" s="399" t="s">
        <v>2329</v>
      </c>
      <c r="K396" s="789">
        <v>44682</v>
      </c>
      <c r="L396" s="399">
        <v>0</v>
      </c>
      <c r="M396" s="399">
        <v>0</v>
      </c>
      <c r="N396" s="399">
        <v>405.09</v>
      </c>
      <c r="O396" s="399">
        <v>405.09</v>
      </c>
      <c r="P396" s="399">
        <v>405.09</v>
      </c>
      <c r="Q396" s="399">
        <v>405.09</v>
      </c>
      <c r="R396" s="399"/>
      <c r="S396" s="399">
        <v>96.28</v>
      </c>
      <c r="T396" s="399">
        <v>128.11000000000001</v>
      </c>
      <c r="U396" s="399"/>
      <c r="V396" s="399">
        <v>90898.145099999994</v>
      </c>
      <c r="W396" s="399">
        <v>90898.145099999994</v>
      </c>
      <c r="X396" s="399">
        <v>90999.417600000001</v>
      </c>
      <c r="Y396" s="399">
        <v>0</v>
      </c>
      <c r="Z396" s="399">
        <v>21574.268592237448</v>
      </c>
      <c r="AA396" s="399">
        <v>0</v>
      </c>
      <c r="AB396" s="399">
        <v>0</v>
      </c>
      <c r="AC396" s="399">
        <v>0</v>
      </c>
      <c r="AD396" s="399">
        <v>0</v>
      </c>
      <c r="AE396" s="399">
        <v>0</v>
      </c>
      <c r="AF396" s="399">
        <v>51896.503796377372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3829.6602638635695</v>
      </c>
      <c r="AM396" s="399"/>
      <c r="AN396" s="399">
        <v>199.14250839905654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2122.1106776358811</v>
      </c>
      <c r="BH396" s="399">
        <v>0</v>
      </c>
      <c r="BI396" s="399">
        <v>0</v>
      </c>
      <c r="BJ396" s="399">
        <v>0</v>
      </c>
      <c r="BK396" s="399">
        <v>0</v>
      </c>
      <c r="BL396" s="399">
        <v>0</v>
      </c>
      <c r="BM396" s="399"/>
      <c r="BN396" s="399"/>
      <c r="BO396" s="399"/>
      <c r="BP396" s="399"/>
      <c r="BQ396" s="399"/>
      <c r="BR396" s="399"/>
      <c r="BS396" s="399"/>
      <c r="BT396" s="399"/>
      <c r="BU396" s="399"/>
      <c r="BV396" s="399">
        <v>54018.614474013251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90999.417600000001</v>
      </c>
      <c r="CJ396" s="399">
        <v>101.24249999999302</v>
      </c>
      <c r="CK396" s="399"/>
      <c r="CL396" s="399"/>
      <c r="CM396" s="399"/>
      <c r="CN396" s="399"/>
      <c r="CO396" s="399">
        <v>-2272.5548999999996</v>
      </c>
      <c r="CP396" s="399">
        <v>2373.8273999999938</v>
      </c>
      <c r="CQ396" s="399">
        <v>31</v>
      </c>
      <c r="CR396" s="399">
        <v>100.80366396973841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0</v>
      </c>
      <c r="DA396" s="399">
        <v>0</v>
      </c>
      <c r="DB396" s="399">
        <v>0</v>
      </c>
      <c r="DC396" s="399">
        <v>2373.5982233889154</v>
      </c>
      <c r="DD396" s="399">
        <v>0</v>
      </c>
      <c r="DE396" s="399">
        <v>0</v>
      </c>
      <c r="DF396" s="399">
        <v>0</v>
      </c>
      <c r="DG396" s="399">
        <v>97.0592962106698</v>
      </c>
      <c r="DH396" s="399">
        <v>0</v>
      </c>
      <c r="DI396" s="399">
        <v>-2040.7355785856344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-305.78527796899289</v>
      </c>
      <c r="DP396" s="399">
        <v>-23.332999075235364</v>
      </c>
      <c r="DQ396" s="399">
        <v>0</v>
      </c>
      <c r="DR396" s="399">
        <v>0</v>
      </c>
      <c r="DS396" s="399"/>
      <c r="DT396" s="399"/>
      <c r="DU396" s="399"/>
      <c r="DV396" s="399">
        <v>0</v>
      </c>
      <c r="DW396" s="399">
        <v>0</v>
      </c>
      <c r="DX396" s="399">
        <v>0</v>
      </c>
      <c r="DY396" s="399">
        <v>-2272.5548999999955</v>
      </c>
      <c r="DZ396" s="399">
        <v>2373.8273999999947</v>
      </c>
      <c r="EA396" s="399">
        <v>0</v>
      </c>
      <c r="EB396" s="399">
        <v>0</v>
      </c>
      <c r="EC396" s="399">
        <v>0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11277.182190312835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230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395</v>
      </c>
      <c r="B397" s="399" t="s">
        <v>956</v>
      </c>
      <c r="C397" s="399" t="s">
        <v>2337</v>
      </c>
      <c r="D397" s="399" t="s">
        <v>533</v>
      </c>
      <c r="E397" s="399" t="s">
        <v>918</v>
      </c>
      <c r="F397" s="399" t="s">
        <v>1239</v>
      </c>
      <c r="G397" s="399" t="s">
        <v>1239</v>
      </c>
      <c r="H397" s="399" t="s">
        <v>1239</v>
      </c>
      <c r="I397" s="399" t="s">
        <v>1239</v>
      </c>
      <c r="J397" s="399" t="s">
        <v>2329</v>
      </c>
      <c r="K397" s="789">
        <v>44682</v>
      </c>
      <c r="L397" s="399">
        <v>1636</v>
      </c>
      <c r="M397" s="399">
        <v>1636</v>
      </c>
      <c r="N397" s="399">
        <v>0</v>
      </c>
      <c r="O397" s="399">
        <v>0</v>
      </c>
      <c r="P397" s="399">
        <v>0</v>
      </c>
      <c r="Q397" s="399">
        <v>0</v>
      </c>
      <c r="R397" s="399">
        <v>18.12</v>
      </c>
      <c r="S397" s="399"/>
      <c r="T397" s="399"/>
      <c r="U397" s="399">
        <v>29644.320000000003</v>
      </c>
      <c r="V397" s="399"/>
      <c r="W397" s="399">
        <v>29644.320000000003</v>
      </c>
      <c r="X397" s="399">
        <v>23640.199999999997</v>
      </c>
      <c r="Y397" s="399">
        <v>0</v>
      </c>
      <c r="Z397" s="399">
        <v>0</v>
      </c>
      <c r="AA397" s="399">
        <v>0</v>
      </c>
      <c r="AB397" s="399">
        <v>0</v>
      </c>
      <c r="AC397" s="399">
        <v>0</v>
      </c>
      <c r="AD397" s="399">
        <v>0</v>
      </c>
      <c r="AE397" s="399">
        <v>21364.423088226569</v>
      </c>
      <c r="AF397" s="399"/>
      <c r="AG397" s="399"/>
      <c r="AH397" s="399"/>
      <c r="AI397" s="399">
        <v>0</v>
      </c>
      <c r="AJ397" s="399">
        <v>0</v>
      </c>
      <c r="AK397" s="399">
        <v>0</v>
      </c>
      <c r="AL397" s="399">
        <v>0</v>
      </c>
      <c r="AM397" s="399"/>
      <c r="AN397" s="399">
        <v>0</v>
      </c>
      <c r="AO397" s="399">
        <v>1300.4079939828807</v>
      </c>
      <c r="AP397" s="399">
        <v>6971.5212211943217</v>
      </c>
      <c r="AQ397" s="399">
        <v>0</v>
      </c>
      <c r="AR397" s="399">
        <v>0</v>
      </c>
      <c r="AS397" s="399"/>
      <c r="AT397" s="399"/>
      <c r="AU397" s="399">
        <v>0</v>
      </c>
      <c r="AV397" s="399">
        <v>0</v>
      </c>
      <c r="AW397" s="399">
        <v>0</v>
      </c>
      <c r="AX397" s="399"/>
      <c r="AY397" s="399"/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/>
      <c r="BG397" s="399">
        <v>0</v>
      </c>
      <c r="BH397" s="399">
        <v>0</v>
      </c>
      <c r="BI397" s="399">
        <v>0</v>
      </c>
      <c r="BJ397" s="399">
        <v>0</v>
      </c>
      <c r="BK397" s="399">
        <v>45894.22</v>
      </c>
      <c r="BL397" s="399">
        <v>17</v>
      </c>
      <c r="BM397" s="399"/>
      <c r="BN397" s="399"/>
      <c r="BO397" s="399"/>
      <c r="BP397" s="399"/>
      <c r="BQ397" s="399"/>
      <c r="BR397" s="399"/>
      <c r="BS397" s="399"/>
      <c r="BT397" s="399"/>
      <c r="BU397" s="399"/>
      <c r="BV397" s="399">
        <v>0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23640.199999999997</v>
      </c>
      <c r="CJ397" s="399">
        <v>-6004.1500000000015</v>
      </c>
      <c r="CK397" s="399"/>
      <c r="CL397" s="399"/>
      <c r="CM397" s="399"/>
      <c r="CN397" s="399"/>
      <c r="CO397" s="399">
        <v>-6004.1200000000026</v>
      </c>
      <c r="CP397" s="399">
        <v>0</v>
      </c>
      <c r="CQ397" s="399">
        <v>31</v>
      </c>
      <c r="CR397" s="399">
        <v>603.81617447672033</v>
      </c>
      <c r="CS397" s="399">
        <v>94.924335032388399</v>
      </c>
      <c r="CT397" s="399">
        <v>508.89183944433262</v>
      </c>
      <c r="CU397" s="399">
        <v>0</v>
      </c>
      <c r="CV397" s="399">
        <v>0</v>
      </c>
      <c r="CW397" s="399"/>
      <c r="CX397" s="399"/>
      <c r="CY397" s="399"/>
      <c r="CZ397" s="399">
        <v>0</v>
      </c>
      <c r="DA397" s="399">
        <v>0</v>
      </c>
      <c r="DB397" s="399">
        <v>0</v>
      </c>
      <c r="DC397" s="399"/>
      <c r="DD397" s="399"/>
      <c r="DE397" s="399">
        <v>0</v>
      </c>
      <c r="DF397" s="399">
        <v>0</v>
      </c>
      <c r="DG397" s="399">
        <v>0</v>
      </c>
      <c r="DH397" s="399">
        <v>0</v>
      </c>
      <c r="DI397" s="399">
        <v>0</v>
      </c>
      <c r="DJ397" s="399"/>
      <c r="DK397" s="399">
        <v>0</v>
      </c>
      <c r="DL397" s="399">
        <v>0</v>
      </c>
      <c r="DM397" s="399"/>
      <c r="DN397" s="399">
        <v>0</v>
      </c>
      <c r="DO397" s="399">
        <v>0</v>
      </c>
      <c r="DP397" s="399">
        <v>0</v>
      </c>
      <c r="DQ397" s="399">
        <v>0</v>
      </c>
      <c r="DR397" s="399">
        <v>0</v>
      </c>
      <c r="DS397" s="399"/>
      <c r="DT397" s="399"/>
      <c r="DU397" s="399">
        <v>21364.423088226569</v>
      </c>
      <c r="DV397" s="399"/>
      <c r="DW397" s="399">
        <v>0</v>
      </c>
      <c r="DX397" s="399">
        <v>0</v>
      </c>
      <c r="DY397" s="399">
        <v>-6004.1200000000063</v>
      </c>
      <c r="DZ397" s="399"/>
      <c r="EA397" s="399">
        <v>0</v>
      </c>
      <c r="EB397" s="399"/>
      <c r="EC397" s="399">
        <v>-6605.8993791139328</v>
      </c>
      <c r="ED397" s="399"/>
      <c r="EE397" s="399">
        <v>0</v>
      </c>
      <c r="EF397" s="399">
        <v>0</v>
      </c>
      <c r="EG397" s="399"/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/>
      <c r="EN397" s="399"/>
      <c r="EO397" s="399">
        <v>0</v>
      </c>
      <c r="EP397" s="399">
        <v>0</v>
      </c>
      <c r="EQ397" s="399"/>
      <c r="ER397" s="399">
        <v>0</v>
      </c>
      <c r="ES397" s="399"/>
      <c r="ET397" s="399">
        <v>0</v>
      </c>
      <c r="EU397" s="399"/>
      <c r="EV397" s="399">
        <v>230</v>
      </c>
      <c r="EW397" s="399"/>
      <c r="EX397" s="399"/>
      <c r="EY397" s="399"/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396</v>
      </c>
      <c r="B398" s="399" t="s">
        <v>956</v>
      </c>
      <c r="C398" s="399" t="s">
        <v>2328</v>
      </c>
      <c r="D398" s="399" t="s">
        <v>2340</v>
      </c>
      <c r="E398" s="399" t="s">
        <v>894</v>
      </c>
      <c r="F398" s="399" t="s">
        <v>1239</v>
      </c>
      <c r="G398" s="399" t="s">
        <v>1239</v>
      </c>
      <c r="H398" s="399" t="s">
        <v>1239</v>
      </c>
      <c r="I398" s="399" t="s">
        <v>1239</v>
      </c>
      <c r="J398" s="399" t="s">
        <v>2329</v>
      </c>
      <c r="K398" s="789">
        <v>44682</v>
      </c>
      <c r="L398" s="399">
        <v>0</v>
      </c>
      <c r="M398" s="399">
        <v>0</v>
      </c>
      <c r="N398" s="399">
        <v>951.43399999999997</v>
      </c>
      <c r="O398" s="399">
        <v>951.43399999999997</v>
      </c>
      <c r="P398" s="399">
        <v>951.43399999999997</v>
      </c>
      <c r="Q398" s="399">
        <v>951.43399999999997</v>
      </c>
      <c r="R398" s="399"/>
      <c r="S398" s="399">
        <v>333.61</v>
      </c>
      <c r="T398" s="399">
        <v>128.11000000000001</v>
      </c>
      <c r="U398" s="399"/>
      <c r="V398" s="399">
        <v>439296.10648000002</v>
      </c>
      <c r="W398" s="399">
        <v>439296.10648000002</v>
      </c>
      <c r="X398" s="399">
        <v>383456.44501999998</v>
      </c>
      <c r="Y398" s="399">
        <v>0</v>
      </c>
      <c r="Z398" s="399">
        <v>58243.031742305691</v>
      </c>
      <c r="AA398" s="399">
        <v>0</v>
      </c>
      <c r="AB398" s="399">
        <v>0</v>
      </c>
      <c r="AC398" s="399">
        <v>0</v>
      </c>
      <c r="AD398" s="399">
        <v>0</v>
      </c>
      <c r="AE398" s="399">
        <v>185050.295899416</v>
      </c>
      <c r="AF398" s="399">
        <v>121889.20534449755</v>
      </c>
      <c r="AG398" s="399">
        <v>0</v>
      </c>
      <c r="AH398" s="399">
        <v>0</v>
      </c>
      <c r="AI398" s="399">
        <v>0</v>
      </c>
      <c r="AJ398" s="399">
        <v>0</v>
      </c>
      <c r="AK398" s="399">
        <v>0</v>
      </c>
      <c r="AL398" s="399">
        <v>8994.7147139864519</v>
      </c>
      <c r="AM398" s="399"/>
      <c r="AN398" s="399">
        <v>818.60230720871846</v>
      </c>
      <c r="AO398" s="399">
        <v>3307.2037729173271</v>
      </c>
      <c r="AP398" s="399">
        <v>17642.093942108044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12909.409338898575</v>
      </c>
      <c r="BH398" s="399">
        <v>0</v>
      </c>
      <c r="BI398" s="399">
        <v>0</v>
      </c>
      <c r="BJ398" s="399">
        <v>0</v>
      </c>
      <c r="BK398" s="399">
        <v>70805.39</v>
      </c>
      <c r="BL398" s="399">
        <v>2318</v>
      </c>
      <c r="BM398" s="399"/>
      <c r="BN398" s="399"/>
      <c r="BO398" s="399"/>
      <c r="BP398" s="399"/>
      <c r="BQ398" s="399"/>
      <c r="BR398" s="399">
        <v>46020.862579999986</v>
      </c>
      <c r="BS398" s="399"/>
      <c r="BT398" s="399"/>
      <c r="BU398" s="399"/>
      <c r="BV398" s="399">
        <v>134798.61468339612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337434.16379999998</v>
      </c>
      <c r="CJ398" s="399">
        <v>-49152.529080000008</v>
      </c>
      <c r="CK398" s="399"/>
      <c r="CL398" s="399"/>
      <c r="CM398" s="399"/>
      <c r="CN398" s="399"/>
      <c r="CO398" s="399">
        <v>-61415.06470000001</v>
      </c>
      <c r="CP398" s="399">
        <v>5575.403239999986</v>
      </c>
      <c r="CQ398" s="399">
        <v>31</v>
      </c>
      <c r="CR398" s="399">
        <v>1371.1276120458497</v>
      </c>
      <c r="CS398" s="399">
        <v>241.4120186998216</v>
      </c>
      <c r="CT398" s="399">
        <v>1287.7989398577301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0</v>
      </c>
      <c r="DA398" s="399">
        <v>0</v>
      </c>
      <c r="DB398" s="399">
        <v>0</v>
      </c>
      <c r="DC398" s="399">
        <v>5574.8649733930943</v>
      </c>
      <c r="DD398" s="399">
        <v>0</v>
      </c>
      <c r="DE398" s="399">
        <v>0</v>
      </c>
      <c r="DF398" s="399">
        <v>0</v>
      </c>
      <c r="DG398" s="399">
        <v>590.43960248326039</v>
      </c>
      <c r="DH398" s="399">
        <v>0</v>
      </c>
      <c r="DI398" s="399">
        <v>-5509.2772472472061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-718.19721582648526</v>
      </c>
      <c r="DP398" s="399">
        <v>-95.913459314330908</v>
      </c>
      <c r="DQ398" s="399">
        <v>0</v>
      </c>
      <c r="DR398" s="399">
        <v>0</v>
      </c>
      <c r="DS398" s="399"/>
      <c r="DT398" s="399"/>
      <c r="DU398" s="399"/>
      <c r="DV398" s="399">
        <v>185050.295899416</v>
      </c>
      <c r="DW398" s="399">
        <v>0</v>
      </c>
      <c r="DX398" s="399">
        <v>0</v>
      </c>
      <c r="DY398" s="399">
        <v>-61415.064700000017</v>
      </c>
      <c r="DZ398" s="399">
        <v>5575.4032399999851</v>
      </c>
      <c r="EA398" s="399">
        <v>0</v>
      </c>
      <c r="EB398" s="399">
        <v>0</v>
      </c>
      <c r="EC398" s="399">
        <v>-57217.722647537783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30444.474975642184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230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397</v>
      </c>
      <c r="B399" s="399" t="s">
        <v>2331</v>
      </c>
      <c r="C399" s="399" t="s">
        <v>2328</v>
      </c>
      <c r="D399" s="399" t="s">
        <v>2340</v>
      </c>
      <c r="E399" s="399" t="s">
        <v>894</v>
      </c>
      <c r="F399" s="399" t="s">
        <v>1239</v>
      </c>
      <c r="G399" s="399" t="s">
        <v>1239</v>
      </c>
      <c r="H399" s="399" t="s">
        <v>1239</v>
      </c>
      <c r="I399" s="399" t="s">
        <v>1239</v>
      </c>
      <c r="J399" s="399" t="s">
        <v>2329</v>
      </c>
      <c r="K399" s="789">
        <v>44682</v>
      </c>
      <c r="L399" s="399">
        <v>0</v>
      </c>
      <c r="M399" s="399">
        <v>0</v>
      </c>
      <c r="N399" s="399">
        <v>45.685000000000002</v>
      </c>
      <c r="O399" s="399">
        <v>45.685000000000002</v>
      </c>
      <c r="P399" s="399">
        <v>45.685000000000002</v>
      </c>
      <c r="Q399" s="399">
        <v>45.685000000000002</v>
      </c>
      <c r="R399" s="399"/>
      <c r="S399" s="399">
        <v>333.61</v>
      </c>
      <c r="T399" s="399">
        <v>128.11000000000001</v>
      </c>
      <c r="U399" s="399"/>
      <c r="V399" s="399">
        <v>21093.678200000002</v>
      </c>
      <c r="W399" s="399">
        <v>21093.678200000002</v>
      </c>
      <c r="X399" s="399">
        <v>18412.42555</v>
      </c>
      <c r="Y399" s="399">
        <v>0</v>
      </c>
      <c r="Z399" s="399">
        <v>2796.6552647343228</v>
      </c>
      <c r="AA399" s="399">
        <v>0</v>
      </c>
      <c r="AB399" s="399">
        <v>0</v>
      </c>
      <c r="AC399" s="399">
        <v>0</v>
      </c>
      <c r="AD399" s="399">
        <v>0</v>
      </c>
      <c r="AE399" s="399">
        <v>8885.5588177055051</v>
      </c>
      <c r="AF399" s="399">
        <v>5852.7531559344852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431.89915612482952</v>
      </c>
      <c r="AM399" s="399"/>
      <c r="AN399" s="399">
        <v>39.306821497686968</v>
      </c>
      <c r="AO399" s="399">
        <v>158.80198139411468</v>
      </c>
      <c r="AP399" s="399">
        <v>847.12030655327226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619.87102168682372</v>
      </c>
      <c r="BH399" s="399">
        <v>0</v>
      </c>
      <c r="BI399" s="399">
        <v>0</v>
      </c>
      <c r="BJ399" s="399">
        <v>0</v>
      </c>
      <c r="BK399" s="399">
        <v>9212.36</v>
      </c>
      <c r="BL399" s="399">
        <v>37</v>
      </c>
      <c r="BM399" s="399"/>
      <c r="BN399" s="399"/>
      <c r="BO399" s="399"/>
      <c r="BP399" s="399"/>
      <c r="BQ399" s="399"/>
      <c r="BR399" s="399">
        <v>2209.7834499999994</v>
      </c>
      <c r="BS399" s="399"/>
      <c r="BT399" s="399"/>
      <c r="BU399" s="399"/>
      <c r="BV399" s="399">
        <v>6472.6241776213092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16204.4154</v>
      </c>
      <c r="CJ399" s="399">
        <v>-2358.3438000000006</v>
      </c>
      <c r="CK399" s="399"/>
      <c r="CL399" s="399"/>
      <c r="CM399" s="399"/>
      <c r="CN399" s="399"/>
      <c r="CO399" s="399">
        <v>-2948.9667500000005</v>
      </c>
      <c r="CP399" s="399">
        <v>267.71409999999935</v>
      </c>
      <c r="CQ399" s="399">
        <v>31</v>
      </c>
      <c r="CR399" s="399">
        <v>65.837425356159656</v>
      </c>
      <c r="CS399" s="399">
        <v>11.591879283588071</v>
      </c>
      <c r="CT399" s="399">
        <v>61.836233062304245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0</v>
      </c>
      <c r="DA399" s="399">
        <v>0</v>
      </c>
      <c r="DB399" s="399">
        <v>0</v>
      </c>
      <c r="DC399" s="399">
        <v>267.68825405594453</v>
      </c>
      <c r="DD399" s="399">
        <v>0</v>
      </c>
      <c r="DE399" s="399">
        <v>0</v>
      </c>
      <c r="DF399" s="399">
        <v>0</v>
      </c>
      <c r="DG399" s="399">
        <v>28.351134434388314</v>
      </c>
      <c r="DH399" s="399">
        <v>0</v>
      </c>
      <c r="DI399" s="399">
        <v>-264.53892864926911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-34.48567089785837</v>
      </c>
      <c r="DP399" s="399">
        <v>-4.605475932934084</v>
      </c>
      <c r="DQ399" s="399">
        <v>0</v>
      </c>
      <c r="DR399" s="399">
        <v>0</v>
      </c>
      <c r="DS399" s="399"/>
      <c r="DT399" s="399"/>
      <c r="DU399" s="399"/>
      <c r="DV399" s="399">
        <v>8885.5588177055051</v>
      </c>
      <c r="DW399" s="399">
        <v>0</v>
      </c>
      <c r="DX399" s="399">
        <v>0</v>
      </c>
      <c r="DY399" s="399">
        <v>-2948.9667500000014</v>
      </c>
      <c r="DZ399" s="399">
        <v>267.71409999999923</v>
      </c>
      <c r="EA399" s="399">
        <v>0</v>
      </c>
      <c r="EB399" s="399">
        <v>0</v>
      </c>
      <c r="EC399" s="399">
        <v>-2747.4230048040781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1461.8521508188833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230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398</v>
      </c>
      <c r="B400" s="399" t="s">
        <v>956</v>
      </c>
      <c r="C400" s="399" t="s">
        <v>2328</v>
      </c>
      <c r="D400" s="399" t="s">
        <v>1826</v>
      </c>
      <c r="E400" s="399" t="s">
        <v>2341</v>
      </c>
      <c r="F400" s="399" t="s">
        <v>1239</v>
      </c>
      <c r="G400" s="399" t="s">
        <v>1239</v>
      </c>
      <c r="H400" s="399" t="s">
        <v>1239</v>
      </c>
      <c r="I400" s="399" t="s">
        <v>1239</v>
      </c>
      <c r="J400" s="399" t="s">
        <v>2329</v>
      </c>
      <c r="K400" s="789">
        <v>44682</v>
      </c>
      <c r="L400" s="399">
        <v>0</v>
      </c>
      <c r="M400" s="399">
        <v>0</v>
      </c>
      <c r="N400" s="399">
        <v>152.38800000000001</v>
      </c>
      <c r="O400" s="399">
        <v>152.38800000000001</v>
      </c>
      <c r="P400" s="399">
        <v>152.38800000000001</v>
      </c>
      <c r="Q400" s="399">
        <v>152.38800000000001</v>
      </c>
      <c r="R400" s="399"/>
      <c r="S400" s="399">
        <v>333.61</v>
      </c>
      <c r="T400" s="399">
        <v>128.11000000000001</v>
      </c>
      <c r="U400" s="399"/>
      <c r="V400" s="399">
        <v>70360.587360000005</v>
      </c>
      <c r="W400" s="399">
        <v>70360.587360000005</v>
      </c>
      <c r="X400" s="399">
        <v>61416.935639999996</v>
      </c>
      <c r="Y400" s="399">
        <v>0</v>
      </c>
      <c r="Z400" s="399">
        <v>9328.5914957280056</v>
      </c>
      <c r="AA400" s="399">
        <v>0</v>
      </c>
      <c r="AB400" s="399">
        <v>0</v>
      </c>
      <c r="AC400" s="399">
        <v>0</v>
      </c>
      <c r="AD400" s="399">
        <v>0</v>
      </c>
      <c r="AE400" s="399">
        <v>29638.886661103352</v>
      </c>
      <c r="AF400" s="399">
        <v>19522.586142640786</v>
      </c>
      <c r="AG400" s="399">
        <v>0</v>
      </c>
      <c r="AH400" s="399">
        <v>0</v>
      </c>
      <c r="AI400" s="399">
        <v>0</v>
      </c>
      <c r="AJ400" s="399">
        <v>0</v>
      </c>
      <c r="AK400" s="399">
        <v>0</v>
      </c>
      <c r="AL400" s="399">
        <v>1440.6533567593417</v>
      </c>
      <c r="AM400" s="399"/>
      <c r="AN400" s="399">
        <v>131.11279225981224</v>
      </c>
      <c r="AO400" s="399">
        <v>529.70376142467649</v>
      </c>
      <c r="AP400" s="399">
        <v>2825.6751510351328</v>
      </c>
      <c r="AQ400" s="399">
        <v>0</v>
      </c>
      <c r="AR400" s="399">
        <v>0</v>
      </c>
      <c r="AS400" s="399">
        <v>0</v>
      </c>
      <c r="AT400" s="399">
        <v>0</v>
      </c>
      <c r="AU400" s="399">
        <v>0</v>
      </c>
      <c r="AV400" s="399">
        <v>0</v>
      </c>
      <c r="AW400" s="399">
        <v>0</v>
      </c>
      <c r="AX400" s="399">
        <v>0</v>
      </c>
      <c r="AY400" s="399">
        <v>0</v>
      </c>
      <c r="AZ400" s="399">
        <v>0</v>
      </c>
      <c r="BA400" s="399"/>
      <c r="BB400" s="399">
        <v>0</v>
      </c>
      <c r="BC400" s="399">
        <v>0</v>
      </c>
      <c r="BD400" s="399">
        <v>0</v>
      </c>
      <c r="BE400" s="399">
        <v>0</v>
      </c>
      <c r="BF400" s="399">
        <v>0</v>
      </c>
      <c r="BG400" s="399">
        <v>2067.6568951036816</v>
      </c>
      <c r="BH400" s="399">
        <v>0</v>
      </c>
      <c r="BI400" s="399">
        <v>0</v>
      </c>
      <c r="BJ400" s="399">
        <v>0</v>
      </c>
      <c r="BK400" s="399">
        <v>17726.55</v>
      </c>
      <c r="BL400" s="399">
        <v>218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>
        <v>21590.243037744469</v>
      </c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>
        <v>61417.741699999999</v>
      </c>
      <c r="CJ400" s="399">
        <v>-8942.8756600000052</v>
      </c>
      <c r="CK400" s="399"/>
      <c r="CL400" s="399"/>
      <c r="CM400" s="399"/>
      <c r="CN400" s="399"/>
      <c r="CO400" s="399">
        <v>-9836.6454000000012</v>
      </c>
      <c r="CP400" s="399">
        <v>892.99367999999777</v>
      </c>
      <c r="CQ400" s="399">
        <v>31</v>
      </c>
      <c r="CR400" s="399">
        <v>219.60892142224475</v>
      </c>
      <c r="CS400" s="399">
        <v>38.666155199024274</v>
      </c>
      <c r="CT400" s="399">
        <v>206.26244684028507</v>
      </c>
      <c r="CU400" s="399">
        <v>0</v>
      </c>
      <c r="CV400" s="399">
        <v>0</v>
      </c>
      <c r="CW400" s="399">
        <v>0</v>
      </c>
      <c r="CX400" s="399">
        <v>0</v>
      </c>
      <c r="CY400" s="399">
        <v>0</v>
      </c>
      <c r="CZ400" s="399">
        <v>0</v>
      </c>
      <c r="DA400" s="399">
        <v>0</v>
      </c>
      <c r="DB400" s="399">
        <v>0</v>
      </c>
      <c r="DC400" s="399">
        <v>892.90746763877178</v>
      </c>
      <c r="DD400" s="399">
        <v>0</v>
      </c>
      <c r="DE400" s="399">
        <v>0</v>
      </c>
      <c r="DF400" s="399">
        <v>0</v>
      </c>
      <c r="DG400" s="399">
        <v>94.568735343932531</v>
      </c>
      <c r="DH400" s="399">
        <v>0</v>
      </c>
      <c r="DI400" s="399">
        <v>-882.40250101794481</v>
      </c>
      <c r="DJ400" s="399"/>
      <c r="DK400" s="399">
        <v>0</v>
      </c>
      <c r="DL400" s="399">
        <v>0</v>
      </c>
      <c r="DM400" s="399">
        <v>0</v>
      </c>
      <c r="DN400" s="399">
        <v>0</v>
      </c>
      <c r="DO400" s="399">
        <v>-115.03124475829804</v>
      </c>
      <c r="DP400" s="399">
        <v>-15.362137823529807</v>
      </c>
      <c r="DQ400" s="399">
        <v>0</v>
      </c>
      <c r="DR400" s="399">
        <v>0</v>
      </c>
      <c r="DS400" s="399"/>
      <c r="DT400" s="399"/>
      <c r="DU400" s="399"/>
      <c r="DV400" s="399">
        <v>29638.886661103352</v>
      </c>
      <c r="DW400" s="399">
        <v>0</v>
      </c>
      <c r="DX400" s="399">
        <v>0</v>
      </c>
      <c r="DY400" s="399">
        <v>-9836.6454000000012</v>
      </c>
      <c r="DZ400" s="399">
        <v>892.99367999999595</v>
      </c>
      <c r="EA400" s="399">
        <v>0</v>
      </c>
      <c r="EB400" s="399">
        <v>0</v>
      </c>
      <c r="EC400" s="399">
        <v>-9164.3711690069795</v>
      </c>
      <c r="ED400" s="399">
        <v>0</v>
      </c>
      <c r="EE400" s="399">
        <v>0</v>
      </c>
      <c r="EF400" s="399">
        <v>0</v>
      </c>
      <c r="EG400" s="399">
        <v>0</v>
      </c>
      <c r="EH400" s="399">
        <v>0</v>
      </c>
      <c r="EI400" s="399">
        <v>0</v>
      </c>
      <c r="EJ400" s="399">
        <v>0</v>
      </c>
      <c r="EK400" s="399">
        <v>0</v>
      </c>
      <c r="EL400" s="399">
        <v>0</v>
      </c>
      <c r="EM400" s="399">
        <v>0</v>
      </c>
      <c r="EN400" s="399">
        <v>0</v>
      </c>
      <c r="EO400" s="399">
        <v>0</v>
      </c>
      <c r="EP400" s="399">
        <v>4876.1896806170071</v>
      </c>
      <c r="EQ400" s="399">
        <v>0</v>
      </c>
      <c r="ER400" s="399">
        <v>0</v>
      </c>
      <c r="ES400" s="399">
        <v>0</v>
      </c>
      <c r="ET400" s="399">
        <v>0</v>
      </c>
      <c r="EU400" s="399">
        <v>0</v>
      </c>
      <c r="EV400" s="399">
        <v>230</v>
      </c>
      <c r="EW400" s="399">
        <v>0</v>
      </c>
      <c r="EX400" s="399">
        <v>0</v>
      </c>
      <c r="EY400" s="399">
        <v>0</v>
      </c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399</v>
      </c>
      <c r="B401" s="399" t="s">
        <v>2331</v>
      </c>
      <c r="C401" s="399" t="s">
        <v>2328</v>
      </c>
      <c r="D401" s="399" t="s">
        <v>1826</v>
      </c>
      <c r="E401" s="399" t="s">
        <v>2341</v>
      </c>
      <c r="F401" s="399" t="s">
        <v>1239</v>
      </c>
      <c r="G401" s="399" t="s">
        <v>1239</v>
      </c>
      <c r="H401" s="399" t="s">
        <v>1239</v>
      </c>
      <c r="I401" s="399" t="s">
        <v>1239</v>
      </c>
      <c r="J401" s="399" t="s">
        <v>2329</v>
      </c>
      <c r="K401" s="789">
        <v>44682</v>
      </c>
      <c r="L401" s="399">
        <v>0</v>
      </c>
      <c r="M401" s="399">
        <v>0</v>
      </c>
      <c r="N401" s="399">
        <v>0.2</v>
      </c>
      <c r="O401" s="399">
        <v>0.2</v>
      </c>
      <c r="P401" s="399">
        <v>0.2</v>
      </c>
      <c r="Q401" s="399">
        <v>0.2</v>
      </c>
      <c r="R401" s="399"/>
      <c r="S401" s="399">
        <v>333.61</v>
      </c>
      <c r="T401" s="399">
        <v>128.11000000000001</v>
      </c>
      <c r="U401" s="399"/>
      <c r="V401" s="399">
        <v>92.344000000000008</v>
      </c>
      <c r="W401" s="399">
        <v>92.344000000000008</v>
      </c>
      <c r="X401" s="399">
        <v>80.606000000000009</v>
      </c>
      <c r="Y401" s="399">
        <v>0</v>
      </c>
      <c r="Z401" s="399">
        <v>12.24321008967636</v>
      </c>
      <c r="AA401" s="399">
        <v>0</v>
      </c>
      <c r="AB401" s="399">
        <v>0</v>
      </c>
      <c r="AC401" s="399">
        <v>0</v>
      </c>
      <c r="AD401" s="399">
        <v>0</v>
      </c>
      <c r="AE401" s="399">
        <v>38.899239652864203</v>
      </c>
      <c r="AF401" s="399">
        <v>25.6222092850366</v>
      </c>
      <c r="AG401" s="399">
        <v>0</v>
      </c>
      <c r="AH401" s="399">
        <v>0</v>
      </c>
      <c r="AI401" s="399">
        <v>0</v>
      </c>
      <c r="AJ401" s="399">
        <v>0</v>
      </c>
      <c r="AK401" s="399">
        <v>0</v>
      </c>
      <c r="AL401" s="399">
        <v>1.8907700826303142</v>
      </c>
      <c r="AM401" s="399"/>
      <c r="AN401" s="399">
        <v>0.17207758125287062</v>
      </c>
      <c r="AO401" s="399">
        <v>0.69520403368333006</v>
      </c>
      <c r="AP401" s="399">
        <v>3.7085271163544804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2.7136741673933402</v>
      </c>
      <c r="BH401" s="399">
        <v>0</v>
      </c>
      <c r="BI401" s="399">
        <v>0</v>
      </c>
      <c r="BJ401" s="399">
        <v>0</v>
      </c>
      <c r="BK401" s="399">
        <v>118.74</v>
      </c>
      <c r="BL401" s="399">
        <v>2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28.33588345242994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80.606000000000009</v>
      </c>
      <c r="CJ401" s="399">
        <v>-11.768000000000015</v>
      </c>
      <c r="CK401" s="399"/>
      <c r="CL401" s="399"/>
      <c r="CM401" s="399"/>
      <c r="CN401" s="399"/>
      <c r="CO401" s="399">
        <v>-12.910000000000004</v>
      </c>
      <c r="CP401" s="399">
        <v>1.171999999999997</v>
      </c>
      <c r="CQ401" s="399">
        <v>31</v>
      </c>
      <c r="CR401" s="399">
        <v>0.28822337903542916</v>
      </c>
      <c r="CS401" s="399">
        <v>5.0746981650817924E-2</v>
      </c>
      <c r="CT401" s="399">
        <v>0.27070694128184014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0</v>
      </c>
      <c r="DA401" s="399">
        <v>0</v>
      </c>
      <c r="DB401" s="399">
        <v>0</v>
      </c>
      <c r="DC401" s="399">
        <v>1.1718868515090044</v>
      </c>
      <c r="DD401" s="399">
        <v>0</v>
      </c>
      <c r="DE401" s="399">
        <v>0</v>
      </c>
      <c r="DF401" s="399">
        <v>0</v>
      </c>
      <c r="DG401" s="399">
        <v>0.12411572478664024</v>
      </c>
      <c r="DH401" s="399">
        <v>0</v>
      </c>
      <c r="DI401" s="399">
        <v>-1.1580997204739791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-0.15097152631217403</v>
      </c>
      <c r="DP401" s="399">
        <v>-2.0161873406737807E-2</v>
      </c>
      <c r="DQ401" s="399">
        <v>0</v>
      </c>
      <c r="DR401" s="399">
        <v>0</v>
      </c>
      <c r="DS401" s="399"/>
      <c r="DT401" s="399"/>
      <c r="DU401" s="399"/>
      <c r="DV401" s="399">
        <v>38.899239652864203</v>
      </c>
      <c r="DW401" s="399">
        <v>0</v>
      </c>
      <c r="DX401" s="399">
        <v>0</v>
      </c>
      <c r="DY401" s="399">
        <v>-12.910000000000004</v>
      </c>
      <c r="DZ401" s="399">
        <v>1.171999999999997</v>
      </c>
      <c r="EA401" s="399">
        <v>0</v>
      </c>
      <c r="EB401" s="399">
        <v>0</v>
      </c>
      <c r="EC401" s="399">
        <v>-12.027680879081004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6.3997029695474801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230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400</v>
      </c>
      <c r="B402" s="399" t="s">
        <v>956</v>
      </c>
      <c r="C402" s="399" t="s">
        <v>2337</v>
      </c>
      <c r="D402" s="399" t="s">
        <v>533</v>
      </c>
      <c r="E402" s="399" t="s">
        <v>2341</v>
      </c>
      <c r="F402" s="399" t="s">
        <v>1239</v>
      </c>
      <c r="G402" s="399" t="s">
        <v>1239</v>
      </c>
      <c r="H402" s="399" t="s">
        <v>1239</v>
      </c>
      <c r="I402" s="399" t="s">
        <v>893</v>
      </c>
      <c r="J402" s="399" t="s">
        <v>2329</v>
      </c>
      <c r="K402" s="789">
        <v>44682</v>
      </c>
      <c r="L402" s="399">
        <v>0</v>
      </c>
      <c r="M402" s="399">
        <v>0</v>
      </c>
      <c r="N402" s="399">
        <v>1.958</v>
      </c>
      <c r="O402" s="399">
        <v>1.958</v>
      </c>
      <c r="P402" s="399">
        <v>1.958</v>
      </c>
      <c r="Q402" s="399">
        <v>1.958</v>
      </c>
      <c r="R402" s="399"/>
      <c r="S402" s="399">
        <v>1351.49</v>
      </c>
      <c r="T402" s="399">
        <v>128.11000000000001</v>
      </c>
      <c r="U402" s="399"/>
      <c r="V402" s="399">
        <v>2897.0567999999998</v>
      </c>
      <c r="W402" s="399">
        <v>2897.0567999999998</v>
      </c>
      <c r="X402" s="399">
        <v>2235.8597800000002</v>
      </c>
      <c r="Y402" s="399">
        <v>0</v>
      </c>
      <c r="Z402" s="399">
        <v>104.27909329680053</v>
      </c>
      <c r="AA402" s="399">
        <v>0</v>
      </c>
      <c r="AB402" s="399">
        <v>0</v>
      </c>
      <c r="AC402" s="399">
        <v>0</v>
      </c>
      <c r="AD402" s="399">
        <v>0</v>
      </c>
      <c r="AE402" s="399">
        <v>2200.6835873838486</v>
      </c>
      <c r="AF402" s="399">
        <v>250.8414289005083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18.510639108950777</v>
      </c>
      <c r="AM402" s="399"/>
      <c r="AN402" s="399">
        <v>0.9625540779711983</v>
      </c>
      <c r="AO402" s="399">
        <v>40.67261200266347</v>
      </c>
      <c r="AP402" s="399">
        <v>216.34348775468624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10.257208785235516</v>
      </c>
      <c r="BH402" s="399">
        <v>0</v>
      </c>
      <c r="BI402" s="399">
        <v>0</v>
      </c>
      <c r="BJ402" s="399">
        <v>0</v>
      </c>
      <c r="BK402" s="399">
        <v>0</v>
      </c>
      <c r="BL402" s="399">
        <v>0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>
        <v>261.09863768574382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2238.1435999999999</v>
      </c>
      <c r="CJ402" s="399">
        <v>-658.94320000000062</v>
      </c>
      <c r="CK402" s="399"/>
      <c r="CL402" s="399"/>
      <c r="CM402" s="399"/>
      <c r="CN402" s="399"/>
      <c r="CO402" s="399">
        <v>-672.67089999999985</v>
      </c>
      <c r="CP402" s="399">
        <v>11.473879999999971</v>
      </c>
      <c r="CQ402" s="399">
        <v>31</v>
      </c>
      <c r="CR402" s="399">
        <v>19.248332304586938</v>
      </c>
      <c r="CS402" s="399">
        <v>2.9689302636154125</v>
      </c>
      <c r="CT402" s="399">
        <v>15.792168157013208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0</v>
      </c>
      <c r="DA402" s="399">
        <v>0</v>
      </c>
      <c r="DB402" s="399">
        <v>0</v>
      </c>
      <c r="DC402" s="399">
        <v>11.472772276273105</v>
      </c>
      <c r="DD402" s="399">
        <v>0</v>
      </c>
      <c r="DE402" s="399">
        <v>0</v>
      </c>
      <c r="DF402" s="399">
        <v>0</v>
      </c>
      <c r="DG402" s="399">
        <v>0.46913550564193507</v>
      </c>
      <c r="DH402" s="399">
        <v>0</v>
      </c>
      <c r="DI402" s="399">
        <v>-9.8638827491931949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-1.4780112425961853</v>
      </c>
      <c r="DP402" s="399">
        <v>-0.11277990616729827</v>
      </c>
      <c r="DQ402" s="399">
        <v>0</v>
      </c>
      <c r="DR402" s="399">
        <v>0</v>
      </c>
      <c r="DS402" s="399"/>
      <c r="DT402" s="399"/>
      <c r="DU402" s="399"/>
      <c r="DV402" s="399">
        <v>2200.6835873838486</v>
      </c>
      <c r="DW402" s="399">
        <v>0</v>
      </c>
      <c r="DX402" s="399">
        <v>0</v>
      </c>
      <c r="DY402" s="399">
        <v>-672.67089999999985</v>
      </c>
      <c r="DZ402" s="399">
        <v>11.47387999999998</v>
      </c>
      <c r="EA402" s="399">
        <v>0</v>
      </c>
      <c r="EB402" s="399">
        <v>0</v>
      </c>
      <c r="EC402" s="399">
        <v>-680.45340066010726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54.508190102526676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230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401</v>
      </c>
      <c r="B403" s="399" t="s">
        <v>956</v>
      </c>
      <c r="C403" s="399" t="s">
        <v>2337</v>
      </c>
      <c r="D403" s="399" t="s">
        <v>533</v>
      </c>
      <c r="E403" s="399" t="s">
        <v>2341</v>
      </c>
      <c r="F403" s="399" t="s">
        <v>1239</v>
      </c>
      <c r="G403" s="399" t="s">
        <v>1239</v>
      </c>
      <c r="H403" s="399" t="s">
        <v>1239</v>
      </c>
      <c r="I403" s="399" t="s">
        <v>2326</v>
      </c>
      <c r="J403" s="399" t="s">
        <v>2329</v>
      </c>
      <c r="K403" s="789">
        <v>44682</v>
      </c>
      <c r="L403" s="399">
        <v>0</v>
      </c>
      <c r="M403" s="399">
        <v>0</v>
      </c>
      <c r="N403" s="399">
        <v>20.501999999999999</v>
      </c>
      <c r="O403" s="399">
        <v>20.501999999999999</v>
      </c>
      <c r="P403" s="399">
        <v>20.501999999999999</v>
      </c>
      <c r="Q403" s="399">
        <v>20.501999999999999</v>
      </c>
      <c r="R403" s="399"/>
      <c r="S403" s="399">
        <v>96.28</v>
      </c>
      <c r="T403" s="399">
        <v>128.11000000000001</v>
      </c>
      <c r="U403" s="399"/>
      <c r="V403" s="399">
        <v>4600.4437800000005</v>
      </c>
      <c r="W403" s="399">
        <v>4600.4437800000005</v>
      </c>
      <c r="X403" s="399">
        <v>4605.5692799999997</v>
      </c>
      <c r="Y403" s="399">
        <v>0</v>
      </c>
      <c r="Z403" s="399">
        <v>1091.8947756746702</v>
      </c>
      <c r="AA403" s="399">
        <v>0</v>
      </c>
      <c r="AB403" s="399">
        <v>0</v>
      </c>
      <c r="AC403" s="399">
        <v>0</v>
      </c>
      <c r="AD403" s="399">
        <v>0</v>
      </c>
      <c r="AE403" s="399">
        <v>0</v>
      </c>
      <c r="AF403" s="399">
        <v>2626.5326738091017</v>
      </c>
      <c r="AG403" s="399">
        <v>0</v>
      </c>
      <c r="AH403" s="399">
        <v>0</v>
      </c>
      <c r="AI403" s="399">
        <v>0</v>
      </c>
      <c r="AJ403" s="399">
        <v>0</v>
      </c>
      <c r="AK403" s="399">
        <v>0</v>
      </c>
      <c r="AL403" s="399">
        <v>193.82284117043349</v>
      </c>
      <c r="AM403" s="399"/>
      <c r="AN403" s="399">
        <v>10.07879658149413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107.40209117206258</v>
      </c>
      <c r="BH403" s="399">
        <v>0</v>
      </c>
      <c r="BI403" s="399">
        <v>0</v>
      </c>
      <c r="BJ403" s="399">
        <v>0</v>
      </c>
      <c r="BK403" s="399">
        <v>0</v>
      </c>
      <c r="BL403" s="399">
        <v>0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2733.9347649811643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4605.12</v>
      </c>
      <c r="CJ403" s="399">
        <v>4.6462199999996301</v>
      </c>
      <c r="CK403" s="399"/>
      <c r="CL403" s="399"/>
      <c r="CM403" s="399"/>
      <c r="CN403" s="399"/>
      <c r="CO403" s="399">
        <v>-115.01621999999998</v>
      </c>
      <c r="CP403" s="399">
        <v>120.14171999999969</v>
      </c>
      <c r="CQ403" s="399">
        <v>31</v>
      </c>
      <c r="CR403" s="399">
        <v>5.1017717512331728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0</v>
      </c>
      <c r="DA403" s="399">
        <v>0</v>
      </c>
      <c r="DB403" s="399">
        <v>0</v>
      </c>
      <c r="DC403" s="399">
        <v>120.13012114818775</v>
      </c>
      <c r="DD403" s="399">
        <v>0</v>
      </c>
      <c r="DE403" s="399">
        <v>0</v>
      </c>
      <c r="DF403" s="399">
        <v>0</v>
      </c>
      <c r="DG403" s="399">
        <v>4.9122656469208152</v>
      </c>
      <c r="DH403" s="399">
        <v>0</v>
      </c>
      <c r="DI403" s="399">
        <v>-103.28361804083704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-15.476091162260957</v>
      </c>
      <c r="DP403" s="399">
        <v>-1.1809058407772977</v>
      </c>
      <c r="DQ403" s="399">
        <v>0</v>
      </c>
      <c r="DR403" s="399">
        <v>0</v>
      </c>
      <c r="DS403" s="399"/>
      <c r="DT403" s="399"/>
      <c r="DU403" s="399"/>
      <c r="DV403" s="399">
        <v>0</v>
      </c>
      <c r="DW403" s="399">
        <v>0</v>
      </c>
      <c r="DX403" s="399">
        <v>0</v>
      </c>
      <c r="DY403" s="399">
        <v>-115.01621999999998</v>
      </c>
      <c r="DZ403" s="399">
        <v>120.14171999999962</v>
      </c>
      <c r="EA403" s="399">
        <v>0</v>
      </c>
      <c r="EB403" s="399">
        <v>0</v>
      </c>
      <c r="EC403" s="399">
        <v>0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570.74918972523085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230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402</v>
      </c>
      <c r="B404" s="399" t="s">
        <v>956</v>
      </c>
      <c r="C404" s="399" t="s">
        <v>2337</v>
      </c>
      <c r="D404" s="399" t="s">
        <v>533</v>
      </c>
      <c r="E404" s="399" t="s">
        <v>2341</v>
      </c>
      <c r="F404" s="399" t="s">
        <v>1239</v>
      </c>
      <c r="G404" s="399" t="s">
        <v>1239</v>
      </c>
      <c r="H404" s="399" t="s">
        <v>1239</v>
      </c>
      <c r="I404" s="399" t="s">
        <v>1239</v>
      </c>
      <c r="J404" s="399" t="s">
        <v>2329</v>
      </c>
      <c r="K404" s="789">
        <v>44682</v>
      </c>
      <c r="L404" s="399">
        <v>320</v>
      </c>
      <c r="M404" s="399">
        <v>320</v>
      </c>
      <c r="N404" s="399">
        <v>0</v>
      </c>
      <c r="O404" s="399">
        <v>0</v>
      </c>
      <c r="P404" s="399">
        <v>0</v>
      </c>
      <c r="Q404" s="399">
        <v>0</v>
      </c>
      <c r="R404" s="399">
        <v>18.12</v>
      </c>
      <c r="S404" s="399"/>
      <c r="T404" s="399"/>
      <c r="U404" s="399">
        <v>5798.4000000000005</v>
      </c>
      <c r="V404" s="399"/>
      <c r="W404" s="399">
        <v>5798.4000000000005</v>
      </c>
      <c r="X404" s="399">
        <v>4624</v>
      </c>
      <c r="Y404" s="399">
        <v>0</v>
      </c>
      <c r="Z404" s="399">
        <v>0</v>
      </c>
      <c r="AA404" s="399">
        <v>0</v>
      </c>
      <c r="AB404" s="399">
        <v>0</v>
      </c>
      <c r="AC404" s="399">
        <v>0</v>
      </c>
      <c r="AD404" s="399">
        <v>0</v>
      </c>
      <c r="AE404" s="399">
        <v>4178.8602617558081</v>
      </c>
      <c r="AF404" s="399"/>
      <c r="AG404" s="399"/>
      <c r="AH404" s="399"/>
      <c r="AI404" s="399">
        <v>0</v>
      </c>
      <c r="AJ404" s="399">
        <v>0</v>
      </c>
      <c r="AK404" s="399">
        <v>0</v>
      </c>
      <c r="AL404" s="399">
        <v>0</v>
      </c>
      <c r="AM404" s="399"/>
      <c r="AN404" s="399">
        <v>0</v>
      </c>
      <c r="AO404" s="399">
        <v>254.35853183039231</v>
      </c>
      <c r="AP404" s="399">
        <v>1363.6227327519455</v>
      </c>
      <c r="AQ404" s="399">
        <v>0</v>
      </c>
      <c r="AR404" s="399">
        <v>0</v>
      </c>
      <c r="AS404" s="399"/>
      <c r="AT404" s="399"/>
      <c r="AU404" s="399">
        <v>0</v>
      </c>
      <c r="AV404" s="399">
        <v>0</v>
      </c>
      <c r="AW404" s="399">
        <v>0</v>
      </c>
      <c r="AX404" s="399"/>
      <c r="AY404" s="399"/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/>
      <c r="BG404" s="399">
        <v>0</v>
      </c>
      <c r="BH404" s="399">
        <v>0</v>
      </c>
      <c r="BI404" s="399">
        <v>0</v>
      </c>
      <c r="BJ404" s="399">
        <v>0</v>
      </c>
      <c r="BK404" s="399">
        <v>3277.49</v>
      </c>
      <c r="BL404" s="399">
        <v>3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0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4624</v>
      </c>
      <c r="CJ404" s="399">
        <v>-1174.4300000000012</v>
      </c>
      <c r="CK404" s="399"/>
      <c r="CL404" s="399"/>
      <c r="CM404" s="399"/>
      <c r="CN404" s="399"/>
      <c r="CO404" s="399">
        <v>-1174.4000000000005</v>
      </c>
      <c r="CP404" s="399">
        <v>0</v>
      </c>
      <c r="CQ404" s="399">
        <v>31</v>
      </c>
      <c r="CR404" s="399">
        <v>118.1058531983806</v>
      </c>
      <c r="CS404" s="399">
        <v>18.567107096799731</v>
      </c>
      <c r="CT404" s="399">
        <v>99.538746101580955</v>
      </c>
      <c r="CU404" s="399">
        <v>0</v>
      </c>
      <c r="CV404" s="399">
        <v>0</v>
      </c>
      <c r="CW404" s="399"/>
      <c r="CX404" s="399"/>
      <c r="CY404" s="399"/>
      <c r="CZ404" s="399">
        <v>0</v>
      </c>
      <c r="DA404" s="399">
        <v>0</v>
      </c>
      <c r="DB404" s="399">
        <v>0</v>
      </c>
      <c r="DC404" s="399"/>
      <c r="DD404" s="399"/>
      <c r="DE404" s="399">
        <v>0</v>
      </c>
      <c r="DF404" s="399">
        <v>0</v>
      </c>
      <c r="DG404" s="399">
        <v>0</v>
      </c>
      <c r="DH404" s="399">
        <v>0</v>
      </c>
      <c r="DI404" s="399">
        <v>0</v>
      </c>
      <c r="DJ404" s="399"/>
      <c r="DK404" s="399">
        <v>0</v>
      </c>
      <c r="DL404" s="399">
        <v>0</v>
      </c>
      <c r="DM404" s="399"/>
      <c r="DN404" s="399">
        <v>0</v>
      </c>
      <c r="DO404" s="399">
        <v>0</v>
      </c>
      <c r="DP404" s="399">
        <v>0</v>
      </c>
      <c r="DQ404" s="399">
        <v>0</v>
      </c>
      <c r="DR404" s="399">
        <v>0</v>
      </c>
      <c r="DS404" s="399"/>
      <c r="DT404" s="399"/>
      <c r="DU404" s="399">
        <v>4178.8602617558081</v>
      </c>
      <c r="DV404" s="399"/>
      <c r="DW404" s="399">
        <v>0</v>
      </c>
      <c r="DX404" s="399">
        <v>0</v>
      </c>
      <c r="DY404" s="399">
        <v>-1174.4000000000005</v>
      </c>
      <c r="DZ404" s="399"/>
      <c r="EA404" s="399">
        <v>0</v>
      </c>
      <c r="EB404" s="399"/>
      <c r="EC404" s="399">
        <v>-1292.1074580173949</v>
      </c>
      <c r="ED404" s="399"/>
      <c r="EE404" s="399">
        <v>0</v>
      </c>
      <c r="EF404" s="399">
        <v>0</v>
      </c>
      <c r="EG404" s="399"/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/>
      <c r="EN404" s="399"/>
      <c r="EO404" s="399">
        <v>0</v>
      </c>
      <c r="EP404" s="399">
        <v>0</v>
      </c>
      <c r="EQ404" s="399"/>
      <c r="ER404" s="399">
        <v>0</v>
      </c>
      <c r="ES404" s="399"/>
      <c r="ET404" s="399">
        <v>0</v>
      </c>
      <c r="EU404" s="399"/>
      <c r="EV404" s="399">
        <v>230</v>
      </c>
      <c r="EW404" s="399"/>
      <c r="EX404" s="399"/>
      <c r="EY404" s="399"/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403</v>
      </c>
      <c r="B405" s="399" t="s">
        <v>956</v>
      </c>
      <c r="C405" s="399" t="s">
        <v>2328</v>
      </c>
      <c r="D405" s="399" t="s">
        <v>2342</v>
      </c>
      <c r="E405" s="399" t="s">
        <v>2343</v>
      </c>
      <c r="F405" s="399" t="s">
        <v>2344</v>
      </c>
      <c r="G405" s="399" t="s">
        <v>1239</v>
      </c>
      <c r="H405" s="399" t="s">
        <v>1239</v>
      </c>
      <c r="I405" s="399" t="s">
        <v>1239</v>
      </c>
      <c r="J405" s="399" t="s">
        <v>2329</v>
      </c>
      <c r="K405" s="789">
        <v>44682</v>
      </c>
      <c r="L405" s="399">
        <v>0</v>
      </c>
      <c r="M405" s="399">
        <v>0</v>
      </c>
      <c r="N405" s="399">
        <v>1000.045</v>
      </c>
      <c r="O405" s="399">
        <v>1000.045</v>
      </c>
      <c r="P405" s="399">
        <v>1000.045</v>
      </c>
      <c r="Q405" s="399">
        <v>1000.045</v>
      </c>
      <c r="R405" s="399"/>
      <c r="S405" s="399">
        <v>183.49</v>
      </c>
      <c r="T405" s="399">
        <v>70.459999999999994</v>
      </c>
      <c r="U405" s="399"/>
      <c r="V405" s="399">
        <v>253961.42775</v>
      </c>
      <c r="W405" s="399">
        <v>253961.42775</v>
      </c>
      <c r="X405" s="399">
        <v>221669.97469999999</v>
      </c>
      <c r="Y405" s="399">
        <v>0</v>
      </c>
      <c r="Z405" s="399">
        <v>33670.342843858598</v>
      </c>
      <c r="AA405" s="399">
        <v>0</v>
      </c>
      <c r="AB405" s="399">
        <v>0</v>
      </c>
      <c r="AC405" s="399">
        <v>0</v>
      </c>
      <c r="AD405" s="399">
        <v>0</v>
      </c>
      <c r="AE405" s="399">
        <v>106977.72282628404</v>
      </c>
      <c r="AF405" s="399">
        <v>70464.246282249922</v>
      </c>
      <c r="AG405" s="399">
        <v>0</v>
      </c>
      <c r="AH405" s="399">
        <v>0</v>
      </c>
      <c r="AI405" s="399">
        <v>0</v>
      </c>
      <c r="AJ405" s="399">
        <v>0</v>
      </c>
      <c r="AK405" s="399">
        <v>0</v>
      </c>
      <c r="AL405" s="399">
        <v>5199.8517100310846</v>
      </c>
      <c r="AM405" s="399"/>
      <c r="AN405" s="399">
        <v>473.23464304607398</v>
      </c>
      <c r="AO405" s="399">
        <v>1911.8971241283282</v>
      </c>
      <c r="AP405" s="399">
        <v>10198.908500205449</v>
      </c>
      <c r="AQ405" s="399">
        <v>0</v>
      </c>
      <c r="AR405" s="399">
        <v>0</v>
      </c>
      <c r="AS405" s="399">
        <v>0</v>
      </c>
      <c r="AT405" s="399">
        <v>0</v>
      </c>
      <c r="AU405" s="399">
        <v>0</v>
      </c>
      <c r="AV405" s="399">
        <v>0</v>
      </c>
      <c r="AW405" s="399">
        <v>0</v>
      </c>
      <c r="AX405" s="399">
        <v>0</v>
      </c>
      <c r="AY405" s="399">
        <v>0</v>
      </c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>
        <v>0</v>
      </c>
      <c r="BG405" s="399">
        <v>7462.9397775098751</v>
      </c>
      <c r="BH405" s="399">
        <v>0</v>
      </c>
      <c r="BI405" s="399">
        <v>0</v>
      </c>
      <c r="BJ405" s="399">
        <v>0</v>
      </c>
      <c r="BK405" s="399">
        <v>73889.98</v>
      </c>
      <c r="BL405" s="399">
        <v>5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>
        <v>77927.186059759799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221671.08299999998</v>
      </c>
      <c r="CJ405" s="399">
        <v>-32290.374750000046</v>
      </c>
      <c r="CK405" s="399"/>
      <c r="CL405" s="399"/>
      <c r="CM405" s="399"/>
      <c r="CN405" s="399"/>
      <c r="CO405" s="399">
        <v>-35511.597950000018</v>
      </c>
      <c r="CP405" s="399">
        <v>3220.144900000013</v>
      </c>
      <c r="CQ405" s="399">
        <v>31</v>
      </c>
      <c r="CR405" s="399">
        <v>792.64995999040548</v>
      </c>
      <c r="CS405" s="399">
        <v>139.56047947872935</v>
      </c>
      <c r="CT405" s="399">
        <v>744.47758850908212</v>
      </c>
      <c r="CU405" s="399">
        <v>0</v>
      </c>
      <c r="CV405" s="399">
        <v>0</v>
      </c>
      <c r="CW405" s="399">
        <v>0</v>
      </c>
      <c r="CX405" s="399">
        <v>0</v>
      </c>
      <c r="CY405" s="399">
        <v>0</v>
      </c>
      <c r="CZ405" s="399">
        <v>0</v>
      </c>
      <c r="DA405" s="399">
        <v>0</v>
      </c>
      <c r="DB405" s="399">
        <v>0</v>
      </c>
      <c r="DC405" s="399">
        <v>3222.8338626474724</v>
      </c>
      <c r="DD405" s="399">
        <v>0</v>
      </c>
      <c r="DE405" s="399">
        <v>0</v>
      </c>
      <c r="DF405" s="399">
        <v>0</v>
      </c>
      <c r="DG405" s="399">
        <v>341.33360248425197</v>
      </c>
      <c r="DH405" s="399">
        <v>0</v>
      </c>
      <c r="DI405" s="399">
        <v>-3184.9175461439117</v>
      </c>
      <c r="DJ405" s="399"/>
      <c r="DK405" s="399">
        <v>0</v>
      </c>
      <c r="DL405" s="399">
        <v>0</v>
      </c>
      <c r="DM405" s="399">
        <v>0</v>
      </c>
      <c r="DN405" s="399">
        <v>0</v>
      </c>
      <c r="DO405" s="399">
        <v>-415.1903800848504</v>
      </c>
      <c r="DP405" s="399">
        <v>-55.447646900363054</v>
      </c>
      <c r="DQ405" s="399">
        <v>0</v>
      </c>
      <c r="DR405" s="399">
        <v>0</v>
      </c>
      <c r="DS405" s="399"/>
      <c r="DT405" s="399"/>
      <c r="DU405" s="399"/>
      <c r="DV405" s="399">
        <v>106977.72282628404</v>
      </c>
      <c r="DW405" s="399">
        <v>0</v>
      </c>
      <c r="DX405" s="399">
        <v>0</v>
      </c>
      <c r="DY405" s="399">
        <v>-35511.597950000025</v>
      </c>
      <c r="DZ405" s="399">
        <v>3220.1449000000139</v>
      </c>
      <c r="EA405" s="399">
        <v>0</v>
      </c>
      <c r="EB405" s="399">
        <v>0</v>
      </c>
      <c r="EC405" s="399">
        <v>-33077.610842981783</v>
      </c>
      <c r="ED405" s="399">
        <v>0</v>
      </c>
      <c r="EE405" s="399">
        <v>0</v>
      </c>
      <c r="EF405" s="399">
        <v>0</v>
      </c>
      <c r="EG405" s="399">
        <v>0</v>
      </c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>
        <v>0</v>
      </c>
      <c r="EN405" s="399">
        <v>0</v>
      </c>
      <c r="EO405" s="399">
        <v>0</v>
      </c>
      <c r="EP405" s="399">
        <v>17599.975129498082</v>
      </c>
      <c r="EQ405" s="399">
        <v>0</v>
      </c>
      <c r="ER405" s="399">
        <v>0</v>
      </c>
      <c r="ES405" s="399">
        <v>0</v>
      </c>
      <c r="ET405" s="399">
        <v>0</v>
      </c>
      <c r="EU405" s="399">
        <v>0</v>
      </c>
      <c r="EV405" s="399">
        <v>230</v>
      </c>
      <c r="EW405" s="399">
        <v>0</v>
      </c>
      <c r="EX405" s="399">
        <v>0</v>
      </c>
      <c r="EY405" s="399">
        <v>0</v>
      </c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404</v>
      </c>
      <c r="B406" s="399" t="s">
        <v>956</v>
      </c>
      <c r="C406" s="399" t="s">
        <v>2328</v>
      </c>
      <c r="D406" s="399" t="s">
        <v>1826</v>
      </c>
      <c r="E406" s="399" t="s">
        <v>921</v>
      </c>
      <c r="F406" s="399" t="s">
        <v>2345</v>
      </c>
      <c r="G406" s="399" t="s">
        <v>1239</v>
      </c>
      <c r="H406" s="399" t="s">
        <v>1239</v>
      </c>
      <c r="I406" s="399" t="s">
        <v>1239</v>
      </c>
      <c r="J406" s="399" t="s">
        <v>2329</v>
      </c>
      <c r="K406" s="789">
        <v>44682</v>
      </c>
      <c r="L406" s="399">
        <v>0</v>
      </c>
      <c r="M406" s="399">
        <v>0</v>
      </c>
      <c r="N406" s="399">
        <v>72.224999999999994</v>
      </c>
      <c r="O406" s="399">
        <v>67.891499999999994</v>
      </c>
      <c r="P406" s="399">
        <v>72.224999999999994</v>
      </c>
      <c r="Q406" s="399">
        <v>67.891499999999994</v>
      </c>
      <c r="R406" s="399"/>
      <c r="S406" s="399">
        <v>333.61</v>
      </c>
      <c r="T406" s="399">
        <v>128.11000000000001</v>
      </c>
      <c r="U406" s="399"/>
      <c r="V406" s="399">
        <v>33347.726999999999</v>
      </c>
      <c r="W406" s="399">
        <v>33347.726999999999</v>
      </c>
      <c r="X406" s="399">
        <v>29108.84175</v>
      </c>
      <c r="Y406" s="399">
        <v>0</v>
      </c>
      <c r="Z406" s="399">
        <v>4421.3292436343754</v>
      </c>
      <c r="AA406" s="399">
        <v>0</v>
      </c>
      <c r="AB406" s="399">
        <v>0</v>
      </c>
      <c r="AC406" s="399">
        <v>0</v>
      </c>
      <c r="AD406" s="399">
        <v>0</v>
      </c>
      <c r="AE406" s="399">
        <v>14047.487919640584</v>
      </c>
      <c r="AF406" s="399">
        <v>9252.8203280588405</v>
      </c>
      <c r="AG406" s="399">
        <v>0</v>
      </c>
      <c r="AH406" s="399">
        <v>0</v>
      </c>
      <c r="AI406" s="399">
        <v>0</v>
      </c>
      <c r="AJ406" s="399">
        <v>0</v>
      </c>
      <c r="AK406" s="399">
        <v>0</v>
      </c>
      <c r="AL406" s="399">
        <v>682.80434608987218</v>
      </c>
      <c r="AM406" s="399"/>
      <c r="AN406" s="399">
        <v>62.141516529942891</v>
      </c>
      <c r="AO406" s="399">
        <v>251.05555666389253</v>
      </c>
      <c r="AP406" s="399">
        <v>1339.2418548935116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979.97558369991987</v>
      </c>
      <c r="BH406" s="399">
        <v>0</v>
      </c>
      <c r="BI406" s="399">
        <v>0</v>
      </c>
      <c r="BJ406" s="399">
        <v>0</v>
      </c>
      <c r="BK406" s="399">
        <v>9696.7000000000007</v>
      </c>
      <c r="BL406" s="399">
        <v>27</v>
      </c>
      <c r="BM406" s="399"/>
      <c r="BN406" s="399"/>
      <c r="BO406" s="399"/>
      <c r="BP406" s="399"/>
      <c r="BQ406" s="399">
        <v>1746.5305050000004</v>
      </c>
      <c r="BR406" s="399"/>
      <c r="BS406" s="399"/>
      <c r="BT406" s="399"/>
      <c r="BU406" s="399"/>
      <c r="BV406" s="399">
        <v>10232.79591175876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27361.706700000002</v>
      </c>
      <c r="CJ406" s="399">
        <v>-3985.186679999988</v>
      </c>
      <c r="CK406" s="399"/>
      <c r="CL406" s="399"/>
      <c r="CM406" s="399"/>
      <c r="CN406" s="399"/>
      <c r="CO406" s="399">
        <v>-4662.1237500000007</v>
      </c>
      <c r="CP406" s="399">
        <v>423.23849999999891</v>
      </c>
      <c r="CQ406" s="399">
        <v>31</v>
      </c>
      <c r="CR406" s="399">
        <v>104.08466775416673</v>
      </c>
      <c r="CS406" s="399">
        <v>18.32600374865163</v>
      </c>
      <c r="CT406" s="399">
        <v>97.759044170404422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0</v>
      </c>
      <c r="DA406" s="399">
        <v>0</v>
      </c>
      <c r="DB406" s="399">
        <v>0</v>
      </c>
      <c r="DC406" s="399">
        <v>423.19763925118968</v>
      </c>
      <c r="DD406" s="399">
        <v>0</v>
      </c>
      <c r="DE406" s="399">
        <v>0</v>
      </c>
      <c r="DF406" s="399">
        <v>0</v>
      </c>
      <c r="DG406" s="399">
        <v>44.821291113575285</v>
      </c>
      <c r="DH406" s="399">
        <v>0</v>
      </c>
      <c r="DI406" s="399">
        <v>-418.2187615561661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-54.519592439483858</v>
      </c>
      <c r="DP406" s="399">
        <v>-7.2809565340081903</v>
      </c>
      <c r="DQ406" s="399">
        <v>0</v>
      </c>
      <c r="DR406" s="399">
        <v>0</v>
      </c>
      <c r="DS406" s="399"/>
      <c r="DT406" s="399"/>
      <c r="DU406" s="399"/>
      <c r="DV406" s="399">
        <v>14047.487919640584</v>
      </c>
      <c r="DW406" s="399">
        <v>0</v>
      </c>
      <c r="DX406" s="399">
        <v>0</v>
      </c>
      <c r="DY406" s="399">
        <v>-4662.1237499999988</v>
      </c>
      <c r="DZ406" s="399">
        <v>423.23849999999948</v>
      </c>
      <c r="EA406" s="399">
        <v>0</v>
      </c>
      <c r="EB406" s="399">
        <v>0</v>
      </c>
      <c r="EC406" s="399">
        <v>-4343.4962574581277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2311.0927348778337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230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405</v>
      </c>
      <c r="B407" s="399" t="s">
        <v>956</v>
      </c>
      <c r="C407" s="399" t="s">
        <v>2336</v>
      </c>
      <c r="D407" s="399" t="s">
        <v>533</v>
      </c>
      <c r="E407" s="399" t="s">
        <v>921</v>
      </c>
      <c r="F407" s="399" t="s">
        <v>2345</v>
      </c>
      <c r="G407" s="399" t="s">
        <v>1239</v>
      </c>
      <c r="H407" s="399" t="s">
        <v>1239</v>
      </c>
      <c r="I407" s="399" t="s">
        <v>893</v>
      </c>
      <c r="J407" s="399" t="s">
        <v>2329</v>
      </c>
      <c r="K407" s="789">
        <v>44682</v>
      </c>
      <c r="L407" s="399">
        <v>497</v>
      </c>
      <c r="M407" s="399">
        <v>467.18</v>
      </c>
      <c r="N407" s="399">
        <v>15.837999999999999</v>
      </c>
      <c r="O407" s="399">
        <v>14.88772</v>
      </c>
      <c r="P407" s="399">
        <v>15.837999999999999</v>
      </c>
      <c r="Q407" s="399">
        <v>14.88772</v>
      </c>
      <c r="R407" s="399">
        <v>52.19</v>
      </c>
      <c r="S407" s="399">
        <v>96.28</v>
      </c>
      <c r="T407" s="399">
        <v>128.11000000000001</v>
      </c>
      <c r="U407" s="399">
        <v>25938.43</v>
      </c>
      <c r="V407" s="399">
        <v>3553.8888200000001</v>
      </c>
      <c r="W407" s="399">
        <v>29492.31882</v>
      </c>
      <c r="X407" s="399">
        <v>22513.428319999999</v>
      </c>
      <c r="Y407" s="399">
        <v>0</v>
      </c>
      <c r="Z407" s="399">
        <v>843.4996320912802</v>
      </c>
      <c r="AA407" s="399">
        <v>0</v>
      </c>
      <c r="AB407" s="399">
        <v>0</v>
      </c>
      <c r="AC407" s="399">
        <v>0</v>
      </c>
      <c r="AD407" s="399">
        <v>0</v>
      </c>
      <c r="AE407" s="399">
        <v>23226.622324707889</v>
      </c>
      <c r="AF407" s="399">
        <v>2029.0227532820481</v>
      </c>
      <c r="AG407" s="399">
        <v>0</v>
      </c>
      <c r="AH407" s="399">
        <v>0</v>
      </c>
      <c r="AI407" s="399">
        <v>0</v>
      </c>
      <c r="AJ407" s="399">
        <v>0</v>
      </c>
      <c r="AK407" s="399">
        <v>0</v>
      </c>
      <c r="AL407" s="399">
        <v>149.73008284349456</v>
      </c>
      <c r="AM407" s="399"/>
      <c r="AN407" s="399">
        <v>7.7859711373380174</v>
      </c>
      <c r="AO407" s="399">
        <v>429.22392841896755</v>
      </c>
      <c r="AP407" s="399">
        <v>2283.35918041684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82.969189346557755</v>
      </c>
      <c r="BH407" s="399">
        <v>0</v>
      </c>
      <c r="BI407" s="399">
        <v>0</v>
      </c>
      <c r="BJ407" s="399">
        <v>0</v>
      </c>
      <c r="BK407" s="399">
        <v>0</v>
      </c>
      <c r="BL407" s="399">
        <v>0</v>
      </c>
      <c r="BM407" s="399"/>
      <c r="BN407" s="399"/>
      <c r="BO407" s="399"/>
      <c r="BP407" s="399"/>
      <c r="BQ407" s="399">
        <v>1350.8056991999997</v>
      </c>
      <c r="BR407" s="399"/>
      <c r="BS407" s="399"/>
      <c r="BT407" s="399"/>
      <c r="BU407" s="399"/>
      <c r="BV407" s="399">
        <v>2111.991942628606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21163.134800000003</v>
      </c>
      <c r="CJ407" s="399">
        <v>-6559.6748907999936</v>
      </c>
      <c r="CK407" s="399"/>
      <c r="CL407" s="399"/>
      <c r="CM407" s="399"/>
      <c r="CN407" s="399"/>
      <c r="CO407" s="399">
        <v>-7071.7011799999982</v>
      </c>
      <c r="CP407" s="399">
        <v>92.810679999999763</v>
      </c>
      <c r="CQ407" s="399">
        <v>31</v>
      </c>
      <c r="CR407" s="399">
        <v>201.94837129019106</v>
      </c>
      <c r="CS407" s="399">
        <v>31.331548386111194</v>
      </c>
      <c r="CT407" s="399">
        <v>166.6756532135114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0</v>
      </c>
      <c r="DA407" s="399">
        <v>0</v>
      </c>
      <c r="DB407" s="399">
        <v>0</v>
      </c>
      <c r="DC407" s="399">
        <v>92.801719770997806</v>
      </c>
      <c r="DD407" s="399">
        <v>0</v>
      </c>
      <c r="DE407" s="399">
        <v>0</v>
      </c>
      <c r="DF407" s="399">
        <v>0</v>
      </c>
      <c r="DG407" s="399">
        <v>3.7947743301108119</v>
      </c>
      <c r="DH407" s="399">
        <v>0</v>
      </c>
      <c r="DI407" s="399">
        <v>-79.787627671972359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-11.95543516866104</v>
      </c>
      <c r="DP407" s="399">
        <v>-0.9122615699068799</v>
      </c>
      <c r="DQ407" s="399">
        <v>0</v>
      </c>
      <c r="DR407" s="399">
        <v>0</v>
      </c>
      <c r="DS407" s="399"/>
      <c r="DT407" s="399"/>
      <c r="DU407" s="399">
        <v>23226.622324707889</v>
      </c>
      <c r="DV407" s="399">
        <v>0</v>
      </c>
      <c r="DW407" s="399">
        <v>0</v>
      </c>
      <c r="DX407" s="399">
        <v>0</v>
      </c>
      <c r="DY407" s="399">
        <v>-7071.70118</v>
      </c>
      <c r="DZ407" s="399">
        <v>92.81067999999982</v>
      </c>
      <c r="EA407" s="399">
        <v>0</v>
      </c>
      <c r="EB407" s="399">
        <v>0</v>
      </c>
      <c r="EC407" s="399">
        <v>-7181.6931054063516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440.90945599786392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230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406</v>
      </c>
      <c r="B408" s="399" t="s">
        <v>956</v>
      </c>
      <c r="C408" s="399" t="s">
        <v>2336</v>
      </c>
      <c r="D408" s="399" t="s">
        <v>533</v>
      </c>
      <c r="E408" s="399" t="s">
        <v>921</v>
      </c>
      <c r="F408" s="399" t="s">
        <v>2345</v>
      </c>
      <c r="G408" s="399" t="s">
        <v>1239</v>
      </c>
      <c r="H408" s="399" t="s">
        <v>1239</v>
      </c>
      <c r="I408" s="399" t="s">
        <v>2326</v>
      </c>
      <c r="J408" s="399" t="s">
        <v>2329</v>
      </c>
      <c r="K408" s="789">
        <v>44682</v>
      </c>
      <c r="L408" s="399">
        <v>497</v>
      </c>
      <c r="M408" s="399">
        <v>467.18</v>
      </c>
      <c r="N408" s="399">
        <v>130.45599999999999</v>
      </c>
      <c r="O408" s="399">
        <v>122.62864</v>
      </c>
      <c r="P408" s="399">
        <v>130.45599999999999</v>
      </c>
      <c r="Q408" s="399">
        <v>122.62864</v>
      </c>
      <c r="R408" s="399">
        <v>18.12</v>
      </c>
      <c r="S408" s="399">
        <v>96.28</v>
      </c>
      <c r="T408" s="399">
        <v>128.11000000000001</v>
      </c>
      <c r="U408" s="399">
        <v>9005.6400000000012</v>
      </c>
      <c r="V408" s="399">
        <v>29273.021840000001</v>
      </c>
      <c r="W408" s="399">
        <v>38278.661840000001</v>
      </c>
      <c r="X408" s="399">
        <v>36487.285839999997</v>
      </c>
      <c r="Y408" s="399">
        <v>0</v>
      </c>
      <c r="Z408" s="399">
        <v>6947.8209372458678</v>
      </c>
      <c r="AA408" s="399">
        <v>0</v>
      </c>
      <c r="AB408" s="399">
        <v>0</v>
      </c>
      <c r="AC408" s="399">
        <v>0</v>
      </c>
      <c r="AD408" s="399">
        <v>0</v>
      </c>
      <c r="AE408" s="399">
        <v>6490.2923440394898</v>
      </c>
      <c r="AF408" s="399">
        <v>16712.854672443671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1233.3115094981013</v>
      </c>
      <c r="AM408" s="399"/>
      <c r="AN408" s="399">
        <v>64.132254747605032</v>
      </c>
      <c r="AO408" s="399">
        <v>395.05059474907807</v>
      </c>
      <c r="AP408" s="399">
        <v>2117.8765568053655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683.40879943140158</v>
      </c>
      <c r="BH408" s="399">
        <v>0</v>
      </c>
      <c r="BI408" s="399">
        <v>0</v>
      </c>
      <c r="BJ408" s="399">
        <v>0</v>
      </c>
      <c r="BK408" s="399">
        <v>0</v>
      </c>
      <c r="BL408" s="399">
        <v>0</v>
      </c>
      <c r="BM408" s="399"/>
      <c r="BN408" s="399"/>
      <c r="BO408" s="399"/>
      <c r="BP408" s="399"/>
      <c r="BQ408" s="399">
        <v>2189.2371503999966</v>
      </c>
      <c r="BR408" s="399"/>
      <c r="BS408" s="399"/>
      <c r="BT408" s="399"/>
      <c r="BU408" s="399"/>
      <c r="BV408" s="399">
        <v>17396.263471875074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34298.354200000002</v>
      </c>
      <c r="CJ408" s="399">
        <v>-1683.6179296000046</v>
      </c>
      <c r="CK408" s="399"/>
      <c r="CL408" s="399"/>
      <c r="CM408" s="399"/>
      <c r="CN408" s="399"/>
      <c r="CO408" s="399">
        <v>-2555.8481600000009</v>
      </c>
      <c r="CP408" s="399">
        <v>764.47215999999798</v>
      </c>
      <c r="CQ408" s="399">
        <v>31</v>
      </c>
      <c r="CR408" s="399">
        <v>215.89616834866683</v>
      </c>
      <c r="CS408" s="399">
        <v>28.837038209717036</v>
      </c>
      <c r="CT408" s="399">
        <v>154.59611503901806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0</v>
      </c>
      <c r="DA408" s="399">
        <v>0</v>
      </c>
      <c r="DB408" s="399">
        <v>0</v>
      </c>
      <c r="DC408" s="399">
        <v>764.39835550229327</v>
      </c>
      <c r="DD408" s="399">
        <v>0</v>
      </c>
      <c r="DE408" s="399">
        <v>0</v>
      </c>
      <c r="DF408" s="399">
        <v>0</v>
      </c>
      <c r="DG408" s="399">
        <v>31.257171360584493</v>
      </c>
      <c r="DH408" s="399">
        <v>0</v>
      </c>
      <c r="DI408" s="399">
        <v>-657.20259853357948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-98.475707182904898</v>
      </c>
      <c r="DP408" s="399">
        <v>-7.5142060464561169</v>
      </c>
      <c r="DQ408" s="399">
        <v>0</v>
      </c>
      <c r="DR408" s="399">
        <v>0</v>
      </c>
      <c r="DS408" s="399"/>
      <c r="DT408" s="399"/>
      <c r="DU408" s="399">
        <v>6490.2923440394898</v>
      </c>
      <c r="DV408" s="399">
        <v>0</v>
      </c>
      <c r="DW408" s="399">
        <v>0</v>
      </c>
      <c r="DX408" s="399">
        <v>0</v>
      </c>
      <c r="DY408" s="399">
        <v>-2555.8481600000014</v>
      </c>
      <c r="DZ408" s="399">
        <v>764.47215999999753</v>
      </c>
      <c r="EA408" s="399">
        <v>0</v>
      </c>
      <c r="EB408" s="399">
        <v>0</v>
      </c>
      <c r="EC408" s="399">
        <v>-2006.8043957332666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3631.7264800894891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230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407</v>
      </c>
      <c r="B409" s="399" t="s">
        <v>956</v>
      </c>
      <c r="C409" s="399" t="s">
        <v>2336</v>
      </c>
      <c r="D409" s="399" t="s">
        <v>533</v>
      </c>
      <c r="E409" s="399" t="s">
        <v>921</v>
      </c>
      <c r="F409" s="399" t="s">
        <v>2345</v>
      </c>
      <c r="G409" s="399" t="s">
        <v>1239</v>
      </c>
      <c r="H409" s="399" t="s">
        <v>1239</v>
      </c>
      <c r="I409" s="399" t="s">
        <v>1239</v>
      </c>
      <c r="J409" s="399" t="s">
        <v>2329</v>
      </c>
      <c r="K409" s="789">
        <v>44682</v>
      </c>
      <c r="L409" s="399">
        <v>0</v>
      </c>
      <c r="M409" s="399">
        <v>0</v>
      </c>
      <c r="N409" s="399">
        <v>0</v>
      </c>
      <c r="O409" s="399">
        <v>0</v>
      </c>
      <c r="P409" s="399">
        <v>0</v>
      </c>
      <c r="Q409" s="399">
        <v>0</v>
      </c>
      <c r="R409" s="399"/>
      <c r="S409" s="399"/>
      <c r="T409" s="399"/>
      <c r="U409" s="399"/>
      <c r="V409" s="399"/>
      <c r="W409" s="399"/>
      <c r="X409" s="399"/>
      <c r="Y409" s="399"/>
      <c r="Z409" s="399"/>
      <c r="AA409" s="399">
        <v>0</v>
      </c>
      <c r="AB409" s="399"/>
      <c r="AC409" s="399"/>
      <c r="AD409" s="399"/>
      <c r="AE409" s="399"/>
      <c r="AF409" s="399"/>
      <c r="AG409" s="399"/>
      <c r="AH409" s="399"/>
      <c r="AI409" s="399"/>
      <c r="AJ409" s="399"/>
      <c r="AK409" s="399"/>
      <c r="AL409" s="399"/>
      <c r="AM409" s="399"/>
      <c r="AN409" s="399"/>
      <c r="AO409" s="399"/>
      <c r="AP409" s="399"/>
      <c r="AQ409" s="399"/>
      <c r="AR409" s="399"/>
      <c r="AS409" s="399"/>
      <c r="AT409" s="399"/>
      <c r="AU409" s="399"/>
      <c r="AV409" s="399"/>
      <c r="AW409" s="399"/>
      <c r="AX409" s="399"/>
      <c r="AY409" s="399"/>
      <c r="AZ409" s="399">
        <v>0</v>
      </c>
      <c r="BA409" s="399"/>
      <c r="BB409" s="399"/>
      <c r="BC409" s="399"/>
      <c r="BD409" s="399"/>
      <c r="BE409" s="399"/>
      <c r="BF409" s="399"/>
      <c r="BG409" s="399"/>
      <c r="BH409" s="399"/>
      <c r="BI409" s="399">
        <v>0</v>
      </c>
      <c r="BJ409" s="399">
        <v>0</v>
      </c>
      <c r="BK409" s="399">
        <v>16497.45</v>
      </c>
      <c r="BL409" s="399">
        <v>2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/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/>
      <c r="CJ409" s="399">
        <v>-0.03</v>
      </c>
      <c r="CK409" s="399"/>
      <c r="CL409" s="399"/>
      <c r="CM409" s="399"/>
      <c r="CN409" s="399"/>
      <c r="CO409" s="399">
        <v>0</v>
      </c>
      <c r="CP409" s="399">
        <v>0</v>
      </c>
      <c r="CQ409" s="399">
        <v>31</v>
      </c>
      <c r="CR409" s="399"/>
      <c r="CS409" s="399"/>
      <c r="CT409" s="399"/>
      <c r="CU409" s="399"/>
      <c r="CV409" s="399"/>
      <c r="CW409" s="399"/>
      <c r="CX409" s="399"/>
      <c r="CY409" s="399"/>
      <c r="CZ409" s="399"/>
      <c r="DA409" s="399"/>
      <c r="DB409" s="399"/>
      <c r="DC409" s="399"/>
      <c r="DD409" s="399"/>
      <c r="DE409" s="399"/>
      <c r="DF409" s="399"/>
      <c r="DG409" s="399"/>
      <c r="DH409" s="399"/>
      <c r="DI409" s="399"/>
      <c r="DJ409" s="399"/>
      <c r="DK409" s="399">
        <v>0</v>
      </c>
      <c r="DL409" s="399"/>
      <c r="DM409" s="399"/>
      <c r="DN409" s="399"/>
      <c r="DO409" s="399"/>
      <c r="DP409" s="399"/>
      <c r="DQ409" s="399"/>
      <c r="DR409" s="399"/>
      <c r="DS409" s="399"/>
      <c r="DT409" s="399"/>
      <c r="DU409" s="399"/>
      <c r="DV409" s="399"/>
      <c r="DW409" s="399"/>
      <c r="DX409" s="399"/>
      <c r="DY409" s="399"/>
      <c r="DZ409" s="399"/>
      <c r="EA409" s="399"/>
      <c r="EB409" s="399"/>
      <c r="EC409" s="399"/>
      <c r="ED409" s="399"/>
      <c r="EE409" s="399"/>
      <c r="EF409" s="399"/>
      <c r="EG409" s="399"/>
      <c r="EH409" s="399"/>
      <c r="EI409" s="399"/>
      <c r="EJ409" s="399"/>
      <c r="EK409" s="399"/>
      <c r="EL409" s="399"/>
      <c r="EM409" s="399"/>
      <c r="EN409" s="399"/>
      <c r="EO409" s="399"/>
      <c r="EP409" s="399"/>
      <c r="EQ409" s="399"/>
      <c r="ER409" s="399"/>
      <c r="ES409" s="399"/>
      <c r="ET409" s="399"/>
      <c r="EU409" s="399"/>
      <c r="EV409" s="399">
        <v>230</v>
      </c>
      <c r="EW409" s="399"/>
      <c r="EX409" s="399"/>
      <c r="EY409" s="399"/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408</v>
      </c>
      <c r="B410" s="399" t="s">
        <v>956</v>
      </c>
      <c r="C410" s="399" t="s">
        <v>2328</v>
      </c>
      <c r="D410" s="399" t="s">
        <v>1826</v>
      </c>
      <c r="E410" s="399" t="s">
        <v>2346</v>
      </c>
      <c r="F410" s="399" t="s">
        <v>1239</v>
      </c>
      <c r="G410" s="399" t="s">
        <v>1239</v>
      </c>
      <c r="H410" s="399" t="s">
        <v>1239</v>
      </c>
      <c r="I410" s="399" t="s">
        <v>1239</v>
      </c>
      <c r="J410" s="399" t="s">
        <v>2329</v>
      </c>
      <c r="K410" s="789">
        <v>44682</v>
      </c>
      <c r="L410" s="399">
        <v>0</v>
      </c>
      <c r="M410" s="399">
        <v>0</v>
      </c>
      <c r="N410" s="399">
        <v>1.002</v>
      </c>
      <c r="O410" s="399">
        <v>1.002</v>
      </c>
      <c r="P410" s="399">
        <v>1.002</v>
      </c>
      <c r="Q410" s="399">
        <v>1.002</v>
      </c>
      <c r="R410" s="399"/>
      <c r="S410" s="399">
        <v>333.61</v>
      </c>
      <c r="T410" s="399">
        <v>128.11000000000001</v>
      </c>
      <c r="U410" s="399"/>
      <c r="V410" s="399">
        <v>462.64344000000006</v>
      </c>
      <c r="W410" s="399">
        <v>462.64344000000006</v>
      </c>
      <c r="X410" s="399">
        <v>403.83605999999997</v>
      </c>
      <c r="Y410" s="399">
        <v>0</v>
      </c>
      <c r="Z410" s="399">
        <v>61.338482549278567</v>
      </c>
      <c r="AA410" s="399">
        <v>0</v>
      </c>
      <c r="AB410" s="399">
        <v>0</v>
      </c>
      <c r="AC410" s="399">
        <v>0</v>
      </c>
      <c r="AD410" s="399">
        <v>0</v>
      </c>
      <c r="AE410" s="399">
        <v>194.88519066084964</v>
      </c>
      <c r="AF410" s="399">
        <v>128.36726851803337</v>
      </c>
      <c r="AG410" s="399">
        <v>0</v>
      </c>
      <c r="AH410" s="399">
        <v>0</v>
      </c>
      <c r="AI410" s="399">
        <v>0</v>
      </c>
      <c r="AJ410" s="399">
        <v>0</v>
      </c>
      <c r="AK410" s="399">
        <v>0</v>
      </c>
      <c r="AL410" s="399">
        <v>9.4727581139778732</v>
      </c>
      <c r="AM410" s="399"/>
      <c r="AN410" s="399">
        <v>0.86210868207688174</v>
      </c>
      <c r="AO410" s="399">
        <v>3.4829722087534836</v>
      </c>
      <c r="AP410" s="399">
        <v>18.579720852935946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13.595507578640634</v>
      </c>
      <c r="BH410" s="399">
        <v>0</v>
      </c>
      <c r="BI410" s="399">
        <v>0</v>
      </c>
      <c r="BJ410" s="399">
        <v>0</v>
      </c>
      <c r="BK410" s="399">
        <v>137.01</v>
      </c>
      <c r="BL410" s="399">
        <v>2</v>
      </c>
      <c r="BM410" s="399"/>
      <c r="BN410" s="399"/>
      <c r="BO410" s="399"/>
      <c r="BP410" s="399"/>
      <c r="BQ410" s="399"/>
      <c r="BR410" s="399"/>
      <c r="BS410" s="399"/>
      <c r="BT410" s="399"/>
      <c r="BU410" s="399"/>
      <c r="BV410" s="399">
        <v>141.96277609667399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403.03</v>
      </c>
      <c r="CJ410" s="399">
        <v>-59.643440000000055</v>
      </c>
      <c r="CK410" s="399"/>
      <c r="CL410" s="399"/>
      <c r="CM410" s="399"/>
      <c r="CN410" s="399"/>
      <c r="CO410" s="399">
        <v>-64.679100000000005</v>
      </c>
      <c r="CP410" s="399">
        <v>5.8717199999999856</v>
      </c>
      <c r="CQ410" s="399">
        <v>31</v>
      </c>
      <c r="CR410" s="399">
        <v>1.4439991289673912</v>
      </c>
      <c r="CS410" s="399">
        <v>0.25424237807059802</v>
      </c>
      <c r="CT410" s="399">
        <v>1.3562417758220171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0</v>
      </c>
      <c r="DA410" s="399">
        <v>0</v>
      </c>
      <c r="DB410" s="399">
        <v>0</v>
      </c>
      <c r="DC410" s="399">
        <v>5.8711531260601078</v>
      </c>
      <c r="DD410" s="399">
        <v>0</v>
      </c>
      <c r="DE410" s="399">
        <v>0</v>
      </c>
      <c r="DF410" s="399">
        <v>0</v>
      </c>
      <c r="DG410" s="399">
        <v>0.62181978118106684</v>
      </c>
      <c r="DH410" s="399">
        <v>0</v>
      </c>
      <c r="DI410" s="399">
        <v>-5.8020795995746468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-0.75636734682399087</v>
      </c>
      <c r="DP410" s="399">
        <v>-0.10101098576775647</v>
      </c>
      <c r="DQ410" s="399">
        <v>0</v>
      </c>
      <c r="DR410" s="399">
        <v>0</v>
      </c>
      <c r="DS410" s="399"/>
      <c r="DT410" s="399"/>
      <c r="DU410" s="399"/>
      <c r="DV410" s="399">
        <v>194.88519066084964</v>
      </c>
      <c r="DW410" s="399">
        <v>0</v>
      </c>
      <c r="DX410" s="399">
        <v>0</v>
      </c>
      <c r="DY410" s="399">
        <v>-64.679100000000005</v>
      </c>
      <c r="DZ410" s="399">
        <v>5.8717199999999821</v>
      </c>
      <c r="EA410" s="399">
        <v>0</v>
      </c>
      <c r="EB410" s="399">
        <v>0</v>
      </c>
      <c r="EC410" s="399">
        <v>-60.258681204195824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32.062511877432875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230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409</v>
      </c>
      <c r="B411" s="399" t="s">
        <v>2331</v>
      </c>
      <c r="C411" s="399" t="s">
        <v>2328</v>
      </c>
      <c r="D411" s="399" t="s">
        <v>1826</v>
      </c>
      <c r="E411" s="399" t="s">
        <v>2346</v>
      </c>
      <c r="F411" s="399" t="s">
        <v>1239</v>
      </c>
      <c r="G411" s="399" t="s">
        <v>1239</v>
      </c>
      <c r="H411" s="399" t="s">
        <v>1239</v>
      </c>
      <c r="I411" s="399" t="s">
        <v>1239</v>
      </c>
      <c r="J411" s="399" t="s">
        <v>2329</v>
      </c>
      <c r="K411" s="789">
        <v>44682</v>
      </c>
      <c r="L411" s="399">
        <v>0</v>
      </c>
      <c r="M411" s="399">
        <v>0</v>
      </c>
      <c r="N411" s="399">
        <v>0.03</v>
      </c>
      <c r="O411" s="399">
        <v>0.03</v>
      </c>
      <c r="P411" s="399">
        <v>0.03</v>
      </c>
      <c r="Q411" s="399">
        <v>0.03</v>
      </c>
      <c r="R411" s="399"/>
      <c r="S411" s="399">
        <v>333.61</v>
      </c>
      <c r="T411" s="399">
        <v>128.11000000000001</v>
      </c>
      <c r="U411" s="399"/>
      <c r="V411" s="399">
        <v>13.851600000000001</v>
      </c>
      <c r="W411" s="399">
        <v>13.851600000000001</v>
      </c>
      <c r="X411" s="399">
        <v>12.0909</v>
      </c>
      <c r="Y411" s="399">
        <v>0</v>
      </c>
      <c r="Z411" s="399">
        <v>1.8364815134514538</v>
      </c>
      <c r="AA411" s="399">
        <v>0</v>
      </c>
      <c r="AB411" s="399">
        <v>0</v>
      </c>
      <c r="AC411" s="399">
        <v>0</v>
      </c>
      <c r="AD411" s="399">
        <v>0</v>
      </c>
      <c r="AE411" s="399">
        <v>5.8348859479296298</v>
      </c>
      <c r="AF411" s="399">
        <v>3.8433313927554895</v>
      </c>
      <c r="AG411" s="399">
        <v>0</v>
      </c>
      <c r="AH411" s="399">
        <v>0</v>
      </c>
      <c r="AI411" s="399">
        <v>0</v>
      </c>
      <c r="AJ411" s="399">
        <v>0</v>
      </c>
      <c r="AK411" s="399">
        <v>0</v>
      </c>
      <c r="AL411" s="399">
        <v>0.28361551239454713</v>
      </c>
      <c r="AM411" s="399"/>
      <c r="AN411" s="399">
        <v>2.581163718793059E-2</v>
      </c>
      <c r="AO411" s="399">
        <v>0.1042806050524995</v>
      </c>
      <c r="AP411" s="399">
        <v>0.55627906745317202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0.40705112510900099</v>
      </c>
      <c r="BH411" s="399">
        <v>0</v>
      </c>
      <c r="BI411" s="399">
        <v>0</v>
      </c>
      <c r="BJ411" s="399">
        <v>0</v>
      </c>
      <c r="BK411" s="399">
        <v>4.03</v>
      </c>
      <c r="BL411" s="399">
        <v>1</v>
      </c>
      <c r="BM411" s="399"/>
      <c r="BN411" s="399"/>
      <c r="BO411" s="399"/>
      <c r="BP411" s="399"/>
      <c r="BQ411" s="399"/>
      <c r="BR411" s="399"/>
      <c r="BS411" s="399"/>
      <c r="BT411" s="399"/>
      <c r="BU411" s="399"/>
      <c r="BV411" s="399">
        <v>4.2503825178644909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12.0909</v>
      </c>
      <c r="CJ411" s="399">
        <v>-1.7907000000000011</v>
      </c>
      <c r="CK411" s="399"/>
      <c r="CL411" s="399"/>
      <c r="CM411" s="399"/>
      <c r="CN411" s="399"/>
      <c r="CO411" s="399">
        <v>-1.9365000000000003</v>
      </c>
      <c r="CP411" s="399">
        <v>0.17579999999999954</v>
      </c>
      <c r="CQ411" s="399">
        <v>31</v>
      </c>
      <c r="CR411" s="399">
        <v>4.3233506855312243E-2</v>
      </c>
      <c r="CS411" s="399">
        <v>7.6120472476226969E-3</v>
      </c>
      <c r="CT411" s="399">
        <v>4.0606041192275955E-2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0</v>
      </c>
      <c r="DA411" s="399">
        <v>0</v>
      </c>
      <c r="DB411" s="399">
        <v>0</v>
      </c>
      <c r="DC411" s="399">
        <v>0.17578302772635102</v>
      </c>
      <c r="DD411" s="399">
        <v>0</v>
      </c>
      <c r="DE411" s="399">
        <v>0</v>
      </c>
      <c r="DF411" s="399">
        <v>0</v>
      </c>
      <c r="DG411" s="399">
        <v>1.8617358717996024E-2</v>
      </c>
      <c r="DH411" s="399">
        <v>0</v>
      </c>
      <c r="DI411" s="399">
        <v>-0.17371495807109683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-2.2645728946826149E-2</v>
      </c>
      <c r="DP411" s="399">
        <v>-3.0242810110106717E-3</v>
      </c>
      <c r="DQ411" s="399">
        <v>0</v>
      </c>
      <c r="DR411" s="399">
        <v>0</v>
      </c>
      <c r="DS411" s="399"/>
      <c r="DT411" s="399"/>
      <c r="DU411" s="399"/>
      <c r="DV411" s="399">
        <v>5.8348859479296298</v>
      </c>
      <c r="DW411" s="399">
        <v>0</v>
      </c>
      <c r="DX411" s="399">
        <v>0</v>
      </c>
      <c r="DY411" s="399">
        <v>-1.9365000000000006</v>
      </c>
      <c r="DZ411" s="399">
        <v>0.17579999999999973</v>
      </c>
      <c r="EA411" s="399">
        <v>0</v>
      </c>
      <c r="EB411" s="399">
        <v>0</v>
      </c>
      <c r="EC411" s="399">
        <v>-1.8041521318621498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0.95995544543212197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230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410</v>
      </c>
      <c r="B412" s="399" t="s">
        <v>956</v>
      </c>
      <c r="C412" s="399" t="s">
        <v>2337</v>
      </c>
      <c r="D412" s="399" t="s">
        <v>533</v>
      </c>
      <c r="E412" s="399" t="s">
        <v>2346</v>
      </c>
      <c r="F412" s="399" t="s">
        <v>1239</v>
      </c>
      <c r="G412" s="399" t="s">
        <v>1239</v>
      </c>
      <c r="H412" s="399" t="s">
        <v>1239</v>
      </c>
      <c r="I412" s="399" t="s">
        <v>893</v>
      </c>
      <c r="J412" s="399" t="s">
        <v>2329</v>
      </c>
      <c r="K412" s="789">
        <v>44682</v>
      </c>
      <c r="L412" s="399">
        <v>0</v>
      </c>
      <c r="M412" s="399">
        <v>0</v>
      </c>
      <c r="N412" s="399">
        <v>1.0860000000000001</v>
      </c>
      <c r="O412" s="399">
        <v>1.0860000000000001</v>
      </c>
      <c r="P412" s="399">
        <v>1.0860000000000001</v>
      </c>
      <c r="Q412" s="399">
        <v>1.0860000000000001</v>
      </c>
      <c r="R412" s="399"/>
      <c r="S412" s="399">
        <v>1351.49</v>
      </c>
      <c r="T412" s="399">
        <v>128.11000000000001</v>
      </c>
      <c r="U412" s="399"/>
      <c r="V412" s="399">
        <v>1606.8456000000001</v>
      </c>
      <c r="W412" s="399">
        <v>1606.8456000000001</v>
      </c>
      <c r="X412" s="399">
        <v>1240.1142600000003</v>
      </c>
      <c r="Y412" s="399">
        <v>0</v>
      </c>
      <c r="Z412" s="399">
        <v>57.838148784640133</v>
      </c>
      <c r="AA412" s="399">
        <v>0</v>
      </c>
      <c r="AB412" s="399">
        <v>0</v>
      </c>
      <c r="AC412" s="399">
        <v>0</v>
      </c>
      <c r="AD412" s="399">
        <v>0</v>
      </c>
      <c r="AE412" s="399">
        <v>1220.6038692026864</v>
      </c>
      <c r="AF412" s="399">
        <v>139.12859641774872</v>
      </c>
      <c r="AG412" s="399">
        <v>0</v>
      </c>
      <c r="AH412" s="399">
        <v>0</v>
      </c>
      <c r="AI412" s="399">
        <v>0</v>
      </c>
      <c r="AJ412" s="399">
        <v>0</v>
      </c>
      <c r="AK412" s="399">
        <v>0</v>
      </c>
      <c r="AL412" s="399">
        <v>10.266881548682607</v>
      </c>
      <c r="AM412" s="399"/>
      <c r="AN412" s="399">
        <v>0.5338783088236575</v>
      </c>
      <c r="AO412" s="399">
        <v>22.558966616390464</v>
      </c>
      <c r="AP412" s="399">
        <v>119.99439617037245</v>
      </c>
      <c r="AQ412" s="399">
        <v>0</v>
      </c>
      <c r="AR412" s="399">
        <v>0</v>
      </c>
      <c r="AS412" s="399">
        <v>0</v>
      </c>
      <c r="AT412" s="399">
        <v>0</v>
      </c>
      <c r="AU412" s="399">
        <v>0</v>
      </c>
      <c r="AV412" s="399">
        <v>0</v>
      </c>
      <c r="AW412" s="399">
        <v>0</v>
      </c>
      <c r="AX412" s="399">
        <v>0</v>
      </c>
      <c r="AY412" s="399">
        <v>0</v>
      </c>
      <c r="AZ412" s="399">
        <v>0</v>
      </c>
      <c r="BA412" s="399"/>
      <c r="BB412" s="399">
        <v>0</v>
      </c>
      <c r="BC412" s="399">
        <v>0</v>
      </c>
      <c r="BD412" s="399">
        <v>0</v>
      </c>
      <c r="BE412" s="399">
        <v>0</v>
      </c>
      <c r="BF412" s="399">
        <v>0</v>
      </c>
      <c r="BG412" s="399">
        <v>5.6891362312389022</v>
      </c>
      <c r="BH412" s="399">
        <v>0</v>
      </c>
      <c r="BI412" s="399">
        <v>0</v>
      </c>
      <c r="BJ412" s="399">
        <v>0</v>
      </c>
      <c r="BK412" s="399">
        <v>0</v>
      </c>
      <c r="BL412" s="399">
        <v>0</v>
      </c>
      <c r="BM412" s="399"/>
      <c r="BN412" s="399"/>
      <c r="BO412" s="399"/>
      <c r="BP412" s="399"/>
      <c r="BQ412" s="399"/>
      <c r="BR412" s="399"/>
      <c r="BS412" s="399"/>
      <c r="BT412" s="399"/>
      <c r="BU412" s="399"/>
      <c r="BV412" s="399">
        <v>144.81773264898763</v>
      </c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>
        <v>1244.6819</v>
      </c>
      <c r="CJ412" s="399">
        <v>-362.19370000000004</v>
      </c>
      <c r="CK412" s="399"/>
      <c r="CL412" s="399"/>
      <c r="CM412" s="399"/>
      <c r="CN412" s="399"/>
      <c r="CO412" s="399">
        <v>-373.09529999999995</v>
      </c>
      <c r="CP412" s="399">
        <v>6.3639599999999845</v>
      </c>
      <c r="CQ412" s="399">
        <v>31</v>
      </c>
      <c r="CR412" s="399">
        <v>10.676041308877188</v>
      </c>
      <c r="CS412" s="399">
        <v>1.6467100440686124</v>
      </c>
      <c r="CT412" s="399">
        <v>8.7590881606314497</v>
      </c>
      <c r="CU412" s="399">
        <v>0</v>
      </c>
      <c r="CV412" s="399">
        <v>0</v>
      </c>
      <c r="CW412" s="399">
        <v>0</v>
      </c>
      <c r="CX412" s="399">
        <v>0</v>
      </c>
      <c r="CY412" s="399">
        <v>0</v>
      </c>
      <c r="CZ412" s="399">
        <v>0</v>
      </c>
      <c r="DA412" s="399">
        <v>0</v>
      </c>
      <c r="DB412" s="399">
        <v>0</v>
      </c>
      <c r="DC412" s="399">
        <v>6.3633456036939151</v>
      </c>
      <c r="DD412" s="399">
        <v>0</v>
      </c>
      <c r="DE412" s="399">
        <v>0</v>
      </c>
      <c r="DF412" s="399">
        <v>0</v>
      </c>
      <c r="DG412" s="399">
        <v>0.26020488208740655</v>
      </c>
      <c r="DH412" s="399">
        <v>0</v>
      </c>
      <c r="DI412" s="399">
        <v>-5.4709788894912208</v>
      </c>
      <c r="DJ412" s="399"/>
      <c r="DK412" s="399">
        <v>0</v>
      </c>
      <c r="DL412" s="399">
        <v>0</v>
      </c>
      <c r="DM412" s="399">
        <v>0</v>
      </c>
      <c r="DN412" s="399">
        <v>0</v>
      </c>
      <c r="DO412" s="399">
        <v>-0.81977538787510618</v>
      </c>
      <c r="DP412" s="399">
        <v>-6.2553104237837553E-2</v>
      </c>
      <c r="DQ412" s="399">
        <v>0</v>
      </c>
      <c r="DR412" s="399">
        <v>0</v>
      </c>
      <c r="DS412" s="399"/>
      <c r="DT412" s="399"/>
      <c r="DU412" s="399"/>
      <c r="DV412" s="399">
        <v>1220.6038692026864</v>
      </c>
      <c r="DW412" s="399">
        <v>0</v>
      </c>
      <c r="DX412" s="399">
        <v>0</v>
      </c>
      <c r="DY412" s="399">
        <v>-373.09529999999995</v>
      </c>
      <c r="DZ412" s="399">
        <v>6.3639599999999916</v>
      </c>
      <c r="EA412" s="399">
        <v>0</v>
      </c>
      <c r="EB412" s="399">
        <v>0</v>
      </c>
      <c r="EC412" s="399">
        <v>-377.41184530994724</v>
      </c>
      <c r="ED412" s="399">
        <v>0</v>
      </c>
      <c r="EE412" s="399">
        <v>0</v>
      </c>
      <c r="EF412" s="399">
        <v>0</v>
      </c>
      <c r="EG412" s="399">
        <v>0</v>
      </c>
      <c r="EH412" s="399">
        <v>0</v>
      </c>
      <c r="EI412" s="399">
        <v>0</v>
      </c>
      <c r="EJ412" s="399">
        <v>0</v>
      </c>
      <c r="EK412" s="399">
        <v>0</v>
      </c>
      <c r="EL412" s="399">
        <v>0</v>
      </c>
      <c r="EM412" s="399">
        <v>0</v>
      </c>
      <c r="EN412" s="399">
        <v>0</v>
      </c>
      <c r="EO412" s="399">
        <v>0</v>
      </c>
      <c r="EP412" s="399">
        <v>30.232836798439212</v>
      </c>
      <c r="EQ412" s="399">
        <v>0</v>
      </c>
      <c r="ER412" s="399">
        <v>0</v>
      </c>
      <c r="ES412" s="399">
        <v>0</v>
      </c>
      <c r="ET412" s="399">
        <v>0</v>
      </c>
      <c r="EU412" s="399">
        <v>0</v>
      </c>
      <c r="EV412" s="399">
        <v>230</v>
      </c>
      <c r="EW412" s="399">
        <v>0</v>
      </c>
      <c r="EX412" s="399">
        <v>0</v>
      </c>
      <c r="EY412" s="399">
        <v>0</v>
      </c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411</v>
      </c>
      <c r="B413" s="399" t="s">
        <v>956</v>
      </c>
      <c r="C413" s="399" t="s">
        <v>2337</v>
      </c>
      <c r="D413" s="399" t="s">
        <v>533</v>
      </c>
      <c r="E413" s="399" t="s">
        <v>2346</v>
      </c>
      <c r="F413" s="399" t="s">
        <v>1239</v>
      </c>
      <c r="G413" s="399" t="s">
        <v>1239</v>
      </c>
      <c r="H413" s="399" t="s">
        <v>1239</v>
      </c>
      <c r="I413" s="399" t="s">
        <v>2326</v>
      </c>
      <c r="J413" s="399" t="s">
        <v>2329</v>
      </c>
      <c r="K413" s="789">
        <v>44682</v>
      </c>
      <c r="L413" s="399">
        <v>0</v>
      </c>
      <c r="M413" s="399">
        <v>0</v>
      </c>
      <c r="N413" s="399">
        <v>11.667999999999999</v>
      </c>
      <c r="O413" s="399">
        <v>11.667999999999999</v>
      </c>
      <c r="P413" s="399">
        <v>11.667999999999999</v>
      </c>
      <c r="Q413" s="399">
        <v>11.667999999999999</v>
      </c>
      <c r="R413" s="399"/>
      <c r="S413" s="399">
        <v>96.28</v>
      </c>
      <c r="T413" s="399">
        <v>128.11000000000001</v>
      </c>
      <c r="U413" s="399"/>
      <c r="V413" s="399">
        <v>2618.1825199999998</v>
      </c>
      <c r="W413" s="399">
        <v>2618.1825199999998</v>
      </c>
      <c r="X413" s="399">
        <v>2621.0995199999998</v>
      </c>
      <c r="Y413" s="399">
        <v>0</v>
      </c>
      <c r="Z413" s="399">
        <v>621.41392266959576</v>
      </c>
      <c r="AA413" s="399">
        <v>0</v>
      </c>
      <c r="AB413" s="399">
        <v>0</v>
      </c>
      <c r="AC413" s="399">
        <v>0</v>
      </c>
      <c r="AD413" s="399">
        <v>0</v>
      </c>
      <c r="AE413" s="399">
        <v>0</v>
      </c>
      <c r="AF413" s="399">
        <v>1494.7996896890349</v>
      </c>
      <c r="AG413" s="399">
        <v>0</v>
      </c>
      <c r="AH413" s="399">
        <v>0</v>
      </c>
      <c r="AI413" s="399">
        <v>0</v>
      </c>
      <c r="AJ413" s="399">
        <v>0</v>
      </c>
      <c r="AK413" s="399">
        <v>0</v>
      </c>
      <c r="AL413" s="399">
        <v>110.30752662065252</v>
      </c>
      <c r="AM413" s="399"/>
      <c r="AN413" s="399">
        <v>5.7359964156118188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61.124163486275791</v>
      </c>
      <c r="BH413" s="399">
        <v>0</v>
      </c>
      <c r="BI413" s="399">
        <v>0</v>
      </c>
      <c r="BJ413" s="399">
        <v>0</v>
      </c>
      <c r="BK413" s="399">
        <v>0</v>
      </c>
      <c r="BL413" s="399">
        <v>0</v>
      </c>
      <c r="BM413" s="399"/>
      <c r="BN413" s="399"/>
      <c r="BO413" s="399"/>
      <c r="BP413" s="399"/>
      <c r="BQ413" s="399"/>
      <c r="BR413" s="399"/>
      <c r="BS413" s="399"/>
      <c r="BT413" s="399"/>
      <c r="BU413" s="399"/>
      <c r="BV413" s="399">
        <v>1555.9238531753108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2621.5488</v>
      </c>
      <c r="CJ413" s="399">
        <v>3.3362799999999879</v>
      </c>
      <c r="CK413" s="399"/>
      <c r="CL413" s="399"/>
      <c r="CM413" s="399"/>
      <c r="CN413" s="399"/>
      <c r="CO413" s="399">
        <v>-65.45747999999999</v>
      </c>
      <c r="CP413" s="399">
        <v>68.374479999999821</v>
      </c>
      <c r="CQ413" s="399">
        <v>31</v>
      </c>
      <c r="CR413" s="399">
        <v>2.9034958927613843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0</v>
      </c>
      <c r="DA413" s="399">
        <v>0</v>
      </c>
      <c r="DB413" s="399">
        <v>0</v>
      </c>
      <c r="DC413" s="399">
        <v>68.367878917035341</v>
      </c>
      <c r="DD413" s="399">
        <v>0</v>
      </c>
      <c r="DE413" s="399">
        <v>0</v>
      </c>
      <c r="DF413" s="399">
        <v>0</v>
      </c>
      <c r="DG413" s="399">
        <v>2.7956450867365135</v>
      </c>
      <c r="DH413" s="399">
        <v>0</v>
      </c>
      <c r="DI413" s="399">
        <v>-58.780277792434276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-8.8076788450522372</v>
      </c>
      <c r="DP413" s="399">
        <v>-0.67207147352402252</v>
      </c>
      <c r="DQ413" s="399">
        <v>0</v>
      </c>
      <c r="DR413" s="399">
        <v>0</v>
      </c>
      <c r="DS413" s="399"/>
      <c r="DT413" s="399"/>
      <c r="DU413" s="399"/>
      <c r="DV413" s="399">
        <v>0</v>
      </c>
      <c r="DW413" s="399">
        <v>0</v>
      </c>
      <c r="DX413" s="399">
        <v>0</v>
      </c>
      <c r="DY413" s="399">
        <v>-65.457480000000032</v>
      </c>
      <c r="DZ413" s="399">
        <v>68.374479999999949</v>
      </c>
      <c r="EA413" s="399">
        <v>0</v>
      </c>
      <c r="EB413" s="399">
        <v>0</v>
      </c>
      <c r="EC413" s="399">
        <v>0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324.82204398175753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230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412</v>
      </c>
      <c r="B414" s="399" t="s">
        <v>956</v>
      </c>
      <c r="C414" s="399" t="s">
        <v>2337</v>
      </c>
      <c r="D414" s="399" t="s">
        <v>533</v>
      </c>
      <c r="E414" s="399" t="s">
        <v>2346</v>
      </c>
      <c r="F414" s="399" t="s">
        <v>1239</v>
      </c>
      <c r="G414" s="399" t="s">
        <v>1239</v>
      </c>
      <c r="H414" s="399" t="s">
        <v>1239</v>
      </c>
      <c r="I414" s="399" t="s">
        <v>1239</v>
      </c>
      <c r="J414" s="399" t="s">
        <v>2329</v>
      </c>
      <c r="K414" s="789">
        <v>44682</v>
      </c>
      <c r="L414" s="399">
        <v>95</v>
      </c>
      <c r="M414" s="399">
        <v>95</v>
      </c>
      <c r="N414" s="399">
        <v>0</v>
      </c>
      <c r="O414" s="399">
        <v>0</v>
      </c>
      <c r="P414" s="399">
        <v>0</v>
      </c>
      <c r="Q414" s="399">
        <v>0</v>
      </c>
      <c r="R414" s="399">
        <v>18.12</v>
      </c>
      <c r="S414" s="399"/>
      <c r="T414" s="399"/>
      <c r="U414" s="399">
        <v>1721.4</v>
      </c>
      <c r="V414" s="399"/>
      <c r="W414" s="399">
        <v>1721.4</v>
      </c>
      <c r="X414" s="399">
        <v>1372.75</v>
      </c>
      <c r="Y414" s="399">
        <v>0</v>
      </c>
      <c r="Z414" s="399">
        <v>0</v>
      </c>
      <c r="AA414" s="399">
        <v>0</v>
      </c>
      <c r="AB414" s="399">
        <v>0</v>
      </c>
      <c r="AC414" s="399">
        <v>0</v>
      </c>
      <c r="AD414" s="399">
        <v>0</v>
      </c>
      <c r="AE414" s="399">
        <v>1240.5991402087554</v>
      </c>
      <c r="AF414" s="399"/>
      <c r="AG414" s="399"/>
      <c r="AH414" s="399"/>
      <c r="AI414" s="399">
        <v>0</v>
      </c>
      <c r="AJ414" s="399">
        <v>0</v>
      </c>
      <c r="AK414" s="399">
        <v>0</v>
      </c>
      <c r="AL414" s="399">
        <v>0</v>
      </c>
      <c r="AM414" s="399"/>
      <c r="AN414" s="399">
        <v>0</v>
      </c>
      <c r="AO414" s="399">
        <v>75.512689137147717</v>
      </c>
      <c r="AP414" s="399">
        <v>404.82549878573383</v>
      </c>
      <c r="AQ414" s="399">
        <v>0</v>
      </c>
      <c r="AR414" s="399">
        <v>0</v>
      </c>
      <c r="AS414" s="399"/>
      <c r="AT414" s="399"/>
      <c r="AU414" s="399">
        <v>0</v>
      </c>
      <c r="AV414" s="399">
        <v>0</v>
      </c>
      <c r="AW414" s="399">
        <v>0</v>
      </c>
      <c r="AX414" s="399"/>
      <c r="AY414" s="399"/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/>
      <c r="BG414" s="399">
        <v>0</v>
      </c>
      <c r="BH414" s="399">
        <v>0</v>
      </c>
      <c r="BI414" s="399">
        <v>0</v>
      </c>
      <c r="BJ414" s="399">
        <v>0</v>
      </c>
      <c r="BK414" s="399">
        <v>1479.73</v>
      </c>
      <c r="BL414" s="399">
        <v>1</v>
      </c>
      <c r="BM414" s="399"/>
      <c r="BN414" s="399"/>
      <c r="BO414" s="399"/>
      <c r="BP414" s="399"/>
      <c r="BQ414" s="399"/>
      <c r="BR414" s="399"/>
      <c r="BS414" s="399"/>
      <c r="BT414" s="399"/>
      <c r="BU414" s="399"/>
      <c r="BV414" s="399">
        <v>0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1372.75</v>
      </c>
      <c r="CJ414" s="399">
        <v>-348.68000000000006</v>
      </c>
      <c r="CK414" s="399"/>
      <c r="CL414" s="399"/>
      <c r="CM414" s="399"/>
      <c r="CN414" s="399"/>
      <c r="CO414" s="399">
        <v>-348.65000000000015</v>
      </c>
      <c r="CP414" s="399">
        <v>0</v>
      </c>
      <c r="CQ414" s="399">
        <v>31</v>
      </c>
      <c r="CR414" s="399">
        <v>35.062675168269209</v>
      </c>
      <c r="CS414" s="399">
        <v>5.5121099193624161</v>
      </c>
      <c r="CT414" s="399">
        <v>29.550565248906821</v>
      </c>
      <c r="CU414" s="399">
        <v>0</v>
      </c>
      <c r="CV414" s="399">
        <v>0</v>
      </c>
      <c r="CW414" s="399"/>
      <c r="CX414" s="399"/>
      <c r="CY414" s="399"/>
      <c r="CZ414" s="399">
        <v>0</v>
      </c>
      <c r="DA414" s="399">
        <v>0</v>
      </c>
      <c r="DB414" s="399">
        <v>0</v>
      </c>
      <c r="DC414" s="399"/>
      <c r="DD414" s="399"/>
      <c r="DE414" s="399">
        <v>0</v>
      </c>
      <c r="DF414" s="399">
        <v>0</v>
      </c>
      <c r="DG414" s="399">
        <v>0</v>
      </c>
      <c r="DH414" s="399">
        <v>0</v>
      </c>
      <c r="DI414" s="399">
        <v>0</v>
      </c>
      <c r="DJ414" s="399"/>
      <c r="DK414" s="399">
        <v>0</v>
      </c>
      <c r="DL414" s="399">
        <v>0</v>
      </c>
      <c r="DM414" s="399"/>
      <c r="DN414" s="399">
        <v>0</v>
      </c>
      <c r="DO414" s="399">
        <v>0</v>
      </c>
      <c r="DP414" s="399">
        <v>0</v>
      </c>
      <c r="DQ414" s="399">
        <v>0</v>
      </c>
      <c r="DR414" s="399">
        <v>0</v>
      </c>
      <c r="DS414" s="399"/>
      <c r="DT414" s="399"/>
      <c r="DU414" s="399">
        <v>1240.5991402087554</v>
      </c>
      <c r="DV414" s="399"/>
      <c r="DW414" s="399">
        <v>0</v>
      </c>
      <c r="DX414" s="399">
        <v>0</v>
      </c>
      <c r="DY414" s="399">
        <v>-348.65000000000009</v>
      </c>
      <c r="DZ414" s="399"/>
      <c r="EA414" s="399">
        <v>0</v>
      </c>
      <c r="EB414" s="399"/>
      <c r="EC414" s="399">
        <v>-383.59440159891403</v>
      </c>
      <c r="ED414" s="399"/>
      <c r="EE414" s="399">
        <v>0</v>
      </c>
      <c r="EF414" s="399">
        <v>0</v>
      </c>
      <c r="EG414" s="399"/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/>
      <c r="EN414" s="399"/>
      <c r="EO414" s="399">
        <v>0</v>
      </c>
      <c r="EP414" s="399">
        <v>0</v>
      </c>
      <c r="EQ414" s="399"/>
      <c r="ER414" s="399">
        <v>0</v>
      </c>
      <c r="ES414" s="399"/>
      <c r="ET414" s="399">
        <v>0</v>
      </c>
      <c r="EU414" s="399"/>
      <c r="EV414" s="399">
        <v>230</v>
      </c>
      <c r="EW414" s="399"/>
      <c r="EX414" s="399"/>
      <c r="EY414" s="399"/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413</v>
      </c>
      <c r="B415" s="399" t="s">
        <v>956</v>
      </c>
      <c r="C415" s="399" t="s">
        <v>2328</v>
      </c>
      <c r="D415" s="399" t="s">
        <v>2340</v>
      </c>
      <c r="E415" s="399" t="s">
        <v>894</v>
      </c>
      <c r="F415" s="399" t="s">
        <v>2347</v>
      </c>
      <c r="G415" s="399" t="s">
        <v>2348</v>
      </c>
      <c r="H415" s="399" t="s">
        <v>1239</v>
      </c>
      <c r="I415" s="399" t="s">
        <v>1239</v>
      </c>
      <c r="J415" s="399" t="s">
        <v>2329</v>
      </c>
      <c r="K415" s="789">
        <v>44682</v>
      </c>
      <c r="L415" s="399">
        <v>0</v>
      </c>
      <c r="M415" s="399">
        <v>0</v>
      </c>
      <c r="N415" s="399">
        <v>0</v>
      </c>
      <c r="O415" s="399">
        <v>0</v>
      </c>
      <c r="P415" s="399">
        <v>0</v>
      </c>
      <c r="Q415" s="399">
        <v>0</v>
      </c>
      <c r="R415" s="399"/>
      <c r="S415" s="399"/>
      <c r="T415" s="399"/>
      <c r="U415" s="399"/>
      <c r="V415" s="399"/>
      <c r="W415" s="399"/>
      <c r="X415" s="399"/>
      <c r="Y415" s="399"/>
      <c r="Z415" s="399"/>
      <c r="AA415" s="399">
        <v>0</v>
      </c>
      <c r="AB415" s="399"/>
      <c r="AC415" s="399"/>
      <c r="AD415" s="399"/>
      <c r="AE415" s="399"/>
      <c r="AF415" s="399"/>
      <c r="AG415" s="399"/>
      <c r="AH415" s="399"/>
      <c r="AI415" s="399"/>
      <c r="AJ415" s="399"/>
      <c r="AK415" s="399"/>
      <c r="AL415" s="399"/>
      <c r="AM415" s="399"/>
      <c r="AN415" s="399"/>
      <c r="AO415" s="399"/>
      <c r="AP415" s="399"/>
      <c r="AQ415" s="399"/>
      <c r="AR415" s="399"/>
      <c r="AS415" s="399"/>
      <c r="AT415" s="399"/>
      <c r="AU415" s="399"/>
      <c r="AV415" s="399"/>
      <c r="AW415" s="399"/>
      <c r="AX415" s="399"/>
      <c r="AY415" s="399"/>
      <c r="AZ415" s="399">
        <v>0</v>
      </c>
      <c r="BA415" s="399"/>
      <c r="BB415" s="399"/>
      <c r="BC415" s="399"/>
      <c r="BD415" s="399"/>
      <c r="BE415" s="399"/>
      <c r="BF415" s="399"/>
      <c r="BG415" s="399"/>
      <c r="BH415" s="399"/>
      <c r="BI415" s="399">
        <v>0</v>
      </c>
      <c r="BJ415" s="399">
        <v>0</v>
      </c>
      <c r="BK415" s="399">
        <v>593.34</v>
      </c>
      <c r="BL415" s="399">
        <v>94</v>
      </c>
      <c r="BM415" s="399"/>
      <c r="BN415" s="399"/>
      <c r="BO415" s="399"/>
      <c r="BP415" s="399"/>
      <c r="BQ415" s="399"/>
      <c r="BR415" s="399"/>
      <c r="BS415" s="399"/>
      <c r="BT415" s="399"/>
      <c r="BU415" s="399"/>
      <c r="BV415" s="399"/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/>
      <c r="CJ415" s="399">
        <v>-0.03</v>
      </c>
      <c r="CK415" s="399"/>
      <c r="CL415" s="399"/>
      <c r="CM415" s="399"/>
      <c r="CN415" s="399"/>
      <c r="CO415" s="399">
        <v>0</v>
      </c>
      <c r="CP415" s="399">
        <v>0</v>
      </c>
      <c r="CQ415" s="399">
        <v>31</v>
      </c>
      <c r="CR415" s="399"/>
      <c r="CS415" s="399"/>
      <c r="CT415" s="399"/>
      <c r="CU415" s="399"/>
      <c r="CV415" s="399"/>
      <c r="CW415" s="399"/>
      <c r="CX415" s="399"/>
      <c r="CY415" s="399"/>
      <c r="CZ415" s="399"/>
      <c r="DA415" s="399"/>
      <c r="DB415" s="399"/>
      <c r="DC415" s="399"/>
      <c r="DD415" s="399"/>
      <c r="DE415" s="399"/>
      <c r="DF415" s="399"/>
      <c r="DG415" s="399"/>
      <c r="DH415" s="399"/>
      <c r="DI415" s="399"/>
      <c r="DJ415" s="399"/>
      <c r="DK415" s="399">
        <v>0</v>
      </c>
      <c r="DL415" s="399"/>
      <c r="DM415" s="399"/>
      <c r="DN415" s="399"/>
      <c r="DO415" s="399"/>
      <c r="DP415" s="399"/>
      <c r="DQ415" s="399"/>
      <c r="DR415" s="399"/>
      <c r="DS415" s="399"/>
      <c r="DT415" s="399"/>
      <c r="DU415" s="399"/>
      <c r="DV415" s="399"/>
      <c r="DW415" s="399"/>
      <c r="DX415" s="399"/>
      <c r="DY415" s="399"/>
      <c r="DZ415" s="399"/>
      <c r="EA415" s="399"/>
      <c r="EB415" s="399"/>
      <c r="EC415" s="399"/>
      <c r="ED415" s="399"/>
      <c r="EE415" s="399"/>
      <c r="EF415" s="399"/>
      <c r="EG415" s="399"/>
      <c r="EH415" s="399"/>
      <c r="EI415" s="399"/>
      <c r="EJ415" s="399"/>
      <c r="EK415" s="399"/>
      <c r="EL415" s="399"/>
      <c r="EM415" s="399"/>
      <c r="EN415" s="399"/>
      <c r="EO415" s="399"/>
      <c r="EP415" s="399"/>
      <c r="EQ415" s="399"/>
      <c r="ER415" s="399"/>
      <c r="ES415" s="399"/>
      <c r="ET415" s="399"/>
      <c r="EU415" s="399"/>
      <c r="EV415" s="399">
        <v>230</v>
      </c>
      <c r="EW415" s="399"/>
      <c r="EX415" s="399"/>
      <c r="EY415" s="399"/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414</v>
      </c>
      <c r="B416" s="399" t="s">
        <v>2330</v>
      </c>
      <c r="C416" s="399" t="s">
        <v>2328</v>
      </c>
      <c r="D416" s="399" t="s">
        <v>2340</v>
      </c>
      <c r="E416" s="399" t="s">
        <v>894</v>
      </c>
      <c r="F416" s="399" t="s">
        <v>2347</v>
      </c>
      <c r="G416" s="399" t="s">
        <v>2348</v>
      </c>
      <c r="H416" s="399" t="s">
        <v>1239</v>
      </c>
      <c r="I416" s="399" t="s">
        <v>1239</v>
      </c>
      <c r="J416" s="399" t="s">
        <v>2329</v>
      </c>
      <c r="K416" s="789">
        <v>44682</v>
      </c>
      <c r="L416" s="399">
        <v>0</v>
      </c>
      <c r="M416" s="399">
        <v>0</v>
      </c>
      <c r="N416" s="399">
        <v>0</v>
      </c>
      <c r="O416" s="399">
        <v>0</v>
      </c>
      <c r="P416" s="399">
        <v>0</v>
      </c>
      <c r="Q416" s="399">
        <v>0</v>
      </c>
      <c r="R416" s="399"/>
      <c r="S416" s="399"/>
      <c r="T416" s="399"/>
      <c r="U416" s="399"/>
      <c r="V416" s="399"/>
      <c r="W416" s="399"/>
      <c r="X416" s="399"/>
      <c r="Y416" s="399"/>
      <c r="Z416" s="399"/>
      <c r="AA416" s="399">
        <v>0</v>
      </c>
      <c r="AB416" s="399"/>
      <c r="AC416" s="399"/>
      <c r="AD416" s="399"/>
      <c r="AE416" s="399"/>
      <c r="AF416" s="399"/>
      <c r="AG416" s="399"/>
      <c r="AH416" s="399"/>
      <c r="AI416" s="399"/>
      <c r="AJ416" s="399"/>
      <c r="AK416" s="399"/>
      <c r="AL416" s="399"/>
      <c r="AM416" s="399"/>
      <c r="AN416" s="399"/>
      <c r="AO416" s="399"/>
      <c r="AP416" s="399"/>
      <c r="AQ416" s="399"/>
      <c r="AR416" s="399"/>
      <c r="AS416" s="399"/>
      <c r="AT416" s="399"/>
      <c r="AU416" s="399"/>
      <c r="AV416" s="399"/>
      <c r="AW416" s="399"/>
      <c r="AX416" s="399"/>
      <c r="AY416" s="399"/>
      <c r="AZ416" s="399">
        <v>0</v>
      </c>
      <c r="BA416" s="399"/>
      <c r="BB416" s="399"/>
      <c r="BC416" s="399"/>
      <c r="BD416" s="399"/>
      <c r="BE416" s="399"/>
      <c r="BF416" s="399"/>
      <c r="BG416" s="399"/>
      <c r="BH416" s="399"/>
      <c r="BI416" s="399">
        <v>0</v>
      </c>
      <c r="BJ416" s="399">
        <v>0</v>
      </c>
      <c r="BK416" s="399">
        <v>-1565.35</v>
      </c>
      <c r="BL416" s="399">
        <v>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/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/>
      <c r="CJ416" s="399">
        <v>-0.03</v>
      </c>
      <c r="CK416" s="399"/>
      <c r="CL416" s="399"/>
      <c r="CM416" s="399"/>
      <c r="CN416" s="399"/>
      <c r="CO416" s="399">
        <v>0</v>
      </c>
      <c r="CP416" s="399">
        <v>0</v>
      </c>
      <c r="CQ416" s="399">
        <v>31</v>
      </c>
      <c r="CR416" s="399"/>
      <c r="CS416" s="399"/>
      <c r="CT416" s="399"/>
      <c r="CU416" s="399"/>
      <c r="CV416" s="399"/>
      <c r="CW416" s="399"/>
      <c r="CX416" s="399"/>
      <c r="CY416" s="399"/>
      <c r="CZ416" s="399"/>
      <c r="DA416" s="399"/>
      <c r="DB416" s="399"/>
      <c r="DC416" s="399"/>
      <c r="DD416" s="399"/>
      <c r="DE416" s="399"/>
      <c r="DF416" s="399"/>
      <c r="DG416" s="399"/>
      <c r="DH416" s="399"/>
      <c r="DI416" s="399"/>
      <c r="DJ416" s="399"/>
      <c r="DK416" s="399">
        <v>0</v>
      </c>
      <c r="DL416" s="399"/>
      <c r="DM416" s="399"/>
      <c r="DN416" s="399"/>
      <c r="DO416" s="399"/>
      <c r="DP416" s="399"/>
      <c r="DQ416" s="399"/>
      <c r="DR416" s="399"/>
      <c r="DS416" s="399"/>
      <c r="DT416" s="399"/>
      <c r="DU416" s="399"/>
      <c r="DV416" s="399"/>
      <c r="DW416" s="399"/>
      <c r="DX416" s="399"/>
      <c r="DY416" s="399"/>
      <c r="DZ416" s="399"/>
      <c r="EA416" s="399"/>
      <c r="EB416" s="399"/>
      <c r="EC416" s="399"/>
      <c r="ED416" s="399"/>
      <c r="EE416" s="399"/>
      <c r="EF416" s="399"/>
      <c r="EG416" s="399"/>
      <c r="EH416" s="399"/>
      <c r="EI416" s="399"/>
      <c r="EJ416" s="399"/>
      <c r="EK416" s="399"/>
      <c r="EL416" s="399"/>
      <c r="EM416" s="399"/>
      <c r="EN416" s="399"/>
      <c r="EO416" s="399"/>
      <c r="EP416" s="399"/>
      <c r="EQ416" s="399"/>
      <c r="ER416" s="399"/>
      <c r="ES416" s="399"/>
      <c r="ET416" s="399"/>
      <c r="EU416" s="399"/>
      <c r="EV416" s="399">
        <v>230</v>
      </c>
      <c r="EW416" s="399"/>
      <c r="EX416" s="399"/>
      <c r="EY416" s="399"/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415</v>
      </c>
      <c r="B417" s="399" t="s">
        <v>956</v>
      </c>
      <c r="C417" s="399" t="s">
        <v>2328</v>
      </c>
      <c r="D417" s="399" t="s">
        <v>2340</v>
      </c>
      <c r="E417" s="399" t="s">
        <v>894</v>
      </c>
      <c r="F417" s="399" t="s">
        <v>2347</v>
      </c>
      <c r="G417" s="399" t="s">
        <v>2348</v>
      </c>
      <c r="H417" s="399" t="s">
        <v>1239</v>
      </c>
      <c r="I417" s="399" t="s">
        <v>1239</v>
      </c>
      <c r="J417" s="399" t="s">
        <v>2329</v>
      </c>
      <c r="K417" s="789">
        <v>44682</v>
      </c>
      <c r="L417" s="399">
        <v>0</v>
      </c>
      <c r="M417" s="399">
        <v>0</v>
      </c>
      <c r="N417" s="399">
        <v>10.407999999999999</v>
      </c>
      <c r="O417" s="399">
        <v>10.407999999999999</v>
      </c>
      <c r="P417" s="399">
        <v>10.407999999999999</v>
      </c>
      <c r="Q417" s="399">
        <v>10.407999999999999</v>
      </c>
      <c r="R417" s="399"/>
      <c r="S417" s="399">
        <v>333.61</v>
      </c>
      <c r="T417" s="399">
        <v>128.11000000000001</v>
      </c>
      <c r="U417" s="399"/>
      <c r="V417" s="399">
        <v>4805.58176</v>
      </c>
      <c r="W417" s="399">
        <v>4805.58176</v>
      </c>
      <c r="X417" s="399">
        <v>4194.7362400000002</v>
      </c>
      <c r="Y417" s="399">
        <v>0</v>
      </c>
      <c r="Z417" s="399">
        <v>637.13665306675773</v>
      </c>
      <c r="AA417" s="399">
        <v>0</v>
      </c>
      <c r="AB417" s="399">
        <v>0</v>
      </c>
      <c r="AC417" s="399">
        <v>0</v>
      </c>
      <c r="AD417" s="399">
        <v>0</v>
      </c>
      <c r="AE417" s="399">
        <v>2024.316431535053</v>
      </c>
      <c r="AF417" s="399">
        <v>1333.3797711933046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98.395675100081547</v>
      </c>
      <c r="AM417" s="399"/>
      <c r="AN417" s="399">
        <v>8.9549173283993859</v>
      </c>
      <c r="AO417" s="399">
        <v>36.178417912880491</v>
      </c>
      <c r="AP417" s="399">
        <v>192.99175113508716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141.2196036711494</v>
      </c>
      <c r="BH417" s="399">
        <v>0</v>
      </c>
      <c r="BI417" s="399">
        <v>0</v>
      </c>
      <c r="BJ417" s="399">
        <v>0</v>
      </c>
      <c r="BK417" s="399">
        <v>0</v>
      </c>
      <c r="BL417" s="399">
        <v>0</v>
      </c>
      <c r="BM417" s="399"/>
      <c r="BN417" s="399"/>
      <c r="BO417" s="399"/>
      <c r="BP417" s="399"/>
      <c r="BQ417" s="399"/>
      <c r="BR417" s="399">
        <v>503.43495999999982</v>
      </c>
      <c r="BS417" s="399"/>
      <c r="BT417" s="399"/>
      <c r="BU417" s="399"/>
      <c r="BV417" s="399">
        <v>1474.5993748644539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3692.0106000000001</v>
      </c>
      <c r="CJ417" s="399">
        <v>-536.99796000000015</v>
      </c>
      <c r="CK417" s="399"/>
      <c r="CL417" s="399"/>
      <c r="CM417" s="399"/>
      <c r="CN417" s="399"/>
      <c r="CO417" s="399">
        <v>-671.83640000000014</v>
      </c>
      <c r="CP417" s="399">
        <v>60.990879999999841</v>
      </c>
      <c r="CQ417" s="399">
        <v>31</v>
      </c>
      <c r="CR417" s="399">
        <v>14.999144645003071</v>
      </c>
      <c r="CS417" s="399">
        <v>2.6408729251085674</v>
      </c>
      <c r="CT417" s="399">
        <v>14.087589224306925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0</v>
      </c>
      <c r="DA417" s="399">
        <v>0</v>
      </c>
      <c r="DB417" s="399">
        <v>0</v>
      </c>
      <c r="DC417" s="399">
        <v>60.984991752528458</v>
      </c>
      <c r="DD417" s="399">
        <v>0</v>
      </c>
      <c r="DE417" s="399">
        <v>0</v>
      </c>
      <c r="DF417" s="399">
        <v>0</v>
      </c>
      <c r="DG417" s="399">
        <v>6.4589823178967549</v>
      </c>
      <c r="DH417" s="399">
        <v>0</v>
      </c>
      <c r="DI417" s="399">
        <v>-60.267509453465891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-7.8565582292855396</v>
      </c>
      <c r="DP417" s="399">
        <v>-1.0492238920866352</v>
      </c>
      <c r="DQ417" s="399">
        <v>0</v>
      </c>
      <c r="DR417" s="399">
        <v>0</v>
      </c>
      <c r="DS417" s="399"/>
      <c r="DT417" s="399"/>
      <c r="DU417" s="399"/>
      <c r="DV417" s="399">
        <v>2024.316431535053</v>
      </c>
      <c r="DW417" s="399">
        <v>0</v>
      </c>
      <c r="DX417" s="399">
        <v>0</v>
      </c>
      <c r="DY417" s="399">
        <v>-671.83640000000014</v>
      </c>
      <c r="DZ417" s="399">
        <v>60.990879999999834</v>
      </c>
      <c r="EA417" s="399">
        <v>0</v>
      </c>
      <c r="EB417" s="399">
        <v>0</v>
      </c>
      <c r="EC417" s="399">
        <v>-625.9205129473753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333.04054253525084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230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416</v>
      </c>
      <c r="B418" s="399" t="s">
        <v>2330</v>
      </c>
      <c r="C418" s="399" t="s">
        <v>2328</v>
      </c>
      <c r="D418" s="399" t="s">
        <v>2340</v>
      </c>
      <c r="E418" s="399" t="s">
        <v>894</v>
      </c>
      <c r="F418" s="399" t="s">
        <v>2347</v>
      </c>
      <c r="G418" s="399" t="s">
        <v>2348</v>
      </c>
      <c r="H418" s="399" t="s">
        <v>1239</v>
      </c>
      <c r="I418" s="399" t="s">
        <v>1239</v>
      </c>
      <c r="J418" s="399" t="s">
        <v>2329</v>
      </c>
      <c r="K418" s="789">
        <v>44682</v>
      </c>
      <c r="L418" s="399">
        <v>0</v>
      </c>
      <c r="M418" s="399">
        <v>0</v>
      </c>
      <c r="N418" s="399">
        <v>-9.6920000000000002</v>
      </c>
      <c r="O418" s="399">
        <v>-9.6920000000000002</v>
      </c>
      <c r="P418" s="399">
        <v>-9.6920000000000002</v>
      </c>
      <c r="Q418" s="399">
        <v>-9.6920000000000002</v>
      </c>
      <c r="R418" s="399"/>
      <c r="S418" s="399">
        <v>333.61</v>
      </c>
      <c r="T418" s="399">
        <v>128.11000000000001</v>
      </c>
      <c r="U418" s="399"/>
      <c r="V418" s="399">
        <v>-4474.9902400000001</v>
      </c>
      <c r="W418" s="399">
        <v>-4474.9902400000001</v>
      </c>
      <c r="X418" s="399">
        <v>-3906.1667600000001</v>
      </c>
      <c r="Y418" s="399">
        <v>0</v>
      </c>
      <c r="Z418" s="399">
        <v>-593.30596094571638</v>
      </c>
      <c r="AA418" s="399">
        <v>0</v>
      </c>
      <c r="AB418" s="399">
        <v>0</v>
      </c>
      <c r="AC418" s="399">
        <v>0</v>
      </c>
      <c r="AD418" s="399">
        <v>0</v>
      </c>
      <c r="AE418" s="399">
        <v>-1885.0571535777992</v>
      </c>
      <c r="AF418" s="399">
        <v>-1241.6522619528735</v>
      </c>
      <c r="AG418" s="399">
        <v>0</v>
      </c>
      <c r="AH418" s="399">
        <v>0</v>
      </c>
      <c r="AI418" s="399">
        <v>0</v>
      </c>
      <c r="AJ418" s="399">
        <v>0</v>
      </c>
      <c r="AK418" s="399">
        <v>0</v>
      </c>
      <c r="AL418" s="399">
        <v>-91.626718204265032</v>
      </c>
      <c r="AM418" s="399"/>
      <c r="AN418" s="399">
        <v>-8.3388795875141088</v>
      </c>
      <c r="AO418" s="399">
        <v>-33.689587472294171</v>
      </c>
      <c r="AP418" s="399">
        <v>-179.71522405853813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-131.50465015188126</v>
      </c>
      <c r="BH418" s="399">
        <v>0</v>
      </c>
      <c r="BI418" s="399">
        <v>0</v>
      </c>
      <c r="BJ418" s="399">
        <v>0</v>
      </c>
      <c r="BK418" s="399">
        <v>0</v>
      </c>
      <c r="BL418" s="399">
        <v>0</v>
      </c>
      <c r="BM418" s="399"/>
      <c r="BN418" s="399"/>
      <c r="BO418" s="399"/>
      <c r="BP418" s="399"/>
      <c r="BQ418" s="399"/>
      <c r="BR418" s="399">
        <v>-468.80203999999992</v>
      </c>
      <c r="BS418" s="399"/>
      <c r="BT418" s="399"/>
      <c r="BU418" s="399"/>
      <c r="BV418" s="399">
        <v>-1373.1569121047546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-3436.6554000000001</v>
      </c>
      <c r="CJ418" s="399">
        <v>501.36803999999893</v>
      </c>
      <c r="CK418" s="399"/>
      <c r="CL418" s="399"/>
      <c r="CM418" s="399"/>
      <c r="CN418" s="399"/>
      <c r="CO418" s="399">
        <v>625.61860000000013</v>
      </c>
      <c r="CP418" s="399">
        <v>-56.795119999999855</v>
      </c>
      <c r="CQ418" s="399">
        <v>31</v>
      </c>
      <c r="CR418" s="399">
        <v>-13.967304948055244</v>
      </c>
      <c r="CS418" s="399">
        <v>-2.45919873079864</v>
      </c>
      <c r="CT418" s="399">
        <v>-13.118458374517957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0</v>
      </c>
      <c r="DA418" s="399">
        <v>0</v>
      </c>
      <c r="DB418" s="399">
        <v>0</v>
      </c>
      <c r="DC418" s="399">
        <v>-56.789636824126319</v>
      </c>
      <c r="DD418" s="399">
        <v>0</v>
      </c>
      <c r="DE418" s="399">
        <v>0</v>
      </c>
      <c r="DF418" s="399">
        <v>0</v>
      </c>
      <c r="DG418" s="399">
        <v>-6.0146480231605608</v>
      </c>
      <c r="DH418" s="399">
        <v>0</v>
      </c>
      <c r="DI418" s="399">
        <v>56.121512454169078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7.3160801650879677</v>
      </c>
      <c r="DP418" s="399">
        <v>0.97704438529051352</v>
      </c>
      <c r="DQ418" s="399">
        <v>0</v>
      </c>
      <c r="DR418" s="399">
        <v>0</v>
      </c>
      <c r="DS418" s="399"/>
      <c r="DT418" s="399"/>
      <c r="DU418" s="399"/>
      <c r="DV418" s="399">
        <v>-1885.0571535777992</v>
      </c>
      <c r="DW418" s="399">
        <v>0</v>
      </c>
      <c r="DX418" s="399">
        <v>0</v>
      </c>
      <c r="DY418" s="399">
        <v>625.61860000000024</v>
      </c>
      <c r="DZ418" s="399">
        <v>-56.79511999999977</v>
      </c>
      <c r="EA418" s="399">
        <v>0</v>
      </c>
      <c r="EB418" s="399">
        <v>0</v>
      </c>
      <c r="EC418" s="399">
        <v>582.86141540026551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-310.12960590427087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230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417</v>
      </c>
      <c r="B419" s="399" t="s">
        <v>956</v>
      </c>
      <c r="C419" s="399" t="s">
        <v>2328</v>
      </c>
      <c r="D419" s="399" t="s">
        <v>2340</v>
      </c>
      <c r="E419" s="399" t="s">
        <v>894</v>
      </c>
      <c r="F419" s="399" t="s">
        <v>2347</v>
      </c>
      <c r="G419" s="399" t="s">
        <v>2349</v>
      </c>
      <c r="H419" s="399" t="s">
        <v>1239</v>
      </c>
      <c r="I419" s="399" t="s">
        <v>1239</v>
      </c>
      <c r="J419" s="399" t="s">
        <v>2329</v>
      </c>
      <c r="K419" s="789">
        <v>44682</v>
      </c>
      <c r="L419" s="399">
        <v>0</v>
      </c>
      <c r="M419" s="399">
        <v>0</v>
      </c>
      <c r="N419" s="399">
        <v>1.242</v>
      </c>
      <c r="O419" s="399">
        <v>0.49680000000000002</v>
      </c>
      <c r="P419" s="399">
        <v>1.242</v>
      </c>
      <c r="Q419" s="399">
        <v>0.49680000000000002</v>
      </c>
      <c r="R419" s="399"/>
      <c r="S419" s="399">
        <v>333.61</v>
      </c>
      <c r="T419" s="399">
        <v>128.11000000000001</v>
      </c>
      <c r="U419" s="399"/>
      <c r="V419" s="399">
        <v>573.45623999999998</v>
      </c>
      <c r="W419" s="399">
        <v>573.45623999999998</v>
      </c>
      <c r="X419" s="399">
        <v>500.56326000000001</v>
      </c>
      <c r="Y419" s="399">
        <v>0</v>
      </c>
      <c r="Z419" s="399">
        <v>76.03033465689019</v>
      </c>
      <c r="AA419" s="399">
        <v>0</v>
      </c>
      <c r="AB419" s="399">
        <v>0</v>
      </c>
      <c r="AC419" s="399">
        <v>0</v>
      </c>
      <c r="AD419" s="399">
        <v>0</v>
      </c>
      <c r="AE419" s="399">
        <v>241.5642782442867</v>
      </c>
      <c r="AF419" s="399">
        <v>159.11391966007727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11.741682213134251</v>
      </c>
      <c r="AM419" s="399"/>
      <c r="AN419" s="399">
        <v>1.0686017795803264</v>
      </c>
      <c r="AO419" s="399">
        <v>4.3172170491734789</v>
      </c>
      <c r="AP419" s="399">
        <v>23.029953392561321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16.851916579512643</v>
      </c>
      <c r="BH419" s="399">
        <v>0</v>
      </c>
      <c r="BI419" s="399">
        <v>0</v>
      </c>
      <c r="BJ419" s="399">
        <v>0</v>
      </c>
      <c r="BK419" s="399">
        <v>0</v>
      </c>
      <c r="BL419" s="399">
        <v>0</v>
      </c>
      <c r="BM419" s="399"/>
      <c r="BN419" s="399"/>
      <c r="BO419" s="399"/>
      <c r="BP419" s="399"/>
      <c r="BQ419" s="399"/>
      <c r="BR419" s="399"/>
      <c r="BS419" s="399">
        <v>324.36817199999996</v>
      </c>
      <c r="BT419" s="399"/>
      <c r="BU419" s="399"/>
      <c r="BV419" s="399">
        <v>175.96583623958992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177.33</v>
      </c>
      <c r="CJ419" s="399">
        <v>-24.559775999999943</v>
      </c>
      <c r="CK419" s="399"/>
      <c r="CL419" s="399"/>
      <c r="CM419" s="399"/>
      <c r="CN419" s="399"/>
      <c r="CO419" s="399">
        <v>-80.17110000000001</v>
      </c>
      <c r="CP419" s="399">
        <v>7.2781199999999817</v>
      </c>
      <c r="CQ419" s="399">
        <v>31</v>
      </c>
      <c r="CR419" s="399">
        <v>1.7898671838099176</v>
      </c>
      <c r="CS419" s="399">
        <v>0.3151387560515797</v>
      </c>
      <c r="CT419" s="399">
        <v>1.6810901053602265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0</v>
      </c>
      <c r="DA419" s="399">
        <v>0</v>
      </c>
      <c r="DB419" s="399">
        <v>0</v>
      </c>
      <c r="DC419" s="399">
        <v>7.2774173478709088</v>
      </c>
      <c r="DD419" s="399">
        <v>0</v>
      </c>
      <c r="DE419" s="399">
        <v>0</v>
      </c>
      <c r="DF419" s="399">
        <v>0</v>
      </c>
      <c r="DG419" s="399">
        <v>0.77075865092503193</v>
      </c>
      <c r="DH419" s="399">
        <v>0</v>
      </c>
      <c r="DI419" s="399">
        <v>-7.1917992641434125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-0.93753317839860095</v>
      </c>
      <c r="DP419" s="399">
        <v>-0.12520523385584181</v>
      </c>
      <c r="DQ419" s="399">
        <v>0</v>
      </c>
      <c r="DR419" s="399">
        <v>0</v>
      </c>
      <c r="DS419" s="399"/>
      <c r="DT419" s="399"/>
      <c r="DU419" s="399"/>
      <c r="DV419" s="399">
        <v>241.5642782442867</v>
      </c>
      <c r="DW419" s="399">
        <v>0</v>
      </c>
      <c r="DX419" s="399">
        <v>0</v>
      </c>
      <c r="DY419" s="399">
        <v>-80.171099999999967</v>
      </c>
      <c r="DZ419" s="399">
        <v>7.2781199999999728</v>
      </c>
      <c r="EA419" s="399">
        <v>0</v>
      </c>
      <c r="EB419" s="399">
        <v>0</v>
      </c>
      <c r="EC419" s="399">
        <v>-74.691898259093051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39.742155440889853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230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418</v>
      </c>
      <c r="B420" s="399" t="s">
        <v>956</v>
      </c>
      <c r="C420" s="399" t="s">
        <v>2328</v>
      </c>
      <c r="D420" s="399" t="s">
        <v>2340</v>
      </c>
      <c r="E420" s="399" t="s">
        <v>894</v>
      </c>
      <c r="F420" s="399" t="s">
        <v>2350</v>
      </c>
      <c r="G420" s="399" t="s">
        <v>2348</v>
      </c>
      <c r="H420" s="399" t="s">
        <v>1239</v>
      </c>
      <c r="I420" s="399" t="s">
        <v>1239</v>
      </c>
      <c r="J420" s="399" t="s">
        <v>2329</v>
      </c>
      <c r="K420" s="789">
        <v>44682</v>
      </c>
      <c r="L420" s="399">
        <v>0</v>
      </c>
      <c r="M420" s="399">
        <v>0</v>
      </c>
      <c r="N420" s="399">
        <v>0</v>
      </c>
      <c r="O420" s="399">
        <v>0</v>
      </c>
      <c r="P420" s="399">
        <v>0</v>
      </c>
      <c r="Q420" s="399">
        <v>0</v>
      </c>
      <c r="R420" s="399"/>
      <c r="S420" s="399"/>
      <c r="T420" s="399"/>
      <c r="U420" s="399"/>
      <c r="V420" s="399"/>
      <c r="W420" s="399"/>
      <c r="X420" s="399"/>
      <c r="Y420" s="399"/>
      <c r="Z420" s="399"/>
      <c r="AA420" s="399">
        <v>0</v>
      </c>
      <c r="AB420" s="399"/>
      <c r="AC420" s="399"/>
      <c r="AD420" s="399"/>
      <c r="AE420" s="399"/>
      <c r="AF420" s="399"/>
      <c r="AG420" s="399"/>
      <c r="AH420" s="399"/>
      <c r="AI420" s="399"/>
      <c r="AJ420" s="399"/>
      <c r="AK420" s="399"/>
      <c r="AL420" s="399"/>
      <c r="AM420" s="399"/>
      <c r="AN420" s="399"/>
      <c r="AO420" s="399"/>
      <c r="AP420" s="399"/>
      <c r="AQ420" s="399"/>
      <c r="AR420" s="399"/>
      <c r="AS420" s="399"/>
      <c r="AT420" s="399"/>
      <c r="AU420" s="399"/>
      <c r="AV420" s="399"/>
      <c r="AW420" s="399"/>
      <c r="AX420" s="399"/>
      <c r="AY420" s="399"/>
      <c r="AZ420" s="399">
        <v>0</v>
      </c>
      <c r="BA420" s="399"/>
      <c r="BB420" s="399"/>
      <c r="BC420" s="399"/>
      <c r="BD420" s="399"/>
      <c r="BE420" s="399"/>
      <c r="BF420" s="399"/>
      <c r="BG420" s="399"/>
      <c r="BH420" s="399"/>
      <c r="BI420" s="399">
        <v>0</v>
      </c>
      <c r="BJ420" s="399">
        <v>0</v>
      </c>
      <c r="BK420" s="399">
        <v>190.97</v>
      </c>
      <c r="BL420" s="399">
        <v>1</v>
      </c>
      <c r="BM420" s="399"/>
      <c r="BN420" s="399"/>
      <c r="BO420" s="399"/>
      <c r="BP420" s="399"/>
      <c r="BQ420" s="399"/>
      <c r="BR420" s="399"/>
      <c r="BS420" s="399"/>
      <c r="BT420" s="399"/>
      <c r="BU420" s="399"/>
      <c r="BV420" s="399"/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/>
      <c r="CJ420" s="399">
        <v>-0.03</v>
      </c>
      <c r="CK420" s="399"/>
      <c r="CL420" s="399"/>
      <c r="CM420" s="399"/>
      <c r="CN420" s="399"/>
      <c r="CO420" s="399">
        <v>0</v>
      </c>
      <c r="CP420" s="399">
        <v>0</v>
      </c>
      <c r="CQ420" s="399">
        <v>31</v>
      </c>
      <c r="CR420" s="399"/>
      <c r="CS420" s="399"/>
      <c r="CT420" s="399"/>
      <c r="CU420" s="399"/>
      <c r="CV420" s="399"/>
      <c r="CW420" s="399"/>
      <c r="CX420" s="399"/>
      <c r="CY420" s="399"/>
      <c r="CZ420" s="399"/>
      <c r="DA420" s="399"/>
      <c r="DB420" s="399"/>
      <c r="DC420" s="399"/>
      <c r="DD420" s="399"/>
      <c r="DE420" s="399"/>
      <c r="DF420" s="399"/>
      <c r="DG420" s="399"/>
      <c r="DH420" s="399"/>
      <c r="DI420" s="399"/>
      <c r="DJ420" s="399"/>
      <c r="DK420" s="399">
        <v>0</v>
      </c>
      <c r="DL420" s="399"/>
      <c r="DM420" s="399"/>
      <c r="DN420" s="399"/>
      <c r="DO420" s="399"/>
      <c r="DP420" s="399"/>
      <c r="DQ420" s="399"/>
      <c r="DR420" s="399"/>
      <c r="DS420" s="399"/>
      <c r="DT420" s="399"/>
      <c r="DU420" s="399"/>
      <c r="DV420" s="399"/>
      <c r="DW420" s="399"/>
      <c r="DX420" s="399"/>
      <c r="DY420" s="399"/>
      <c r="DZ420" s="399"/>
      <c r="EA420" s="399"/>
      <c r="EB420" s="399"/>
      <c r="EC420" s="399"/>
      <c r="ED420" s="399"/>
      <c r="EE420" s="399"/>
      <c r="EF420" s="399"/>
      <c r="EG420" s="399"/>
      <c r="EH420" s="399"/>
      <c r="EI420" s="399"/>
      <c r="EJ420" s="399"/>
      <c r="EK420" s="399"/>
      <c r="EL420" s="399"/>
      <c r="EM420" s="399"/>
      <c r="EN420" s="399"/>
      <c r="EO420" s="399"/>
      <c r="EP420" s="399"/>
      <c r="EQ420" s="399"/>
      <c r="ER420" s="399"/>
      <c r="ES420" s="399"/>
      <c r="ET420" s="399"/>
      <c r="EU420" s="399"/>
      <c r="EV420" s="399">
        <v>230</v>
      </c>
      <c r="EW420" s="399"/>
      <c r="EX420" s="399"/>
      <c r="EY420" s="399"/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419</v>
      </c>
      <c r="B421" s="399" t="s">
        <v>956</v>
      </c>
      <c r="C421" s="399" t="s">
        <v>2328</v>
      </c>
      <c r="D421" s="399" t="s">
        <v>2340</v>
      </c>
      <c r="E421" s="399" t="s">
        <v>894</v>
      </c>
      <c r="F421" s="399" t="s">
        <v>2350</v>
      </c>
      <c r="G421" s="399" t="s">
        <v>2348</v>
      </c>
      <c r="H421" s="399" t="s">
        <v>1239</v>
      </c>
      <c r="I421" s="399" t="s">
        <v>1239</v>
      </c>
      <c r="J421" s="399" t="s">
        <v>2329</v>
      </c>
      <c r="K421" s="789">
        <v>44682</v>
      </c>
      <c r="L421" s="399">
        <v>0</v>
      </c>
      <c r="M421" s="399">
        <v>0</v>
      </c>
      <c r="N421" s="399">
        <v>1.103</v>
      </c>
      <c r="O421" s="399">
        <v>1.103</v>
      </c>
      <c r="P421" s="399">
        <v>1.103</v>
      </c>
      <c r="Q421" s="399">
        <v>1.103</v>
      </c>
      <c r="R421" s="399"/>
      <c r="S421" s="399">
        <v>333.61</v>
      </c>
      <c r="T421" s="399">
        <v>128.11000000000001</v>
      </c>
      <c r="U421" s="399"/>
      <c r="V421" s="399">
        <v>509.27716000000004</v>
      </c>
      <c r="W421" s="399">
        <v>509.27716000000004</v>
      </c>
      <c r="X421" s="399">
        <v>444.54209000000003</v>
      </c>
      <c r="Y421" s="399">
        <v>0</v>
      </c>
      <c r="Z421" s="399">
        <v>67.521303644565123</v>
      </c>
      <c r="AA421" s="399">
        <v>0</v>
      </c>
      <c r="AB421" s="399">
        <v>0</v>
      </c>
      <c r="AC421" s="399">
        <v>0</v>
      </c>
      <c r="AD421" s="399">
        <v>0</v>
      </c>
      <c r="AE421" s="399">
        <v>214.52930668554606</v>
      </c>
      <c r="AF421" s="399">
        <v>141.30648420697685</v>
      </c>
      <c r="AG421" s="399">
        <v>0</v>
      </c>
      <c r="AH421" s="399">
        <v>0</v>
      </c>
      <c r="AI421" s="399">
        <v>0</v>
      </c>
      <c r="AJ421" s="399">
        <v>0</v>
      </c>
      <c r="AK421" s="399">
        <v>0</v>
      </c>
      <c r="AL421" s="399">
        <v>10.427597005706183</v>
      </c>
      <c r="AM421" s="399"/>
      <c r="AN421" s="399">
        <v>0.94900786060958131</v>
      </c>
      <c r="AO421" s="399">
        <v>3.834050245763565</v>
      </c>
      <c r="AP421" s="399">
        <v>20.452527046694957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14.965913033174271</v>
      </c>
      <c r="BH421" s="399">
        <v>0</v>
      </c>
      <c r="BI421" s="399">
        <v>0</v>
      </c>
      <c r="BJ421" s="399">
        <v>0</v>
      </c>
      <c r="BK421" s="399">
        <v>0</v>
      </c>
      <c r="BL421" s="399">
        <v>0</v>
      </c>
      <c r="BM421" s="399"/>
      <c r="BN421" s="399"/>
      <c r="BO421" s="399"/>
      <c r="BP421" s="399"/>
      <c r="BQ421" s="399"/>
      <c r="BR421" s="399">
        <v>53.352109999999996</v>
      </c>
      <c r="BS421" s="399"/>
      <c r="BT421" s="399"/>
      <c r="BU421" s="399"/>
      <c r="BV421" s="399">
        <v>156.27239724015112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390.12600000000009</v>
      </c>
      <c r="CJ421" s="399">
        <v>-58.074959999999862</v>
      </c>
      <c r="CK421" s="399"/>
      <c r="CL421" s="399"/>
      <c r="CM421" s="399"/>
      <c r="CN421" s="399"/>
      <c r="CO421" s="399">
        <v>-71.198650000000015</v>
      </c>
      <c r="CP421" s="399">
        <v>6.4635799999999834</v>
      </c>
      <c r="CQ421" s="399">
        <v>31</v>
      </c>
      <c r="CR421" s="399">
        <v>1.589551935380257</v>
      </c>
      <c r="CS421" s="399">
        <v>0.27986960380426096</v>
      </c>
      <c r="CT421" s="399">
        <v>1.4929487811693498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0</v>
      </c>
      <c r="DA421" s="399">
        <v>0</v>
      </c>
      <c r="DB421" s="399">
        <v>0</v>
      </c>
      <c r="DC421" s="399">
        <v>6.4629559860721315</v>
      </c>
      <c r="DD421" s="399">
        <v>0</v>
      </c>
      <c r="DE421" s="399">
        <v>0</v>
      </c>
      <c r="DF421" s="399">
        <v>0</v>
      </c>
      <c r="DG421" s="399">
        <v>0.68449822219831979</v>
      </c>
      <c r="DH421" s="399">
        <v>0</v>
      </c>
      <c r="DI421" s="399">
        <v>-6.3869199584139977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-0.83260796761164002</v>
      </c>
      <c r="DP421" s="399">
        <v>-0.11119273183815892</v>
      </c>
      <c r="DQ421" s="399">
        <v>0</v>
      </c>
      <c r="DR421" s="399">
        <v>0</v>
      </c>
      <c r="DS421" s="399"/>
      <c r="DT421" s="399"/>
      <c r="DU421" s="399"/>
      <c r="DV421" s="399">
        <v>214.52930668554606</v>
      </c>
      <c r="DW421" s="399">
        <v>0</v>
      </c>
      <c r="DX421" s="399">
        <v>0</v>
      </c>
      <c r="DY421" s="399">
        <v>-71.198649999999986</v>
      </c>
      <c r="DZ421" s="399">
        <v>6.463579999999979</v>
      </c>
      <c r="EA421" s="399">
        <v>0</v>
      </c>
      <c r="EB421" s="399">
        <v>0</v>
      </c>
      <c r="EC421" s="399">
        <v>-66.332660048131714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35.294361877054349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230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420</v>
      </c>
      <c r="B422" s="399" t="s">
        <v>956</v>
      </c>
      <c r="C422" s="399" t="s">
        <v>2328</v>
      </c>
      <c r="D422" s="399" t="s">
        <v>2340</v>
      </c>
      <c r="E422" s="399" t="s">
        <v>894</v>
      </c>
      <c r="F422" s="399" t="s">
        <v>2350</v>
      </c>
      <c r="G422" s="399" t="s">
        <v>2349</v>
      </c>
      <c r="H422" s="399" t="s">
        <v>1239</v>
      </c>
      <c r="I422" s="399" t="s">
        <v>1239</v>
      </c>
      <c r="J422" s="399" t="s">
        <v>2329</v>
      </c>
      <c r="K422" s="789">
        <v>44682</v>
      </c>
      <c r="L422" s="399">
        <v>0</v>
      </c>
      <c r="M422" s="399">
        <v>0</v>
      </c>
      <c r="N422" s="399">
        <v>2.02</v>
      </c>
      <c r="O422" s="399">
        <v>0.80800000000000005</v>
      </c>
      <c r="P422" s="399">
        <v>2.02</v>
      </c>
      <c r="Q422" s="399">
        <v>0.80800000000000005</v>
      </c>
      <c r="R422" s="399"/>
      <c r="S422" s="399">
        <v>333.61</v>
      </c>
      <c r="T422" s="399">
        <v>128.11000000000001</v>
      </c>
      <c r="U422" s="399"/>
      <c r="V422" s="399">
        <v>932.67440000000011</v>
      </c>
      <c r="W422" s="399">
        <v>932.67440000000011</v>
      </c>
      <c r="X422" s="399">
        <v>814.12059999999997</v>
      </c>
      <c r="Y422" s="399">
        <v>0</v>
      </c>
      <c r="Z422" s="399">
        <v>123.65642190573124</v>
      </c>
      <c r="AA422" s="399">
        <v>0</v>
      </c>
      <c r="AB422" s="399">
        <v>0</v>
      </c>
      <c r="AC422" s="399">
        <v>0</v>
      </c>
      <c r="AD422" s="399">
        <v>0</v>
      </c>
      <c r="AE422" s="399">
        <v>392.88232049392843</v>
      </c>
      <c r="AF422" s="399">
        <v>258.78431377886966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19.096777834566172</v>
      </c>
      <c r="AM422" s="399"/>
      <c r="AN422" s="399">
        <v>1.737983570653993</v>
      </c>
      <c r="AO422" s="399">
        <v>7.0215607402016333</v>
      </c>
      <c r="AP422" s="399">
        <v>37.456123875180253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27.408109090672735</v>
      </c>
      <c r="BH422" s="399">
        <v>0</v>
      </c>
      <c r="BI422" s="399">
        <v>0</v>
      </c>
      <c r="BJ422" s="399">
        <v>0</v>
      </c>
      <c r="BK422" s="399">
        <v>0</v>
      </c>
      <c r="BL422" s="399">
        <v>0</v>
      </c>
      <c r="BM422" s="399"/>
      <c r="BN422" s="399"/>
      <c r="BO422" s="399"/>
      <c r="BP422" s="399"/>
      <c r="BQ422" s="399"/>
      <c r="BR422" s="399"/>
      <c r="BS422" s="399">
        <v>527.55531999999994</v>
      </c>
      <c r="BT422" s="399"/>
      <c r="BU422" s="399"/>
      <c r="BV422" s="399">
        <v>286.19242286954238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287.27460000000002</v>
      </c>
      <c r="CJ422" s="399">
        <v>-41.061959999999942</v>
      </c>
      <c r="CK422" s="399"/>
      <c r="CL422" s="399"/>
      <c r="CM422" s="399"/>
      <c r="CN422" s="399"/>
      <c r="CO422" s="399">
        <v>-130.39100000000002</v>
      </c>
      <c r="CP422" s="399">
        <v>11.837199999999971</v>
      </c>
      <c r="CQ422" s="399">
        <v>31</v>
      </c>
      <c r="CR422" s="399">
        <v>2.9110561282576555</v>
      </c>
      <c r="CS422" s="399">
        <v>0.51254451467326145</v>
      </c>
      <c r="CT422" s="399">
        <v>2.7341401069465832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0</v>
      </c>
      <c r="DA422" s="399">
        <v>0</v>
      </c>
      <c r="DB422" s="399">
        <v>0</v>
      </c>
      <c r="DC422" s="399">
        <v>11.83605720024093</v>
      </c>
      <c r="DD422" s="399">
        <v>0</v>
      </c>
      <c r="DE422" s="399">
        <v>0</v>
      </c>
      <c r="DF422" s="399">
        <v>0</v>
      </c>
      <c r="DG422" s="399">
        <v>1.2535688203450661</v>
      </c>
      <c r="DH422" s="399">
        <v>0</v>
      </c>
      <c r="DI422" s="399">
        <v>-11.696807176787203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-1.5248124157529581</v>
      </c>
      <c r="DP422" s="399">
        <v>-0.20363492140805173</v>
      </c>
      <c r="DQ422" s="399">
        <v>0</v>
      </c>
      <c r="DR422" s="399">
        <v>0</v>
      </c>
      <c r="DS422" s="399"/>
      <c r="DT422" s="399"/>
      <c r="DU422" s="399"/>
      <c r="DV422" s="399">
        <v>392.88232049392843</v>
      </c>
      <c r="DW422" s="399">
        <v>0</v>
      </c>
      <c r="DX422" s="399">
        <v>0</v>
      </c>
      <c r="DY422" s="399">
        <v>-130.39099999999996</v>
      </c>
      <c r="DZ422" s="399">
        <v>11.837199999999939</v>
      </c>
      <c r="EA422" s="399">
        <v>0</v>
      </c>
      <c r="EB422" s="399">
        <v>0</v>
      </c>
      <c r="EC422" s="399">
        <v>-121.47957687871815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64.636999992429551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230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421</v>
      </c>
      <c r="B423" s="399" t="s">
        <v>956</v>
      </c>
      <c r="C423" s="399" t="s">
        <v>2328</v>
      </c>
      <c r="D423" s="399" t="s">
        <v>1823</v>
      </c>
      <c r="E423" s="399" t="s">
        <v>889</v>
      </c>
      <c r="F423" s="399" t="s">
        <v>889</v>
      </c>
      <c r="G423" s="399" t="s">
        <v>1239</v>
      </c>
      <c r="H423" s="399" t="s">
        <v>1239</v>
      </c>
      <c r="I423" s="399" t="s">
        <v>1239</v>
      </c>
      <c r="J423" s="399" t="s">
        <v>2329</v>
      </c>
      <c r="K423" s="789">
        <v>44713</v>
      </c>
      <c r="L423" s="399">
        <v>0</v>
      </c>
      <c r="M423" s="399">
        <v>0</v>
      </c>
      <c r="N423" s="399">
        <v>4518.8620000000001</v>
      </c>
      <c r="O423" s="399">
        <v>4518.8620000000001</v>
      </c>
      <c r="P423" s="399">
        <v>4518.8620000000001</v>
      </c>
      <c r="Q423" s="399">
        <v>4518.8620000000001</v>
      </c>
      <c r="R423" s="399"/>
      <c r="S423" s="399">
        <v>333.61</v>
      </c>
      <c r="T423" s="399">
        <v>128.11000000000001</v>
      </c>
      <c r="U423" s="399"/>
      <c r="V423" s="399">
        <v>2086448.9626400003</v>
      </c>
      <c r="W423" s="399">
        <v>2086448.9626400003</v>
      </c>
      <c r="X423" s="399">
        <v>1821236.9518599999</v>
      </c>
      <c r="Y423" s="399">
        <v>0</v>
      </c>
      <c r="Z423" s="399">
        <v>276626.88416127546</v>
      </c>
      <c r="AA423" s="399">
        <v>0</v>
      </c>
      <c r="AB423" s="399">
        <v>0</v>
      </c>
      <c r="AC423" s="399">
        <v>0</v>
      </c>
      <c r="AD423" s="399">
        <v>0</v>
      </c>
      <c r="AE423" s="399">
        <v>878901.47948110616</v>
      </c>
      <c r="AF423" s="399">
        <v>578916.13947099529</v>
      </c>
      <c r="AG423" s="399">
        <v>0</v>
      </c>
      <c r="AH423" s="399">
        <v>0</v>
      </c>
      <c r="AI423" s="399">
        <v>0</v>
      </c>
      <c r="AJ423" s="399">
        <v>0</v>
      </c>
      <c r="AK423" s="399">
        <v>0</v>
      </c>
      <c r="AL423" s="399">
        <v>42720.645385674936</v>
      </c>
      <c r="AM423" s="399"/>
      <c r="AN423" s="399">
        <v>3887.9742148775467</v>
      </c>
      <c r="AO423" s="399">
        <v>15707.655450291601</v>
      </c>
      <c r="AP423" s="399">
        <v>83791.611310319204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61313.595377077021</v>
      </c>
      <c r="BH423" s="399">
        <v>0</v>
      </c>
      <c r="BI423" s="399">
        <v>0</v>
      </c>
      <c r="BJ423" s="399">
        <v>0</v>
      </c>
      <c r="BK423" s="399">
        <v>395618.86</v>
      </c>
      <c r="BL423" s="399">
        <v>20592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640229.73484807229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1821236.1457999998</v>
      </c>
      <c r="CJ423" s="399">
        <v>-265212.84684000048</v>
      </c>
      <c r="CK423" s="399"/>
      <c r="CL423" s="399"/>
      <c r="CM423" s="399"/>
      <c r="CN423" s="399"/>
      <c r="CO423" s="399">
        <v>-291692.54210000008</v>
      </c>
      <c r="CP423" s="399">
        <v>26480.531319999933</v>
      </c>
      <c r="CQ423" s="399">
        <v>30</v>
      </c>
      <c r="CR423" s="399">
        <v>6512.2083751736209</v>
      </c>
      <c r="CS423" s="399">
        <v>1146.5930349828923</v>
      </c>
      <c r="CT423" s="399">
        <v>6116.4365504736779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0</v>
      </c>
      <c r="DA423" s="399">
        <v>0</v>
      </c>
      <c r="DB423" s="399">
        <v>0</v>
      </c>
      <c r="DC423" s="399">
        <v>26477.974807918421</v>
      </c>
      <c r="DD423" s="399">
        <v>0</v>
      </c>
      <c r="DE423" s="399">
        <v>0</v>
      </c>
      <c r="DF423" s="399">
        <v>0</v>
      </c>
      <c r="DG423" s="399">
        <v>2804.3091617040263</v>
      </c>
      <c r="DH423" s="399">
        <v>0</v>
      </c>
      <c r="DI423" s="399">
        <v>-26166.464095302421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-3411.0974666704205</v>
      </c>
      <c r="DP423" s="399">
        <v>-455.54361793258977</v>
      </c>
      <c r="DQ423" s="399">
        <v>0</v>
      </c>
      <c r="DR423" s="399">
        <v>0</v>
      </c>
      <c r="DS423" s="399"/>
      <c r="DT423" s="399"/>
      <c r="DU423" s="399"/>
      <c r="DV423" s="399">
        <v>878901.47948110616</v>
      </c>
      <c r="DW423" s="399">
        <v>0</v>
      </c>
      <c r="DX423" s="399">
        <v>0</v>
      </c>
      <c r="DY423" s="399">
        <v>-291692.5421000002</v>
      </c>
      <c r="DZ423" s="399">
        <v>26480.531319999951</v>
      </c>
      <c r="EA423" s="399">
        <v>0</v>
      </c>
      <c r="EB423" s="399">
        <v>0</v>
      </c>
      <c r="EC423" s="399">
        <v>-271757.15036302875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144596.87280187634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230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422</v>
      </c>
      <c r="B424" s="399" t="s">
        <v>2331</v>
      </c>
      <c r="C424" s="399" t="s">
        <v>2328</v>
      </c>
      <c r="D424" s="399" t="s">
        <v>1823</v>
      </c>
      <c r="E424" s="399" t="s">
        <v>889</v>
      </c>
      <c r="F424" s="399" t="s">
        <v>889</v>
      </c>
      <c r="G424" s="399" t="s">
        <v>1239</v>
      </c>
      <c r="H424" s="399" t="s">
        <v>1239</v>
      </c>
      <c r="I424" s="399" t="s">
        <v>1239</v>
      </c>
      <c r="J424" s="399" t="s">
        <v>2329</v>
      </c>
      <c r="K424" s="789">
        <v>44713</v>
      </c>
      <c r="L424" s="399">
        <v>0</v>
      </c>
      <c r="M424" s="399">
        <v>0</v>
      </c>
      <c r="N424" s="399">
        <v>39.527000000000001</v>
      </c>
      <c r="O424" s="399">
        <v>39.527000000000001</v>
      </c>
      <c r="P424" s="399">
        <v>39.527000000000001</v>
      </c>
      <c r="Q424" s="399">
        <v>39.527000000000001</v>
      </c>
      <c r="R424" s="399"/>
      <c r="S424" s="399">
        <v>333.61</v>
      </c>
      <c r="T424" s="399">
        <v>128.11000000000001</v>
      </c>
      <c r="U424" s="399"/>
      <c r="V424" s="399">
        <v>18250.406440000002</v>
      </c>
      <c r="W424" s="399">
        <v>18250.406440000002</v>
      </c>
      <c r="X424" s="399">
        <v>15930.56681</v>
      </c>
      <c r="Y424" s="399">
        <v>0</v>
      </c>
      <c r="Z424" s="399">
        <v>2419.6868260731876</v>
      </c>
      <c r="AA424" s="399">
        <v>0</v>
      </c>
      <c r="AB424" s="399">
        <v>0</v>
      </c>
      <c r="AC424" s="399">
        <v>0</v>
      </c>
      <c r="AD424" s="399">
        <v>0</v>
      </c>
      <c r="AE424" s="399">
        <v>7687.8512287938165</v>
      </c>
      <c r="AF424" s="399">
        <v>5063.8453320482085</v>
      </c>
      <c r="AG424" s="399">
        <v>0</v>
      </c>
      <c r="AH424" s="399">
        <v>0</v>
      </c>
      <c r="AI424" s="399">
        <v>0</v>
      </c>
      <c r="AJ424" s="399">
        <v>0</v>
      </c>
      <c r="AK424" s="399">
        <v>0</v>
      </c>
      <c r="AL424" s="399">
        <v>373.68234528064215</v>
      </c>
      <c r="AM424" s="399"/>
      <c r="AN424" s="399">
        <v>34.008552770911081</v>
      </c>
      <c r="AO424" s="399">
        <v>137.39664919700493</v>
      </c>
      <c r="AP424" s="399">
        <v>732.93475664071775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536.31699407278279</v>
      </c>
      <c r="BH424" s="399">
        <v>0</v>
      </c>
      <c r="BI424" s="399">
        <v>0</v>
      </c>
      <c r="BJ424" s="399">
        <v>0</v>
      </c>
      <c r="BK424" s="399">
        <v>7644.62</v>
      </c>
      <c r="BL424" s="399">
        <v>82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5600.1623261209916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15931.775900000001</v>
      </c>
      <c r="CJ424" s="399">
        <v>-2318.6605400000008</v>
      </c>
      <c r="CK424" s="399"/>
      <c r="CL424" s="399"/>
      <c r="CM424" s="399"/>
      <c r="CN424" s="399"/>
      <c r="CO424" s="399">
        <v>-2551.4678500000005</v>
      </c>
      <c r="CP424" s="399">
        <v>231.62821999999943</v>
      </c>
      <c r="CQ424" s="399">
        <v>30</v>
      </c>
      <c r="CR424" s="399">
        <v>56.963027515663271</v>
      </c>
      <c r="CS424" s="399">
        <v>10.029379718559397</v>
      </c>
      <c r="CT424" s="399">
        <v>53.501166340236409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0</v>
      </c>
      <c r="DA424" s="399">
        <v>0</v>
      </c>
      <c r="DB424" s="399">
        <v>0</v>
      </c>
      <c r="DC424" s="399">
        <v>231.60585789798188</v>
      </c>
      <c r="DD424" s="399">
        <v>0</v>
      </c>
      <c r="DE424" s="399">
        <v>0</v>
      </c>
      <c r="DF424" s="399">
        <v>0</v>
      </c>
      <c r="DG424" s="399">
        <v>24.529611268207645</v>
      </c>
      <c r="DH424" s="399">
        <v>0</v>
      </c>
      <c r="DI424" s="399">
        <v>-228.88103825587541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-29.837257602706529</v>
      </c>
      <c r="DP424" s="399">
        <v>-3.9846918507406244</v>
      </c>
      <c r="DQ424" s="399">
        <v>0</v>
      </c>
      <c r="DR424" s="399">
        <v>0</v>
      </c>
      <c r="DS424" s="399"/>
      <c r="DT424" s="399"/>
      <c r="DU424" s="399"/>
      <c r="DV424" s="399">
        <v>7687.8512287938165</v>
      </c>
      <c r="DW424" s="399">
        <v>0</v>
      </c>
      <c r="DX424" s="399">
        <v>0</v>
      </c>
      <c r="DY424" s="399">
        <v>-2551.4678500000009</v>
      </c>
      <c r="DZ424" s="399">
        <v>231.6282199999996</v>
      </c>
      <c r="EA424" s="399">
        <v>0</v>
      </c>
      <c r="EB424" s="399">
        <v>0</v>
      </c>
      <c r="EC424" s="399">
        <v>-2377.0907105371743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1264.8052963865161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230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423</v>
      </c>
      <c r="B425" s="399" t="s">
        <v>956</v>
      </c>
      <c r="C425" s="399" t="s">
        <v>2328</v>
      </c>
      <c r="D425" s="399" t="s">
        <v>1823</v>
      </c>
      <c r="E425" s="399" t="s">
        <v>889</v>
      </c>
      <c r="F425" s="399" t="s">
        <v>2332</v>
      </c>
      <c r="G425" s="399" t="s">
        <v>1239</v>
      </c>
      <c r="H425" s="399" t="s">
        <v>1239</v>
      </c>
      <c r="I425" s="399" t="s">
        <v>1239</v>
      </c>
      <c r="J425" s="399" t="s">
        <v>2329</v>
      </c>
      <c r="K425" s="789">
        <v>44713</v>
      </c>
      <c r="L425" s="399">
        <v>0</v>
      </c>
      <c r="M425" s="399">
        <v>0</v>
      </c>
      <c r="N425" s="399">
        <v>22.44</v>
      </c>
      <c r="O425" s="399">
        <v>22.44</v>
      </c>
      <c r="P425" s="399">
        <v>22.44</v>
      </c>
      <c r="Q425" s="399">
        <v>22.44</v>
      </c>
      <c r="R425" s="399"/>
      <c r="S425" s="399">
        <v>230.94</v>
      </c>
      <c r="T425" s="399">
        <v>128.11000000000001</v>
      </c>
      <c r="U425" s="399"/>
      <c r="V425" s="399">
        <v>8057.0820000000003</v>
      </c>
      <c r="W425" s="399">
        <v>8057.0820000000003</v>
      </c>
      <c r="X425" s="399">
        <v>6886.8360000000011</v>
      </c>
      <c r="Y425" s="399">
        <v>0</v>
      </c>
      <c r="Z425" s="399">
        <v>0</v>
      </c>
      <c r="AA425" s="399">
        <v>0</v>
      </c>
      <c r="AB425" s="399">
        <v>0</v>
      </c>
      <c r="AC425" s="399">
        <v>0</v>
      </c>
      <c r="AD425" s="399">
        <v>0</v>
      </c>
      <c r="AE425" s="399">
        <v>4364.4946890513638</v>
      </c>
      <c r="AF425" s="399">
        <v>2874.8118817811064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0</v>
      </c>
      <c r="AM425" s="399"/>
      <c r="AN425" s="399">
        <v>19.307104616572083</v>
      </c>
      <c r="AO425" s="399">
        <v>78.001892579269636</v>
      </c>
      <c r="AP425" s="399">
        <v>416.09674245497274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304.47424158153279</v>
      </c>
      <c r="BH425" s="399">
        <v>0</v>
      </c>
      <c r="BI425" s="399">
        <v>0</v>
      </c>
      <c r="BJ425" s="399">
        <v>0</v>
      </c>
      <c r="BK425" s="399">
        <v>321.64</v>
      </c>
      <c r="BL425" s="399">
        <v>23</v>
      </c>
      <c r="BM425" s="399"/>
      <c r="BN425" s="399"/>
      <c r="BO425" s="399"/>
      <c r="BP425" s="399"/>
      <c r="BQ425" s="399"/>
      <c r="BR425" s="399"/>
      <c r="BS425" s="399"/>
      <c r="BT425" s="399">
        <v>4476.3312000000005</v>
      </c>
      <c r="BU425" s="399"/>
      <c r="BV425" s="399">
        <v>3179.286123362639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2410.5048000000002</v>
      </c>
      <c r="CJ425" s="399">
        <v>-409.55999999999995</v>
      </c>
      <c r="CK425" s="399"/>
      <c r="CL425" s="399"/>
      <c r="CM425" s="399"/>
      <c r="CN425" s="399"/>
      <c r="CO425" s="399">
        <v>-1301.7443999999998</v>
      </c>
      <c r="CP425" s="399">
        <v>131.49839999999966</v>
      </c>
      <c r="CQ425" s="399">
        <v>30</v>
      </c>
      <c r="CR425" s="399">
        <v>179.21645701717989</v>
      </c>
      <c r="CS425" s="399">
        <v>5.6938113412217746</v>
      </c>
      <c r="CT425" s="399">
        <v>30.373318811822401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0</v>
      </c>
      <c r="DA425" s="399">
        <v>0</v>
      </c>
      <c r="DB425" s="399">
        <v>0</v>
      </c>
      <c r="DC425" s="399">
        <v>131.48570473931022</v>
      </c>
      <c r="DD425" s="399">
        <v>0</v>
      </c>
      <c r="DE425" s="399">
        <v>0</v>
      </c>
      <c r="DF425" s="399">
        <v>0</v>
      </c>
      <c r="DG425" s="399">
        <v>13.925784321060974</v>
      </c>
      <c r="DH425" s="399">
        <v>0</v>
      </c>
      <c r="DI425" s="399">
        <v>0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0</v>
      </c>
      <c r="DP425" s="399">
        <v>-2.2621621962359839</v>
      </c>
      <c r="DQ425" s="399">
        <v>0</v>
      </c>
      <c r="DR425" s="399">
        <v>0</v>
      </c>
      <c r="DS425" s="399"/>
      <c r="DT425" s="399"/>
      <c r="DU425" s="399"/>
      <c r="DV425" s="399">
        <v>4364.4946890513638</v>
      </c>
      <c r="DW425" s="399">
        <v>0</v>
      </c>
      <c r="DX425" s="399">
        <v>0</v>
      </c>
      <c r="DY425" s="399">
        <v>-1301.7443999999996</v>
      </c>
      <c r="DZ425" s="399">
        <v>131.49839999999995</v>
      </c>
      <c r="EA425" s="399">
        <v>0</v>
      </c>
      <c r="EB425" s="399">
        <v>0</v>
      </c>
      <c r="EC425" s="399">
        <v>-1349.5057946328889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230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424</v>
      </c>
      <c r="B426" s="399" t="s">
        <v>956</v>
      </c>
      <c r="C426" s="399" t="s">
        <v>2328</v>
      </c>
      <c r="D426" s="399" t="s">
        <v>1823</v>
      </c>
      <c r="E426" s="399" t="s">
        <v>889</v>
      </c>
      <c r="F426" s="399" t="s">
        <v>2333</v>
      </c>
      <c r="G426" s="399" t="s">
        <v>1239</v>
      </c>
      <c r="H426" s="399" t="s">
        <v>1239</v>
      </c>
      <c r="I426" s="399" t="s">
        <v>1239</v>
      </c>
      <c r="J426" s="399" t="s">
        <v>2329</v>
      </c>
      <c r="K426" s="789">
        <v>44713</v>
      </c>
      <c r="L426" s="399">
        <v>0</v>
      </c>
      <c r="M426" s="399">
        <v>0</v>
      </c>
      <c r="N426" s="399">
        <v>47.252000000000002</v>
      </c>
      <c r="O426" s="399">
        <v>47.252000000000002</v>
      </c>
      <c r="P426" s="399">
        <v>47.252000000000002</v>
      </c>
      <c r="Q426" s="399">
        <v>47.252000000000002</v>
      </c>
      <c r="R426" s="399"/>
      <c r="S426" s="399">
        <v>230.94</v>
      </c>
      <c r="T426" s="399">
        <v>128.11000000000001</v>
      </c>
      <c r="U426" s="399"/>
      <c r="V426" s="399">
        <v>16965.830600000001</v>
      </c>
      <c r="W426" s="399">
        <v>16965.830600000001</v>
      </c>
      <c r="X426" s="399">
        <v>14501.638800000001</v>
      </c>
      <c r="Y426" s="399">
        <v>0</v>
      </c>
      <c r="Z426" s="399">
        <v>0</v>
      </c>
      <c r="AA426" s="399">
        <v>0</v>
      </c>
      <c r="AB426" s="399">
        <v>0</v>
      </c>
      <c r="AC426" s="399">
        <v>0</v>
      </c>
      <c r="AD426" s="399">
        <v>0</v>
      </c>
      <c r="AE426" s="399">
        <v>9190.3343603856974</v>
      </c>
      <c r="AF426" s="399">
        <v>6053.5031656827468</v>
      </c>
      <c r="AG426" s="399">
        <v>0</v>
      </c>
      <c r="AH426" s="399">
        <v>0</v>
      </c>
      <c r="AI426" s="399">
        <v>0</v>
      </c>
      <c r="AJ426" s="399">
        <v>0</v>
      </c>
      <c r="AK426" s="399">
        <v>0</v>
      </c>
      <c r="AL426" s="399">
        <v>0</v>
      </c>
      <c r="AM426" s="399"/>
      <c r="AN426" s="399">
        <v>40.65504934680321</v>
      </c>
      <c r="AO426" s="399">
        <v>164.24890499802356</v>
      </c>
      <c r="AP426" s="399">
        <v>876.17661650990954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641.13265878835057</v>
      </c>
      <c r="BH426" s="399">
        <v>0</v>
      </c>
      <c r="BI426" s="399">
        <v>0</v>
      </c>
      <c r="BJ426" s="399">
        <v>0</v>
      </c>
      <c r="BK426" s="399">
        <v>1188.1099999999999</v>
      </c>
      <c r="BL426" s="399">
        <v>133</v>
      </c>
      <c r="BM426" s="399"/>
      <c r="BN426" s="399"/>
      <c r="BO426" s="399"/>
      <c r="BP426" s="399"/>
      <c r="BQ426" s="399"/>
      <c r="BR426" s="399"/>
      <c r="BS426" s="399"/>
      <c r="BT426" s="399">
        <v>5800.6555200000003</v>
      </c>
      <c r="BU426" s="399"/>
      <c r="BV426" s="399">
        <v>6694.6358244710973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8700.6149999999998</v>
      </c>
      <c r="CJ426" s="399">
        <v>-1479.3858800000016</v>
      </c>
      <c r="CK426" s="399"/>
      <c r="CL426" s="399"/>
      <c r="CM426" s="399"/>
      <c r="CN426" s="399"/>
      <c r="CO426" s="399">
        <v>-2741.0885199999998</v>
      </c>
      <c r="CP426" s="399">
        <v>276.89671999999933</v>
      </c>
      <c r="CQ426" s="399">
        <v>30</v>
      </c>
      <c r="CR426" s="399">
        <v>377.37682829660389</v>
      </c>
      <c r="CS426" s="399">
        <v>11.989481884822254</v>
      </c>
      <c r="CT426" s="399">
        <v>63.95722194724749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0</v>
      </c>
      <c r="DA426" s="399">
        <v>0</v>
      </c>
      <c r="DB426" s="399">
        <v>0</v>
      </c>
      <c r="DC426" s="399">
        <v>276.86998753751777</v>
      </c>
      <c r="DD426" s="399">
        <v>0</v>
      </c>
      <c r="DE426" s="399">
        <v>0</v>
      </c>
      <c r="DF426" s="399">
        <v>0</v>
      </c>
      <c r="DG426" s="399">
        <v>29.323581138091527</v>
      </c>
      <c r="DH426" s="399">
        <v>0</v>
      </c>
      <c r="DI426" s="399">
        <v>0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0</v>
      </c>
      <c r="DP426" s="399">
        <v>-4.7634442110758712</v>
      </c>
      <c r="DQ426" s="399">
        <v>0</v>
      </c>
      <c r="DR426" s="399">
        <v>0</v>
      </c>
      <c r="DS426" s="399"/>
      <c r="DT426" s="399"/>
      <c r="DU426" s="399"/>
      <c r="DV426" s="399">
        <v>9190.3343603856974</v>
      </c>
      <c r="DW426" s="399">
        <v>0</v>
      </c>
      <c r="DX426" s="399">
        <v>0</v>
      </c>
      <c r="DY426" s="399">
        <v>-2741.0885199999993</v>
      </c>
      <c r="DZ426" s="399">
        <v>276.89671999999882</v>
      </c>
      <c r="EA426" s="399">
        <v>0</v>
      </c>
      <c r="EB426" s="399">
        <v>0</v>
      </c>
      <c r="EC426" s="399">
        <v>-2841.6598844916789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230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425</v>
      </c>
      <c r="B427" s="399" t="s">
        <v>956</v>
      </c>
      <c r="C427" s="399" t="s">
        <v>2328</v>
      </c>
      <c r="D427" s="399" t="s">
        <v>1823</v>
      </c>
      <c r="E427" s="399" t="s">
        <v>889</v>
      </c>
      <c r="F427" s="399" t="s">
        <v>2334</v>
      </c>
      <c r="G427" s="399" t="s">
        <v>1239</v>
      </c>
      <c r="H427" s="399" t="s">
        <v>1239</v>
      </c>
      <c r="I427" s="399" t="s">
        <v>1239</v>
      </c>
      <c r="J427" s="399" t="s">
        <v>2329</v>
      </c>
      <c r="K427" s="789">
        <v>44713</v>
      </c>
      <c r="L427" s="399">
        <v>0</v>
      </c>
      <c r="M427" s="399">
        <v>0</v>
      </c>
      <c r="N427" s="399">
        <v>49.460999999999999</v>
      </c>
      <c r="O427" s="399">
        <v>49.460999999999999</v>
      </c>
      <c r="P427" s="399">
        <v>49.460999999999999</v>
      </c>
      <c r="Q427" s="399">
        <v>49.460999999999999</v>
      </c>
      <c r="R427" s="399"/>
      <c r="S427" s="399">
        <v>230.94</v>
      </c>
      <c r="T427" s="399">
        <v>128.11000000000001</v>
      </c>
      <c r="U427" s="399"/>
      <c r="V427" s="399">
        <v>17758.97205</v>
      </c>
      <c r="W427" s="399">
        <v>17758.97205</v>
      </c>
      <c r="X427" s="399">
        <v>15179.580900000001</v>
      </c>
      <c r="Y427" s="399">
        <v>0</v>
      </c>
      <c r="Z427" s="399">
        <v>0</v>
      </c>
      <c r="AA427" s="399">
        <v>0</v>
      </c>
      <c r="AB427" s="399">
        <v>0</v>
      </c>
      <c r="AC427" s="399">
        <v>0</v>
      </c>
      <c r="AD427" s="399">
        <v>0</v>
      </c>
      <c r="AE427" s="399">
        <v>9619.9764623515803</v>
      </c>
      <c r="AF427" s="399">
        <v>6336.5004672359755</v>
      </c>
      <c r="AG427" s="399">
        <v>0</v>
      </c>
      <c r="AH427" s="399">
        <v>0</v>
      </c>
      <c r="AI427" s="399">
        <v>0</v>
      </c>
      <c r="AJ427" s="399">
        <v>0</v>
      </c>
      <c r="AK427" s="399">
        <v>0</v>
      </c>
      <c r="AL427" s="399">
        <v>0</v>
      </c>
      <c r="AM427" s="399"/>
      <c r="AN427" s="399">
        <v>42.555646231741164</v>
      </c>
      <c r="AO427" s="399">
        <v>171.92743355005592</v>
      </c>
      <c r="AP427" s="399">
        <v>917.13729851004473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671.10518996720998</v>
      </c>
      <c r="BH427" s="399">
        <v>0</v>
      </c>
      <c r="BI427" s="399">
        <v>0</v>
      </c>
      <c r="BJ427" s="399">
        <v>0</v>
      </c>
      <c r="BK427" s="399">
        <v>3143.42</v>
      </c>
      <c r="BL427" s="399">
        <v>349</v>
      </c>
      <c r="BM427" s="399"/>
      <c r="BN427" s="399"/>
      <c r="BO427" s="399"/>
      <c r="BP427" s="399"/>
      <c r="BQ427" s="399"/>
      <c r="BR427" s="399"/>
      <c r="BS427" s="399"/>
      <c r="BT427" s="399">
        <v>1517.9580900000012</v>
      </c>
      <c r="BU427" s="399"/>
      <c r="BV427" s="399">
        <v>7007.6056572031857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13661.346599999999</v>
      </c>
      <c r="CJ427" s="399">
        <v>-2322.0055500000017</v>
      </c>
      <c r="CK427" s="399"/>
      <c r="CL427" s="399"/>
      <c r="CM427" s="399"/>
      <c r="CN427" s="399"/>
      <c r="CO427" s="399">
        <v>-2869.2326099999996</v>
      </c>
      <c r="CP427" s="399">
        <v>289.84145999999924</v>
      </c>
      <c r="CQ427" s="399">
        <v>30</v>
      </c>
      <c r="CR427" s="399">
        <v>395.01894743880257</v>
      </c>
      <c r="CS427" s="399">
        <v>12.549982297155537</v>
      </c>
      <c r="CT427" s="399">
        <v>66.947180113705372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0</v>
      </c>
      <c r="DA427" s="399">
        <v>0</v>
      </c>
      <c r="DB427" s="399">
        <v>0</v>
      </c>
      <c r="DC427" s="399">
        <v>289.81347781243403</v>
      </c>
      <c r="DD427" s="399">
        <v>0</v>
      </c>
      <c r="DE427" s="399">
        <v>0</v>
      </c>
      <c r="DF427" s="399">
        <v>0</v>
      </c>
      <c r="DG427" s="399">
        <v>30.694439318359969</v>
      </c>
      <c r="DH427" s="399">
        <v>0</v>
      </c>
      <c r="DI427" s="399">
        <v>0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0</v>
      </c>
      <c r="DP427" s="399">
        <v>-4.986132102853297</v>
      </c>
      <c r="DQ427" s="399">
        <v>0</v>
      </c>
      <c r="DR427" s="399">
        <v>0</v>
      </c>
      <c r="DS427" s="399"/>
      <c r="DT427" s="399"/>
      <c r="DU427" s="399"/>
      <c r="DV427" s="399">
        <v>9619.9764623515803</v>
      </c>
      <c r="DW427" s="399">
        <v>0</v>
      </c>
      <c r="DX427" s="399">
        <v>0</v>
      </c>
      <c r="DY427" s="399">
        <v>-2869.2326099999991</v>
      </c>
      <c r="DZ427" s="399">
        <v>289.84145999999873</v>
      </c>
      <c r="EA427" s="399">
        <v>0</v>
      </c>
      <c r="EB427" s="399">
        <v>0</v>
      </c>
      <c r="EC427" s="399">
        <v>-2974.5056198011271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0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230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426</v>
      </c>
      <c r="B428" s="399" t="s">
        <v>956</v>
      </c>
      <c r="C428" s="399" t="s">
        <v>2328</v>
      </c>
      <c r="D428" s="399" t="s">
        <v>1823</v>
      </c>
      <c r="E428" s="399" t="s">
        <v>889</v>
      </c>
      <c r="F428" s="399" t="s">
        <v>2335</v>
      </c>
      <c r="G428" s="399" t="s">
        <v>1239</v>
      </c>
      <c r="H428" s="399" t="s">
        <v>1239</v>
      </c>
      <c r="I428" s="399" t="s">
        <v>1239</v>
      </c>
      <c r="J428" s="399" t="s">
        <v>2329</v>
      </c>
      <c r="K428" s="789">
        <v>44713</v>
      </c>
      <c r="L428" s="399">
        <v>0</v>
      </c>
      <c r="M428" s="399">
        <v>0</v>
      </c>
      <c r="N428" s="399">
        <v>25.545999999999999</v>
      </c>
      <c r="O428" s="399">
        <v>25.545999999999999</v>
      </c>
      <c r="P428" s="399">
        <v>25.545999999999999</v>
      </c>
      <c r="Q428" s="399">
        <v>25.545999999999999</v>
      </c>
      <c r="R428" s="399"/>
      <c r="S428" s="399">
        <v>230.94</v>
      </c>
      <c r="T428" s="399">
        <v>128.11000000000001</v>
      </c>
      <c r="U428" s="399"/>
      <c r="V428" s="399">
        <v>9172.2913000000008</v>
      </c>
      <c r="W428" s="399">
        <v>9172.2913000000008</v>
      </c>
      <c r="X428" s="399">
        <v>7840.0673999999999</v>
      </c>
      <c r="Y428" s="399">
        <v>0</v>
      </c>
      <c r="Z428" s="399">
        <v>0</v>
      </c>
      <c r="AA428" s="399">
        <v>0</v>
      </c>
      <c r="AB428" s="399">
        <v>0</v>
      </c>
      <c r="AC428" s="399">
        <v>0</v>
      </c>
      <c r="AD428" s="399">
        <v>0</v>
      </c>
      <c r="AE428" s="399">
        <v>4968.5998808603445</v>
      </c>
      <c r="AF428" s="399">
        <v>3272.7247919777246</v>
      </c>
      <c r="AG428" s="399">
        <v>0</v>
      </c>
      <c r="AH428" s="399">
        <v>0</v>
      </c>
      <c r="AI428" s="399">
        <v>0</v>
      </c>
      <c r="AJ428" s="399">
        <v>0</v>
      </c>
      <c r="AK428" s="399">
        <v>0</v>
      </c>
      <c r="AL428" s="399">
        <v>0</v>
      </c>
      <c r="AM428" s="399"/>
      <c r="AN428" s="399">
        <v>21.979469453429161</v>
      </c>
      <c r="AO428" s="399">
        <v>88.79841122237174</v>
      </c>
      <c r="AP428" s="399">
        <v>473.69016857195777</v>
      </c>
      <c r="AQ428" s="399">
        <v>0</v>
      </c>
      <c r="AR428" s="399">
        <v>0</v>
      </c>
      <c r="AS428" s="399">
        <v>0</v>
      </c>
      <c r="AT428" s="399">
        <v>0</v>
      </c>
      <c r="AU428" s="399">
        <v>0</v>
      </c>
      <c r="AV428" s="399">
        <v>0</v>
      </c>
      <c r="AW428" s="399">
        <v>0</v>
      </c>
      <c r="AX428" s="399">
        <v>0</v>
      </c>
      <c r="AY428" s="399">
        <v>0</v>
      </c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>
        <v>0</v>
      </c>
      <c r="BG428" s="399">
        <v>346.61760140115132</v>
      </c>
      <c r="BH428" s="399">
        <v>0</v>
      </c>
      <c r="BI428" s="399">
        <v>0</v>
      </c>
      <c r="BJ428" s="399">
        <v>0</v>
      </c>
      <c r="BK428" s="399">
        <v>2612.1799999999998</v>
      </c>
      <c r="BL428" s="399">
        <v>243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3619.3423933788758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7841.2950000000001</v>
      </c>
      <c r="CJ428" s="399">
        <v>-1331.0263000000014</v>
      </c>
      <c r="CK428" s="399"/>
      <c r="CL428" s="399"/>
      <c r="CM428" s="399"/>
      <c r="CN428" s="399"/>
      <c r="CO428" s="399">
        <v>-1481.9234599999997</v>
      </c>
      <c r="CP428" s="399">
        <v>149.69955999999962</v>
      </c>
      <c r="CQ428" s="399">
        <v>30</v>
      </c>
      <c r="CR428" s="399">
        <v>204.02244255618825</v>
      </c>
      <c r="CS428" s="399">
        <v>6.481911966258977</v>
      </c>
      <c r="CT428" s="399">
        <v>34.577397609929392</v>
      </c>
      <c r="CU428" s="399">
        <v>0</v>
      </c>
      <c r="CV428" s="399">
        <v>0</v>
      </c>
      <c r="CW428" s="399">
        <v>0</v>
      </c>
      <c r="CX428" s="399">
        <v>0</v>
      </c>
      <c r="CY428" s="399">
        <v>0</v>
      </c>
      <c r="CZ428" s="399">
        <v>0</v>
      </c>
      <c r="DA428" s="399">
        <v>0</v>
      </c>
      <c r="DB428" s="399">
        <v>0</v>
      </c>
      <c r="DC428" s="399">
        <v>149.68510754324507</v>
      </c>
      <c r="DD428" s="399">
        <v>0</v>
      </c>
      <c r="DE428" s="399">
        <v>0</v>
      </c>
      <c r="DF428" s="399">
        <v>0</v>
      </c>
      <c r="DG428" s="399">
        <v>15.853301526997541</v>
      </c>
      <c r="DH428" s="399">
        <v>0</v>
      </c>
      <c r="DI428" s="399">
        <v>0</v>
      </c>
      <c r="DJ428" s="399"/>
      <c r="DK428" s="399">
        <v>0</v>
      </c>
      <c r="DL428" s="399">
        <v>0</v>
      </c>
      <c r="DM428" s="399">
        <v>0</v>
      </c>
      <c r="DN428" s="399">
        <v>0</v>
      </c>
      <c r="DO428" s="399">
        <v>0</v>
      </c>
      <c r="DP428" s="399">
        <v>-2.5752760902426175</v>
      </c>
      <c r="DQ428" s="399">
        <v>0</v>
      </c>
      <c r="DR428" s="399">
        <v>0</v>
      </c>
      <c r="DS428" s="399"/>
      <c r="DT428" s="399"/>
      <c r="DU428" s="399"/>
      <c r="DV428" s="399">
        <v>4968.5998808603445</v>
      </c>
      <c r="DW428" s="399">
        <v>0</v>
      </c>
      <c r="DX428" s="399">
        <v>0</v>
      </c>
      <c r="DY428" s="399">
        <v>-1481.92346</v>
      </c>
      <c r="DZ428" s="399">
        <v>149.69955999999956</v>
      </c>
      <c r="EA428" s="399">
        <v>0</v>
      </c>
      <c r="EB428" s="399">
        <v>0</v>
      </c>
      <c r="EC428" s="399">
        <v>-1536.2956786850168</v>
      </c>
      <c r="ED428" s="399">
        <v>0</v>
      </c>
      <c r="EE428" s="399">
        <v>0</v>
      </c>
      <c r="EF428" s="399">
        <v>0</v>
      </c>
      <c r="EG428" s="399">
        <v>0</v>
      </c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>
        <v>0</v>
      </c>
      <c r="EN428" s="399">
        <v>0</v>
      </c>
      <c r="EO428" s="399">
        <v>0</v>
      </c>
      <c r="EP428" s="399">
        <v>0</v>
      </c>
      <c r="EQ428" s="399">
        <v>0</v>
      </c>
      <c r="ER428" s="399">
        <v>0</v>
      </c>
      <c r="ES428" s="399">
        <v>0</v>
      </c>
      <c r="ET428" s="399">
        <v>0</v>
      </c>
      <c r="EU428" s="399">
        <v>0</v>
      </c>
      <c r="EV428" s="399">
        <v>230</v>
      </c>
      <c r="EW428" s="399">
        <v>0</v>
      </c>
      <c r="EX428" s="399">
        <v>0</v>
      </c>
      <c r="EY428" s="399">
        <v>0</v>
      </c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427</v>
      </c>
      <c r="B429" s="399" t="s">
        <v>956</v>
      </c>
      <c r="C429" s="399" t="s">
        <v>2338</v>
      </c>
      <c r="D429" s="399" t="s">
        <v>1823</v>
      </c>
      <c r="E429" s="399" t="s">
        <v>889</v>
      </c>
      <c r="F429" s="399" t="s">
        <v>889</v>
      </c>
      <c r="G429" s="399" t="s">
        <v>1239</v>
      </c>
      <c r="H429" s="399" t="s">
        <v>1239</v>
      </c>
      <c r="I429" s="399" t="s">
        <v>893</v>
      </c>
      <c r="J429" s="399" t="s">
        <v>2329</v>
      </c>
      <c r="K429" s="789">
        <v>44713</v>
      </c>
      <c r="L429" s="399">
        <v>0</v>
      </c>
      <c r="M429" s="399">
        <v>0</v>
      </c>
      <c r="N429" s="399">
        <v>4.5999999999999999E-2</v>
      </c>
      <c r="O429" s="399">
        <v>4.5999999999999999E-2</v>
      </c>
      <c r="P429" s="399">
        <v>4.5999999999999999E-2</v>
      </c>
      <c r="Q429" s="399">
        <v>4.5999999999999999E-2</v>
      </c>
      <c r="R429" s="399"/>
      <c r="S429" s="399">
        <v>701.69</v>
      </c>
      <c r="T429" s="399">
        <v>128.11000000000001</v>
      </c>
      <c r="U429" s="399"/>
      <c r="V429" s="399">
        <v>38.1708</v>
      </c>
      <c r="W429" s="399">
        <v>38.1708</v>
      </c>
      <c r="X429" s="399">
        <v>30.893599999999999</v>
      </c>
      <c r="Y429" s="399">
        <v>0</v>
      </c>
      <c r="Z429" s="399">
        <v>2.8159383206255626</v>
      </c>
      <c r="AA429" s="399">
        <v>0</v>
      </c>
      <c r="AB429" s="399">
        <v>0</v>
      </c>
      <c r="AC429" s="399">
        <v>0</v>
      </c>
      <c r="AD429" s="399">
        <v>0</v>
      </c>
      <c r="AE429" s="399">
        <v>24.156424352221311</v>
      </c>
      <c r="AF429" s="399">
        <v>5.8931081355584176</v>
      </c>
      <c r="AG429" s="399">
        <v>0</v>
      </c>
      <c r="AH429" s="399">
        <v>0</v>
      </c>
      <c r="AI429" s="399">
        <v>0</v>
      </c>
      <c r="AJ429" s="399">
        <v>0</v>
      </c>
      <c r="AK429" s="399">
        <v>0</v>
      </c>
      <c r="AL429" s="399">
        <v>0.43487711900497222</v>
      </c>
      <c r="AM429" s="399"/>
      <c r="AN429" s="399">
        <v>3.9577843688160239E-2</v>
      </c>
      <c r="AO429" s="399">
        <v>0.43173915918156619</v>
      </c>
      <c r="AP429" s="399">
        <v>2.3029870561051653</v>
      </c>
      <c r="AQ429" s="399">
        <v>0</v>
      </c>
      <c r="AR429" s="399">
        <v>0</v>
      </c>
      <c r="AS429" s="399">
        <v>0</v>
      </c>
      <c r="AT429" s="399">
        <v>0</v>
      </c>
      <c r="AU429" s="399">
        <v>0</v>
      </c>
      <c r="AV429" s="399">
        <v>0</v>
      </c>
      <c r="AW429" s="399">
        <v>0</v>
      </c>
      <c r="AX429" s="399">
        <v>0</v>
      </c>
      <c r="AY429" s="399">
        <v>0</v>
      </c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>
        <v>0</v>
      </c>
      <c r="BG429" s="399">
        <v>0.6241450585004682</v>
      </c>
      <c r="BH429" s="399">
        <v>0</v>
      </c>
      <c r="BI429" s="399">
        <v>0</v>
      </c>
      <c r="BJ429" s="399">
        <v>0</v>
      </c>
      <c r="BK429" s="399">
        <v>0</v>
      </c>
      <c r="BL429" s="399">
        <v>0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6.5172531940588856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33.580000000000005</v>
      </c>
      <c r="CJ429" s="399">
        <v>-4.6207999999999885</v>
      </c>
      <c r="CK429" s="399"/>
      <c r="CL429" s="399"/>
      <c r="CM429" s="399"/>
      <c r="CN429" s="399"/>
      <c r="CO429" s="399">
        <v>-7.5467600000000026</v>
      </c>
      <c r="CP429" s="399">
        <v>0.2695599999999993</v>
      </c>
      <c r="CQ429" s="399">
        <v>30</v>
      </c>
      <c r="CR429" s="399">
        <v>0.19198053049763963</v>
      </c>
      <c r="CS429" s="399">
        <v>3.151514969331437E-2</v>
      </c>
      <c r="CT429" s="399">
        <v>0.16810840590069098</v>
      </c>
      <c r="CU429" s="399">
        <v>0</v>
      </c>
      <c r="CV429" s="399">
        <v>0</v>
      </c>
      <c r="CW429" s="399">
        <v>0</v>
      </c>
      <c r="CX429" s="399">
        <v>0</v>
      </c>
      <c r="CY429" s="399">
        <v>0</v>
      </c>
      <c r="CZ429" s="399">
        <v>0</v>
      </c>
      <c r="DA429" s="399">
        <v>0</v>
      </c>
      <c r="DB429" s="399">
        <v>0</v>
      </c>
      <c r="DC429" s="399">
        <v>0.26953397584707073</v>
      </c>
      <c r="DD429" s="399">
        <v>0</v>
      </c>
      <c r="DE429" s="399">
        <v>0</v>
      </c>
      <c r="DF429" s="399">
        <v>0</v>
      </c>
      <c r="DG429" s="399">
        <v>2.8546616700927174E-2</v>
      </c>
      <c r="DH429" s="399">
        <v>0</v>
      </c>
      <c r="DI429" s="399">
        <v>-0.26636293570901515</v>
      </c>
      <c r="DJ429" s="399"/>
      <c r="DK429" s="399">
        <v>0</v>
      </c>
      <c r="DL429" s="399">
        <v>0</v>
      </c>
      <c r="DM429" s="399">
        <v>0</v>
      </c>
      <c r="DN429" s="399">
        <v>0</v>
      </c>
      <c r="DO429" s="399">
        <v>-3.4723451051800025E-2</v>
      </c>
      <c r="DP429" s="399">
        <v>-4.6372308835496978E-3</v>
      </c>
      <c r="DQ429" s="399">
        <v>0</v>
      </c>
      <c r="DR429" s="399">
        <v>0</v>
      </c>
      <c r="DS429" s="399"/>
      <c r="DT429" s="399"/>
      <c r="DU429" s="399"/>
      <c r="DV429" s="399">
        <v>24.156424352221311</v>
      </c>
      <c r="DW429" s="399">
        <v>0</v>
      </c>
      <c r="DX429" s="399">
        <v>0</v>
      </c>
      <c r="DY429" s="399">
        <v>-7.5467600000000026</v>
      </c>
      <c r="DZ429" s="399">
        <v>0.26955999999999936</v>
      </c>
      <c r="EA429" s="399">
        <v>0</v>
      </c>
      <c r="EB429" s="399">
        <v>0</v>
      </c>
      <c r="EC429" s="399">
        <v>-7.4691887522995479</v>
      </c>
      <c r="ED429" s="399">
        <v>0</v>
      </c>
      <c r="EE429" s="399">
        <v>0</v>
      </c>
      <c r="EF429" s="399">
        <v>0</v>
      </c>
      <c r="EG429" s="399">
        <v>0</v>
      </c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>
        <v>0</v>
      </c>
      <c r="EN429" s="399">
        <v>0</v>
      </c>
      <c r="EO429" s="399">
        <v>0</v>
      </c>
      <c r="EP429" s="399">
        <v>1.4719316829959204</v>
      </c>
      <c r="EQ429" s="399">
        <v>0</v>
      </c>
      <c r="ER429" s="399">
        <v>0</v>
      </c>
      <c r="ES429" s="399">
        <v>0</v>
      </c>
      <c r="ET429" s="399">
        <v>0</v>
      </c>
      <c r="EU429" s="399">
        <v>0</v>
      </c>
      <c r="EV429" s="399">
        <v>230</v>
      </c>
      <c r="EW429" s="399">
        <v>0</v>
      </c>
      <c r="EX429" s="399">
        <v>0</v>
      </c>
      <c r="EY429" s="399">
        <v>0</v>
      </c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428</v>
      </c>
      <c r="B430" s="399" t="s">
        <v>956</v>
      </c>
      <c r="C430" s="399" t="s">
        <v>2338</v>
      </c>
      <c r="D430" s="399" t="s">
        <v>1823</v>
      </c>
      <c r="E430" s="399" t="s">
        <v>889</v>
      </c>
      <c r="F430" s="399" t="s">
        <v>889</v>
      </c>
      <c r="G430" s="399" t="s">
        <v>1239</v>
      </c>
      <c r="H430" s="399" t="s">
        <v>1239</v>
      </c>
      <c r="I430" s="399" t="s">
        <v>2326</v>
      </c>
      <c r="J430" s="399" t="s">
        <v>2329</v>
      </c>
      <c r="K430" s="789">
        <v>44713</v>
      </c>
      <c r="L430" s="399">
        <v>0</v>
      </c>
      <c r="M430" s="399">
        <v>0</v>
      </c>
      <c r="N430" s="399">
        <v>0.35199999999999998</v>
      </c>
      <c r="O430" s="399">
        <v>0.35199999999999998</v>
      </c>
      <c r="P430" s="399">
        <v>0.35199999999999998</v>
      </c>
      <c r="Q430" s="399">
        <v>0.35199999999999998</v>
      </c>
      <c r="R430" s="399"/>
      <c r="S430" s="399">
        <v>234.02</v>
      </c>
      <c r="T430" s="399">
        <v>128.11000000000001</v>
      </c>
      <c r="U430" s="399"/>
      <c r="V430" s="399">
        <v>127.46976000000001</v>
      </c>
      <c r="W430" s="399">
        <v>127.46976000000001</v>
      </c>
      <c r="X430" s="399">
        <v>116.28319999999999</v>
      </c>
      <c r="Y430" s="399">
        <v>0</v>
      </c>
      <c r="Z430" s="399">
        <v>21.548049757830391</v>
      </c>
      <c r="AA430" s="399">
        <v>0</v>
      </c>
      <c r="AB430" s="399">
        <v>0</v>
      </c>
      <c r="AC430" s="399">
        <v>0</v>
      </c>
      <c r="AD430" s="399">
        <v>0</v>
      </c>
      <c r="AE430" s="399">
        <v>36.969820243235262</v>
      </c>
      <c r="AF430" s="399">
        <v>45.095088341664407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3.3277553454293529</v>
      </c>
      <c r="AM430" s="399"/>
      <c r="AN430" s="399">
        <v>0.30285654300505227</v>
      </c>
      <c r="AO430" s="399">
        <v>0.66077291041939579</v>
      </c>
      <c r="AP430" s="399">
        <v>3.5245599701769952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4.7760665346122781</v>
      </c>
      <c r="BH430" s="399">
        <v>0</v>
      </c>
      <c r="BI430" s="399">
        <v>0</v>
      </c>
      <c r="BJ430" s="399">
        <v>0</v>
      </c>
      <c r="BK430" s="399">
        <v>0</v>
      </c>
      <c r="BL430" s="399">
        <v>0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49.871154876276684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115.62249999999999</v>
      </c>
      <c r="CJ430" s="399">
        <v>-11.877260000000035</v>
      </c>
      <c r="CK430" s="399"/>
      <c r="CL430" s="399"/>
      <c r="CM430" s="399"/>
      <c r="CN430" s="399"/>
      <c r="CO430" s="399">
        <v>-13.249280000000004</v>
      </c>
      <c r="CP430" s="399">
        <v>2.0627199999999948</v>
      </c>
      <c r="CQ430" s="399">
        <v>30</v>
      </c>
      <c r="CR430" s="399">
        <v>0.24702600706258693</v>
      </c>
      <c r="CS430" s="399">
        <v>4.8233653914160013E-2</v>
      </c>
      <c r="CT430" s="399">
        <v>0.25727811040757764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0</v>
      </c>
      <c r="DA430" s="399">
        <v>0</v>
      </c>
      <c r="DB430" s="399">
        <v>0</v>
      </c>
      <c r="DC430" s="399">
        <v>2.0625208586558514</v>
      </c>
      <c r="DD430" s="399">
        <v>0</v>
      </c>
      <c r="DE430" s="399">
        <v>0</v>
      </c>
      <c r="DF430" s="399">
        <v>0</v>
      </c>
      <c r="DG430" s="399">
        <v>0.21844367562448674</v>
      </c>
      <c r="DH430" s="399">
        <v>0</v>
      </c>
      <c r="DI430" s="399">
        <v>-2.0382555080342044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-0.26570988630942649</v>
      </c>
      <c r="DP430" s="399">
        <v>-3.5484897195858567E-2</v>
      </c>
      <c r="DQ430" s="399">
        <v>0</v>
      </c>
      <c r="DR430" s="399">
        <v>0</v>
      </c>
      <c r="DS430" s="399"/>
      <c r="DT430" s="399"/>
      <c r="DU430" s="399"/>
      <c r="DV430" s="399">
        <v>36.969820243235262</v>
      </c>
      <c r="DW430" s="399">
        <v>0</v>
      </c>
      <c r="DX430" s="399">
        <v>0</v>
      </c>
      <c r="DY430" s="399">
        <v>-13.249279999999999</v>
      </c>
      <c r="DZ430" s="399">
        <v>2.0627199999999917</v>
      </c>
      <c r="EA430" s="399">
        <v>0</v>
      </c>
      <c r="EB430" s="399">
        <v>0</v>
      </c>
      <c r="EC430" s="399">
        <v>-11.43110261307833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11.263477226403564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230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429</v>
      </c>
      <c r="B431" s="399" t="s">
        <v>956</v>
      </c>
      <c r="C431" s="399" t="s">
        <v>2338</v>
      </c>
      <c r="D431" s="399" t="s">
        <v>1823</v>
      </c>
      <c r="E431" s="399" t="s">
        <v>889</v>
      </c>
      <c r="F431" s="399" t="s">
        <v>889</v>
      </c>
      <c r="G431" s="399" t="s">
        <v>1239</v>
      </c>
      <c r="H431" s="399" t="s">
        <v>1239</v>
      </c>
      <c r="I431" s="399" t="s">
        <v>1239</v>
      </c>
      <c r="J431" s="399" t="s">
        <v>2329</v>
      </c>
      <c r="K431" s="789">
        <v>44713</v>
      </c>
      <c r="L431" s="399">
        <v>0</v>
      </c>
      <c r="M431" s="399">
        <v>0</v>
      </c>
      <c r="N431" s="399">
        <v>0</v>
      </c>
      <c r="O431" s="399">
        <v>0</v>
      </c>
      <c r="P431" s="399">
        <v>0</v>
      </c>
      <c r="Q431" s="399">
        <v>0</v>
      </c>
      <c r="R431" s="399"/>
      <c r="S431" s="399"/>
      <c r="T431" s="399"/>
      <c r="U431" s="399"/>
      <c r="V431" s="399"/>
      <c r="W431" s="399"/>
      <c r="X431" s="399"/>
      <c r="Y431" s="399"/>
      <c r="Z431" s="399"/>
      <c r="AA431" s="399">
        <v>0</v>
      </c>
      <c r="AB431" s="399"/>
      <c r="AC431" s="399"/>
      <c r="AD431" s="399"/>
      <c r="AE431" s="399"/>
      <c r="AF431" s="399"/>
      <c r="AG431" s="399"/>
      <c r="AH431" s="399"/>
      <c r="AI431" s="399"/>
      <c r="AJ431" s="399"/>
      <c r="AK431" s="399"/>
      <c r="AL431" s="399"/>
      <c r="AM431" s="399"/>
      <c r="AN431" s="399"/>
      <c r="AO431" s="399"/>
      <c r="AP431" s="399"/>
      <c r="AQ431" s="399"/>
      <c r="AR431" s="399"/>
      <c r="AS431" s="399"/>
      <c r="AT431" s="399"/>
      <c r="AU431" s="399"/>
      <c r="AV431" s="399"/>
      <c r="AW431" s="399"/>
      <c r="AX431" s="399"/>
      <c r="AY431" s="399"/>
      <c r="AZ431" s="399">
        <v>0</v>
      </c>
      <c r="BA431" s="399"/>
      <c r="BB431" s="399"/>
      <c r="BC431" s="399"/>
      <c r="BD431" s="399"/>
      <c r="BE431" s="399"/>
      <c r="BF431" s="399"/>
      <c r="BG431" s="399"/>
      <c r="BH431" s="399"/>
      <c r="BI431" s="399">
        <v>0</v>
      </c>
      <c r="BJ431" s="399">
        <v>0</v>
      </c>
      <c r="BK431" s="399">
        <v>40.46</v>
      </c>
      <c r="BL431" s="399">
        <v>1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/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/>
      <c r="CJ431" s="399">
        <v>-0.03</v>
      </c>
      <c r="CK431" s="399"/>
      <c r="CL431" s="399"/>
      <c r="CM431" s="399"/>
      <c r="CN431" s="399"/>
      <c r="CO431" s="399">
        <v>0</v>
      </c>
      <c r="CP431" s="399">
        <v>0</v>
      </c>
      <c r="CQ431" s="399">
        <v>30</v>
      </c>
      <c r="CR431" s="399"/>
      <c r="CS431" s="399"/>
      <c r="CT431" s="399"/>
      <c r="CU431" s="399"/>
      <c r="CV431" s="399"/>
      <c r="CW431" s="399"/>
      <c r="CX431" s="399"/>
      <c r="CY431" s="399"/>
      <c r="CZ431" s="399"/>
      <c r="DA431" s="399"/>
      <c r="DB431" s="399"/>
      <c r="DC431" s="399"/>
      <c r="DD431" s="399"/>
      <c r="DE431" s="399"/>
      <c r="DF431" s="399"/>
      <c r="DG431" s="399"/>
      <c r="DH431" s="399"/>
      <c r="DI431" s="399"/>
      <c r="DJ431" s="399"/>
      <c r="DK431" s="399">
        <v>0</v>
      </c>
      <c r="DL431" s="399"/>
      <c r="DM431" s="399"/>
      <c r="DN431" s="399"/>
      <c r="DO431" s="399"/>
      <c r="DP431" s="399"/>
      <c r="DQ431" s="399"/>
      <c r="DR431" s="399"/>
      <c r="DS431" s="399"/>
      <c r="DT431" s="399"/>
      <c r="DU431" s="399"/>
      <c r="DV431" s="399"/>
      <c r="DW431" s="399"/>
      <c r="DX431" s="399"/>
      <c r="DY431" s="399"/>
      <c r="DZ431" s="399"/>
      <c r="EA431" s="399"/>
      <c r="EB431" s="399"/>
      <c r="EC431" s="399"/>
      <c r="ED431" s="399"/>
      <c r="EE431" s="399"/>
      <c r="EF431" s="399"/>
      <c r="EG431" s="399"/>
      <c r="EH431" s="399"/>
      <c r="EI431" s="399"/>
      <c r="EJ431" s="399"/>
      <c r="EK431" s="399"/>
      <c r="EL431" s="399"/>
      <c r="EM431" s="399"/>
      <c r="EN431" s="399"/>
      <c r="EO431" s="399"/>
      <c r="EP431" s="399"/>
      <c r="EQ431" s="399"/>
      <c r="ER431" s="399"/>
      <c r="ES431" s="399"/>
      <c r="ET431" s="399"/>
      <c r="EU431" s="399"/>
      <c r="EV431" s="399">
        <v>230</v>
      </c>
      <c r="EW431" s="399"/>
      <c r="EX431" s="399"/>
      <c r="EY431" s="399"/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430</v>
      </c>
      <c r="B432" s="399" t="s">
        <v>956</v>
      </c>
      <c r="C432" s="399" t="s">
        <v>2338</v>
      </c>
      <c r="D432" s="399" t="s">
        <v>1823</v>
      </c>
      <c r="E432" s="399" t="s">
        <v>889</v>
      </c>
      <c r="F432" s="399" t="s">
        <v>889</v>
      </c>
      <c r="G432" s="399" t="s">
        <v>1239</v>
      </c>
      <c r="H432" s="399" t="s">
        <v>1239</v>
      </c>
      <c r="I432" s="399" t="s">
        <v>2339</v>
      </c>
      <c r="J432" s="399" t="s">
        <v>2329</v>
      </c>
      <c r="K432" s="789">
        <v>44713</v>
      </c>
      <c r="L432" s="399">
        <v>0</v>
      </c>
      <c r="M432" s="399">
        <v>0</v>
      </c>
      <c r="N432" s="399">
        <v>3.2000000000000001E-2</v>
      </c>
      <c r="O432" s="399">
        <v>3.2000000000000001E-2</v>
      </c>
      <c r="P432" s="399">
        <v>3.2000000000000001E-2</v>
      </c>
      <c r="Q432" s="399">
        <v>3.2000000000000001E-2</v>
      </c>
      <c r="R432" s="399"/>
      <c r="S432" s="399">
        <v>467.85</v>
      </c>
      <c r="T432" s="399">
        <v>128.11000000000001</v>
      </c>
      <c r="U432" s="399"/>
      <c r="V432" s="399">
        <v>19.070720000000001</v>
      </c>
      <c r="W432" s="399">
        <v>19.070720000000001</v>
      </c>
      <c r="X432" s="399">
        <v>16.031359999999999</v>
      </c>
      <c r="Y432" s="399">
        <v>0</v>
      </c>
      <c r="Z432" s="399">
        <v>1.9589136143482178</v>
      </c>
      <c r="AA432" s="399">
        <v>0</v>
      </c>
      <c r="AB432" s="399">
        <v>0</v>
      </c>
      <c r="AC432" s="399">
        <v>0</v>
      </c>
      <c r="AD432" s="399">
        <v>0</v>
      </c>
      <c r="AE432" s="399">
        <v>10.082686299650431</v>
      </c>
      <c r="AF432" s="399">
        <v>4.0995534856058562</v>
      </c>
      <c r="AG432" s="399">
        <v>0</v>
      </c>
      <c r="AH432" s="399">
        <v>0</v>
      </c>
      <c r="AI432" s="399">
        <v>0</v>
      </c>
      <c r="AJ432" s="399">
        <v>0</v>
      </c>
      <c r="AK432" s="399">
        <v>0</v>
      </c>
      <c r="AL432" s="399">
        <v>0.3025232132208503</v>
      </c>
      <c r="AM432" s="399"/>
      <c r="AN432" s="399">
        <v>2.7532413000459298E-2</v>
      </c>
      <c r="AO432" s="399">
        <v>0.18020343490417026</v>
      </c>
      <c r="AP432" s="399">
        <v>0.96124624740825926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0.43418786678293442</v>
      </c>
      <c r="BH432" s="399">
        <v>0</v>
      </c>
      <c r="BI432" s="399">
        <v>0</v>
      </c>
      <c r="BJ432" s="399">
        <v>0</v>
      </c>
      <c r="BK432" s="399">
        <v>0</v>
      </c>
      <c r="BL432" s="399">
        <v>0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4.5337413523887911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15.029399999999999</v>
      </c>
      <c r="CJ432" s="399">
        <v>-4.0713200000000036</v>
      </c>
      <c r="CK432" s="399"/>
      <c r="CL432" s="399"/>
      <c r="CM432" s="399"/>
      <c r="CN432" s="399"/>
      <c r="CO432" s="399">
        <v>-3.2268800000000013</v>
      </c>
      <c r="CP432" s="399">
        <v>0.18751999999999952</v>
      </c>
      <c r="CQ432" s="399">
        <v>30</v>
      </c>
      <c r="CR432" s="399">
        <v>7.8004157270070706E-2</v>
      </c>
      <c r="CS432" s="399">
        <v>1.3154095720712633E-2</v>
      </c>
      <c r="CT432" s="399">
        <v>7.0166948572918386E-2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0</v>
      </c>
      <c r="DA432" s="399">
        <v>0</v>
      </c>
      <c r="DB432" s="399">
        <v>0</v>
      </c>
      <c r="DC432" s="399">
        <v>0.18750189624144031</v>
      </c>
      <c r="DD432" s="399">
        <v>0</v>
      </c>
      <c r="DE432" s="399">
        <v>0</v>
      </c>
      <c r="DF432" s="399">
        <v>0</v>
      </c>
      <c r="DG432" s="399">
        <v>1.9858515965862411E-2</v>
      </c>
      <c r="DH432" s="399">
        <v>0</v>
      </c>
      <c r="DI432" s="399">
        <v>-0.18529595527583687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-2.4155444209947863E-2</v>
      </c>
      <c r="DP432" s="399">
        <v>-3.2258997450780487E-3</v>
      </c>
      <c r="DQ432" s="399">
        <v>0</v>
      </c>
      <c r="DR432" s="399">
        <v>0</v>
      </c>
      <c r="DS432" s="399"/>
      <c r="DT432" s="399"/>
      <c r="DU432" s="399"/>
      <c r="DV432" s="399">
        <v>10.082686299650431</v>
      </c>
      <c r="DW432" s="399">
        <v>0</v>
      </c>
      <c r="DX432" s="399">
        <v>0</v>
      </c>
      <c r="DY432" s="399">
        <v>-3.2268800000000013</v>
      </c>
      <c r="DZ432" s="399">
        <v>0.18751999999999924</v>
      </c>
      <c r="EA432" s="399">
        <v>0</v>
      </c>
      <c r="EB432" s="399">
        <v>0</v>
      </c>
      <c r="EC432" s="399">
        <v>-3.1175759294602878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1.0239524751275968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230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431</v>
      </c>
      <c r="B433" s="399" t="s">
        <v>956</v>
      </c>
      <c r="C433" s="399" t="s">
        <v>2328</v>
      </c>
      <c r="D433" s="399" t="s">
        <v>1826</v>
      </c>
      <c r="E433" s="399" t="s">
        <v>890</v>
      </c>
      <c r="F433" s="399" t="s">
        <v>1239</v>
      </c>
      <c r="G433" s="399" t="s">
        <v>1239</v>
      </c>
      <c r="H433" s="399" t="s">
        <v>1239</v>
      </c>
      <c r="I433" s="399" t="s">
        <v>1239</v>
      </c>
      <c r="J433" s="399" t="s">
        <v>2329</v>
      </c>
      <c r="K433" s="789">
        <v>44713</v>
      </c>
      <c r="L433" s="399">
        <v>0</v>
      </c>
      <c r="M433" s="399">
        <v>0</v>
      </c>
      <c r="N433" s="399">
        <v>391.52</v>
      </c>
      <c r="O433" s="399">
        <v>391.52</v>
      </c>
      <c r="P433" s="399">
        <v>391.52</v>
      </c>
      <c r="Q433" s="399">
        <v>391.52</v>
      </c>
      <c r="R433" s="399"/>
      <c r="S433" s="399">
        <v>333.61</v>
      </c>
      <c r="T433" s="399">
        <v>128.11000000000001</v>
      </c>
      <c r="U433" s="399"/>
      <c r="V433" s="399">
        <v>180772.61440000002</v>
      </c>
      <c r="W433" s="399">
        <v>180772.61440000002</v>
      </c>
      <c r="X433" s="399">
        <v>157794.30559999999</v>
      </c>
      <c r="Y433" s="399">
        <v>0</v>
      </c>
      <c r="Z433" s="399">
        <v>23967.30807155044</v>
      </c>
      <c r="AA433" s="399">
        <v>0</v>
      </c>
      <c r="AB433" s="399">
        <v>0</v>
      </c>
      <c r="AC433" s="399">
        <v>0</v>
      </c>
      <c r="AD433" s="399">
        <v>0</v>
      </c>
      <c r="AE433" s="399">
        <v>76149.151544446955</v>
      </c>
      <c r="AF433" s="399">
        <v>50158.036896387639</v>
      </c>
      <c r="AG433" s="399">
        <v>0</v>
      </c>
      <c r="AH433" s="399">
        <v>0</v>
      </c>
      <c r="AI433" s="399">
        <v>0</v>
      </c>
      <c r="AJ433" s="399">
        <v>0</v>
      </c>
      <c r="AK433" s="399">
        <v>0</v>
      </c>
      <c r="AL433" s="399">
        <v>3701.371513757103</v>
      </c>
      <c r="AM433" s="399"/>
      <c r="AN433" s="399">
        <v>336.85907306061949</v>
      </c>
      <c r="AO433" s="399">
        <v>1360.9314163384868</v>
      </c>
      <c r="AP433" s="399">
        <v>7259.8126829755302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5312.2885500892025</v>
      </c>
      <c r="BH433" s="399">
        <v>0</v>
      </c>
      <c r="BI433" s="399">
        <v>0</v>
      </c>
      <c r="BJ433" s="399">
        <v>0</v>
      </c>
      <c r="BK433" s="399">
        <v>52596.99</v>
      </c>
      <c r="BL433" s="399">
        <v>226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55470.32544647684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157794.30559999999</v>
      </c>
      <c r="CJ433" s="399">
        <v>-22978.338799999998</v>
      </c>
      <c r="CK433" s="399"/>
      <c r="CL433" s="399"/>
      <c r="CM433" s="399"/>
      <c r="CN433" s="399"/>
      <c r="CO433" s="399">
        <v>-25272.616000000002</v>
      </c>
      <c r="CP433" s="399">
        <v>2294.3071999999943</v>
      </c>
      <c r="CQ433" s="399">
        <v>30</v>
      </c>
      <c r="CR433" s="399">
        <v>564.22608679969562</v>
      </c>
      <c r="CS433" s="399">
        <v>99.342291279641358</v>
      </c>
      <c r="CT433" s="399">
        <v>529.93590825333013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0</v>
      </c>
      <c r="DA433" s="399">
        <v>0</v>
      </c>
      <c r="DB433" s="399">
        <v>0</v>
      </c>
      <c r="DC433" s="399">
        <v>2294.0857005140278</v>
      </c>
      <c r="DD433" s="399">
        <v>0</v>
      </c>
      <c r="DE433" s="399">
        <v>0</v>
      </c>
      <c r="DF433" s="399">
        <v>0</v>
      </c>
      <c r="DG433" s="399">
        <v>242.96894284232621</v>
      </c>
      <c r="DH433" s="399">
        <v>0</v>
      </c>
      <c r="DI433" s="399">
        <v>-2267.0960127998624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-295.54185990871201</v>
      </c>
      <c r="DP433" s="399">
        <v>-39.468883381029968</v>
      </c>
      <c r="DQ433" s="399">
        <v>0</v>
      </c>
      <c r="DR433" s="399">
        <v>0</v>
      </c>
      <c r="DS433" s="399"/>
      <c r="DT433" s="399"/>
      <c r="DU433" s="399"/>
      <c r="DV433" s="399">
        <v>76149.151544446955</v>
      </c>
      <c r="DW433" s="399">
        <v>0</v>
      </c>
      <c r="DX433" s="399">
        <v>0</v>
      </c>
      <c r="DY433" s="399">
        <v>-25272.616000000009</v>
      </c>
      <c r="DZ433" s="399">
        <v>2294.3071999999956</v>
      </c>
      <c r="EA433" s="399">
        <v>0</v>
      </c>
      <c r="EB433" s="399">
        <v>0</v>
      </c>
      <c r="EC433" s="399">
        <v>-23545.388088888969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12528.058533186146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230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432</v>
      </c>
      <c r="B434" s="399" t="s">
        <v>2331</v>
      </c>
      <c r="C434" s="399" t="s">
        <v>2328</v>
      </c>
      <c r="D434" s="399" t="s">
        <v>1826</v>
      </c>
      <c r="E434" s="399" t="s">
        <v>890</v>
      </c>
      <c r="F434" s="399" t="s">
        <v>1239</v>
      </c>
      <c r="G434" s="399" t="s">
        <v>1239</v>
      </c>
      <c r="H434" s="399" t="s">
        <v>1239</v>
      </c>
      <c r="I434" s="399" t="s">
        <v>1239</v>
      </c>
      <c r="J434" s="399" t="s">
        <v>2329</v>
      </c>
      <c r="K434" s="789">
        <v>44713</v>
      </c>
      <c r="L434" s="399">
        <v>0</v>
      </c>
      <c r="M434" s="399">
        <v>0</v>
      </c>
      <c r="N434" s="399">
        <v>12.25</v>
      </c>
      <c r="O434" s="399">
        <v>12.25</v>
      </c>
      <c r="P434" s="399">
        <v>12.25</v>
      </c>
      <c r="Q434" s="399">
        <v>12.25</v>
      </c>
      <c r="R434" s="399"/>
      <c r="S434" s="399">
        <v>333.61</v>
      </c>
      <c r="T434" s="399">
        <v>128.11000000000001</v>
      </c>
      <c r="U434" s="399"/>
      <c r="V434" s="399">
        <v>5656.0700000000006</v>
      </c>
      <c r="W434" s="399">
        <v>5656.0700000000006</v>
      </c>
      <c r="X434" s="399">
        <v>4937.1175000000003</v>
      </c>
      <c r="Y434" s="399">
        <v>0</v>
      </c>
      <c r="Z434" s="399">
        <v>749.89661799267708</v>
      </c>
      <c r="AA434" s="399">
        <v>0</v>
      </c>
      <c r="AB434" s="399">
        <v>0</v>
      </c>
      <c r="AC434" s="399">
        <v>0</v>
      </c>
      <c r="AD434" s="399">
        <v>0</v>
      </c>
      <c r="AE434" s="399">
        <v>2382.5784287379324</v>
      </c>
      <c r="AF434" s="399">
        <v>1569.3603187084916</v>
      </c>
      <c r="AG434" s="399">
        <v>0</v>
      </c>
      <c r="AH434" s="399">
        <v>0</v>
      </c>
      <c r="AI434" s="399">
        <v>0</v>
      </c>
      <c r="AJ434" s="399">
        <v>0</v>
      </c>
      <c r="AK434" s="399">
        <v>0</v>
      </c>
      <c r="AL434" s="399">
        <v>115.80966756110675</v>
      </c>
      <c r="AM434" s="399"/>
      <c r="AN434" s="399">
        <v>10.539751851738325</v>
      </c>
      <c r="AO434" s="399">
        <v>42.581247063103966</v>
      </c>
      <c r="AP434" s="399">
        <v>227.14728587671192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166.21254275284207</v>
      </c>
      <c r="BH434" s="399">
        <v>0</v>
      </c>
      <c r="BI434" s="399">
        <v>0</v>
      </c>
      <c r="BJ434" s="399">
        <v>0</v>
      </c>
      <c r="BK434" s="399">
        <v>1996.32</v>
      </c>
      <c r="BL434" s="399">
        <v>5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1735.5728614613336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4937.1175000000003</v>
      </c>
      <c r="CJ434" s="399">
        <v>-718.98250000000098</v>
      </c>
      <c r="CK434" s="399"/>
      <c r="CL434" s="399"/>
      <c r="CM434" s="399"/>
      <c r="CN434" s="399"/>
      <c r="CO434" s="399">
        <v>-790.73750000000018</v>
      </c>
      <c r="CP434" s="399">
        <v>71.784999999999826</v>
      </c>
      <c r="CQ434" s="399">
        <v>30</v>
      </c>
      <c r="CR434" s="399">
        <v>17.653681965917713</v>
      </c>
      <c r="CS434" s="399">
        <v>3.1082526261125949</v>
      </c>
      <c r="CT434" s="399">
        <v>16.580800153512683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0</v>
      </c>
      <c r="DA434" s="399">
        <v>0</v>
      </c>
      <c r="DB434" s="399">
        <v>0</v>
      </c>
      <c r="DC434" s="399">
        <v>71.778069654926412</v>
      </c>
      <c r="DD434" s="399">
        <v>0</v>
      </c>
      <c r="DE434" s="399">
        <v>0</v>
      </c>
      <c r="DF434" s="399">
        <v>0</v>
      </c>
      <c r="DG434" s="399">
        <v>7.6020881431817031</v>
      </c>
      <c r="DH434" s="399">
        <v>0</v>
      </c>
      <c r="DI434" s="399">
        <v>-70.933607879031342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-9.2470059866206782</v>
      </c>
      <c r="DP434" s="399">
        <v>-1.2349147461626906</v>
      </c>
      <c r="DQ434" s="399">
        <v>0</v>
      </c>
      <c r="DR434" s="399">
        <v>0</v>
      </c>
      <c r="DS434" s="399"/>
      <c r="DT434" s="399"/>
      <c r="DU434" s="399"/>
      <c r="DV434" s="399">
        <v>2382.5784287379324</v>
      </c>
      <c r="DW434" s="399">
        <v>0</v>
      </c>
      <c r="DX434" s="399">
        <v>0</v>
      </c>
      <c r="DY434" s="399">
        <v>-790.73750000000018</v>
      </c>
      <c r="DZ434" s="399">
        <v>71.784999999999854</v>
      </c>
      <c r="EA434" s="399">
        <v>0</v>
      </c>
      <c r="EB434" s="399">
        <v>0</v>
      </c>
      <c r="EC434" s="399">
        <v>-736.69545384371145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391.98180688478317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230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433</v>
      </c>
      <c r="B435" s="399" t="s">
        <v>956</v>
      </c>
      <c r="C435" s="399" t="s">
        <v>2336</v>
      </c>
      <c r="D435" s="399" t="s">
        <v>535</v>
      </c>
      <c r="E435" s="399" t="s">
        <v>890</v>
      </c>
      <c r="F435" s="399" t="s">
        <v>1239</v>
      </c>
      <c r="G435" s="399" t="s">
        <v>1239</v>
      </c>
      <c r="H435" s="399" t="s">
        <v>1239</v>
      </c>
      <c r="I435" s="399" t="s">
        <v>893</v>
      </c>
      <c r="J435" s="399" t="s">
        <v>2329</v>
      </c>
      <c r="K435" s="789">
        <v>44713</v>
      </c>
      <c r="L435" s="399">
        <v>2467</v>
      </c>
      <c r="M435" s="399">
        <v>2467</v>
      </c>
      <c r="N435" s="399">
        <v>78.682000000000002</v>
      </c>
      <c r="O435" s="399">
        <v>78.682000000000002</v>
      </c>
      <c r="P435" s="399">
        <v>78.682000000000002</v>
      </c>
      <c r="Q435" s="399">
        <v>78.682000000000002</v>
      </c>
      <c r="R435" s="399">
        <v>28.46</v>
      </c>
      <c r="S435" s="399">
        <v>75.12</v>
      </c>
      <c r="T435" s="399">
        <v>128.11000000000001</v>
      </c>
      <c r="U435" s="399">
        <v>70210.820000000007</v>
      </c>
      <c r="V435" s="399">
        <v>15990.542860000003</v>
      </c>
      <c r="W435" s="399">
        <v>86201.362860000023</v>
      </c>
      <c r="X435" s="399">
        <v>69752.439920000004</v>
      </c>
      <c r="Y435" s="399">
        <v>0</v>
      </c>
      <c r="Z435" s="399">
        <v>3227.1228585243157</v>
      </c>
      <c r="AA435" s="399">
        <v>0</v>
      </c>
      <c r="AB435" s="399">
        <v>0</v>
      </c>
      <c r="AC435" s="399">
        <v>0</v>
      </c>
      <c r="AD435" s="399">
        <v>0</v>
      </c>
      <c r="AE435" s="399">
        <v>56721.183695226238</v>
      </c>
      <c r="AF435" s="399">
        <v>10080.033354826248</v>
      </c>
      <c r="AG435" s="399">
        <v>0</v>
      </c>
      <c r="AH435" s="399">
        <v>0</v>
      </c>
      <c r="AI435" s="399">
        <v>0</v>
      </c>
      <c r="AJ435" s="399">
        <v>0</v>
      </c>
      <c r="AK435" s="399">
        <v>0</v>
      </c>
      <c r="AL435" s="399">
        <v>743.84785820759191</v>
      </c>
      <c r="AM435" s="399"/>
      <c r="AN435" s="399">
        <v>19.257891580945493</v>
      </c>
      <c r="AO435" s="399">
        <v>2031.0094594708951</v>
      </c>
      <c r="AP435" s="399">
        <v>11449.194481302569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233.47946010130801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10313.512814927555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69752.030800000008</v>
      </c>
      <c r="CJ435" s="399">
        <v>-16449.362059999985</v>
      </c>
      <c r="CK435" s="399"/>
      <c r="CL435" s="399"/>
      <c r="CM435" s="399"/>
      <c r="CN435" s="399"/>
      <c r="CO435" s="399">
        <v>-16909.999460000003</v>
      </c>
      <c r="CP435" s="399">
        <v>461.07651999999882</v>
      </c>
      <c r="CQ435" s="399">
        <v>30</v>
      </c>
      <c r="CR435" s="399">
        <v>1088.8016274486145</v>
      </c>
      <c r="CS435" s="399">
        <v>148.25518089464026</v>
      </c>
      <c r="CT435" s="399">
        <v>835.74322660497091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0</v>
      </c>
      <c r="DA435" s="399">
        <v>0</v>
      </c>
      <c r="DB435" s="399">
        <v>0</v>
      </c>
      <c r="DC435" s="399">
        <v>461.03200625215686</v>
      </c>
      <c r="DD435" s="399">
        <v>0</v>
      </c>
      <c r="DE435" s="399">
        <v>0</v>
      </c>
      <c r="DF435" s="399">
        <v>0</v>
      </c>
      <c r="DG435" s="399">
        <v>10.678685290028398</v>
      </c>
      <c r="DH435" s="399">
        <v>0</v>
      </c>
      <c r="DI435" s="399">
        <v>-305.25736739122249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-59.393708166472379</v>
      </c>
      <c r="DP435" s="399">
        <v>-2.2563960354900949</v>
      </c>
      <c r="DQ435" s="399">
        <v>0</v>
      </c>
      <c r="DR435" s="399">
        <v>0</v>
      </c>
      <c r="DS435" s="399"/>
      <c r="DT435" s="399"/>
      <c r="DU435" s="399">
        <v>56721.183695226238</v>
      </c>
      <c r="DV435" s="399">
        <v>0</v>
      </c>
      <c r="DW435" s="399">
        <v>0</v>
      </c>
      <c r="DX435" s="399">
        <v>0</v>
      </c>
      <c r="DY435" s="399">
        <v>-16909.999460000014</v>
      </c>
      <c r="DZ435" s="399">
        <v>461.07651999999871</v>
      </c>
      <c r="EA435" s="399">
        <v>0</v>
      </c>
      <c r="EB435" s="399">
        <v>0</v>
      </c>
      <c r="EC435" s="399">
        <v>-17538.24246072831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1686.863787317285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230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434</v>
      </c>
      <c r="B436" s="399" t="s">
        <v>956</v>
      </c>
      <c r="C436" s="399" t="s">
        <v>2336</v>
      </c>
      <c r="D436" s="399" t="s">
        <v>535</v>
      </c>
      <c r="E436" s="399" t="s">
        <v>890</v>
      </c>
      <c r="F436" s="399" t="s">
        <v>1239</v>
      </c>
      <c r="G436" s="399" t="s">
        <v>1239</v>
      </c>
      <c r="H436" s="399" t="s">
        <v>1239</v>
      </c>
      <c r="I436" s="399" t="s">
        <v>2326</v>
      </c>
      <c r="J436" s="399" t="s">
        <v>2329</v>
      </c>
      <c r="K436" s="789">
        <v>44713</v>
      </c>
      <c r="L436" s="399">
        <v>2495</v>
      </c>
      <c r="M436" s="399">
        <v>2495</v>
      </c>
      <c r="N436" s="399">
        <v>783.94200000000001</v>
      </c>
      <c r="O436" s="399">
        <v>783.94200000000001</v>
      </c>
      <c r="P436" s="399">
        <v>783.94200000000001</v>
      </c>
      <c r="Q436" s="399">
        <v>783.94200000000001</v>
      </c>
      <c r="R436" s="399">
        <v>9.92</v>
      </c>
      <c r="S436" s="399">
        <v>75.12</v>
      </c>
      <c r="T436" s="399">
        <v>128.11000000000001</v>
      </c>
      <c r="U436" s="399">
        <v>24750.400000000001</v>
      </c>
      <c r="V436" s="399">
        <v>159320.53266000003</v>
      </c>
      <c r="W436" s="399">
        <v>184070.93266000002</v>
      </c>
      <c r="X436" s="399">
        <v>182219.37552</v>
      </c>
      <c r="Y436" s="399">
        <v>0</v>
      </c>
      <c r="Z436" s="399">
        <v>32153.188123805561</v>
      </c>
      <c r="AA436" s="399">
        <v>0</v>
      </c>
      <c r="AB436" s="399">
        <v>0</v>
      </c>
      <c r="AC436" s="399">
        <v>0</v>
      </c>
      <c r="AD436" s="399">
        <v>0</v>
      </c>
      <c r="AE436" s="399">
        <v>12275.945075492917</v>
      </c>
      <c r="AF436" s="399">
        <v>100431.62995665081</v>
      </c>
      <c r="AG436" s="399">
        <v>0</v>
      </c>
      <c r="AH436" s="399">
        <v>0</v>
      </c>
      <c r="AI436" s="399">
        <v>0</v>
      </c>
      <c r="AJ436" s="399">
        <v>0</v>
      </c>
      <c r="AK436" s="399">
        <v>0</v>
      </c>
      <c r="AL436" s="399">
        <v>7411.2704005868691</v>
      </c>
      <c r="AM436" s="399"/>
      <c r="AN436" s="399">
        <v>191.87450804185929</v>
      </c>
      <c r="AO436" s="399">
        <v>1854.3925424157287</v>
      </c>
      <c r="AP436" s="399">
        <v>10612.595659840872</v>
      </c>
      <c r="AQ436" s="399">
        <v>0</v>
      </c>
      <c r="AR436" s="399">
        <v>0</v>
      </c>
      <c r="AS436" s="399">
        <v>0</v>
      </c>
      <c r="AT436" s="399">
        <v>0</v>
      </c>
      <c r="AU436" s="399">
        <v>0</v>
      </c>
      <c r="AV436" s="399">
        <v>0</v>
      </c>
      <c r="AW436" s="399">
        <v>0</v>
      </c>
      <c r="AX436" s="399">
        <v>0</v>
      </c>
      <c r="AY436" s="399">
        <v>0</v>
      </c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>
        <v>0</v>
      </c>
      <c r="BG436" s="399">
        <v>2326.2544789245267</v>
      </c>
      <c r="BH436" s="399">
        <v>0</v>
      </c>
      <c r="BI436" s="399">
        <v>0</v>
      </c>
      <c r="BJ436" s="399">
        <v>0</v>
      </c>
      <c r="BK436" s="399">
        <v>0</v>
      </c>
      <c r="BL436" s="399">
        <v>0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102757.88443557534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182218.9664</v>
      </c>
      <c r="CJ436" s="399">
        <v>-1851.9962600000144</v>
      </c>
      <c r="CK436" s="399"/>
      <c r="CL436" s="399"/>
      <c r="CM436" s="399"/>
      <c r="CN436" s="399"/>
      <c r="CO436" s="399">
        <v>-6445.457260000001</v>
      </c>
      <c r="CP436" s="399">
        <v>4593.9001199999884</v>
      </c>
      <c r="CQ436" s="399">
        <v>30</v>
      </c>
      <c r="CR436" s="399">
        <v>1954.2366513519955</v>
      </c>
      <c r="CS436" s="399">
        <v>135.36288594989333</v>
      </c>
      <c r="CT436" s="399">
        <v>774.67501787079163</v>
      </c>
      <c r="CU436" s="399">
        <v>0</v>
      </c>
      <c r="CV436" s="399">
        <v>0</v>
      </c>
      <c r="CW436" s="399">
        <v>0</v>
      </c>
      <c r="CX436" s="399">
        <v>0</v>
      </c>
      <c r="CY436" s="399">
        <v>0</v>
      </c>
      <c r="CZ436" s="399">
        <v>0</v>
      </c>
      <c r="DA436" s="399">
        <v>0</v>
      </c>
      <c r="DB436" s="399">
        <v>0</v>
      </c>
      <c r="DC436" s="399">
        <v>4593.4566107283463</v>
      </c>
      <c r="DD436" s="399">
        <v>0</v>
      </c>
      <c r="DE436" s="399">
        <v>0</v>
      </c>
      <c r="DF436" s="399">
        <v>0</v>
      </c>
      <c r="DG436" s="399">
        <v>106.39625204793265</v>
      </c>
      <c r="DH436" s="399">
        <v>0</v>
      </c>
      <c r="DI436" s="399">
        <v>-3041.4080870772195</v>
      </c>
      <c r="DJ436" s="399"/>
      <c r="DK436" s="399">
        <v>0</v>
      </c>
      <c r="DL436" s="399">
        <v>0</v>
      </c>
      <c r="DM436" s="399">
        <v>0</v>
      </c>
      <c r="DN436" s="399">
        <v>0</v>
      </c>
      <c r="DO436" s="399">
        <v>-591.76460140109248</v>
      </c>
      <c r="DP436" s="399">
        <v>-22.481426766657876</v>
      </c>
      <c r="DQ436" s="399">
        <v>0</v>
      </c>
      <c r="DR436" s="399">
        <v>0</v>
      </c>
      <c r="DS436" s="399"/>
      <c r="DT436" s="399"/>
      <c r="DU436" s="399">
        <v>12275.945075492917</v>
      </c>
      <c r="DV436" s="399">
        <v>0</v>
      </c>
      <c r="DW436" s="399">
        <v>0</v>
      </c>
      <c r="DX436" s="399">
        <v>0</v>
      </c>
      <c r="DY436" s="399">
        <v>-6445.4572599999956</v>
      </c>
      <c r="DZ436" s="399">
        <v>4593.9001199999911</v>
      </c>
      <c r="EA436" s="399">
        <v>0</v>
      </c>
      <c r="EB436" s="399">
        <v>0</v>
      </c>
      <c r="EC436" s="399">
        <v>-3795.7335715245172</v>
      </c>
      <c r="ED436" s="399">
        <v>0</v>
      </c>
      <c r="EE436" s="399">
        <v>0</v>
      </c>
      <c r="EF436" s="399">
        <v>0</v>
      </c>
      <c r="EG436" s="399">
        <v>0</v>
      </c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>
        <v>0</v>
      </c>
      <c r="EN436" s="399">
        <v>0</v>
      </c>
      <c r="EO436" s="399">
        <v>0</v>
      </c>
      <c r="EP436" s="399">
        <v>16806.936416932549</v>
      </c>
      <c r="EQ436" s="399">
        <v>0</v>
      </c>
      <c r="ER436" s="399">
        <v>0</v>
      </c>
      <c r="ES436" s="399">
        <v>0</v>
      </c>
      <c r="ET436" s="399">
        <v>0</v>
      </c>
      <c r="EU436" s="399">
        <v>0</v>
      </c>
      <c r="EV436" s="399">
        <v>230</v>
      </c>
      <c r="EW436" s="399">
        <v>0</v>
      </c>
      <c r="EX436" s="399">
        <v>0</v>
      </c>
      <c r="EY436" s="399">
        <v>0</v>
      </c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435</v>
      </c>
      <c r="B437" s="399" t="s">
        <v>956</v>
      </c>
      <c r="C437" s="399" t="s">
        <v>2336</v>
      </c>
      <c r="D437" s="399" t="s">
        <v>535</v>
      </c>
      <c r="E437" s="399" t="s">
        <v>890</v>
      </c>
      <c r="F437" s="399" t="s">
        <v>1239</v>
      </c>
      <c r="G437" s="399" t="s">
        <v>1239</v>
      </c>
      <c r="H437" s="399" t="s">
        <v>1239</v>
      </c>
      <c r="I437" s="399" t="s">
        <v>1239</v>
      </c>
      <c r="J437" s="399" t="s">
        <v>2329</v>
      </c>
      <c r="K437" s="789">
        <v>44713</v>
      </c>
      <c r="L437" s="399">
        <v>0</v>
      </c>
      <c r="M437" s="399">
        <v>0</v>
      </c>
      <c r="N437" s="399">
        <v>0</v>
      </c>
      <c r="O437" s="399">
        <v>0</v>
      </c>
      <c r="P437" s="399">
        <v>0</v>
      </c>
      <c r="Q437" s="399">
        <v>0</v>
      </c>
      <c r="R437" s="399"/>
      <c r="S437" s="399"/>
      <c r="T437" s="399"/>
      <c r="U437" s="399"/>
      <c r="V437" s="399"/>
      <c r="W437" s="399"/>
      <c r="X437" s="399"/>
      <c r="Y437" s="399"/>
      <c r="Z437" s="399"/>
      <c r="AA437" s="399">
        <v>0</v>
      </c>
      <c r="AB437" s="399"/>
      <c r="AC437" s="399"/>
      <c r="AD437" s="399"/>
      <c r="AE437" s="399"/>
      <c r="AF437" s="399"/>
      <c r="AG437" s="399"/>
      <c r="AH437" s="399"/>
      <c r="AI437" s="399"/>
      <c r="AJ437" s="399"/>
      <c r="AK437" s="399"/>
      <c r="AL437" s="399"/>
      <c r="AM437" s="399"/>
      <c r="AN437" s="399"/>
      <c r="AO437" s="399"/>
      <c r="AP437" s="399"/>
      <c r="AQ437" s="399"/>
      <c r="AR437" s="399"/>
      <c r="AS437" s="399"/>
      <c r="AT437" s="399"/>
      <c r="AU437" s="399"/>
      <c r="AV437" s="399"/>
      <c r="AW437" s="399"/>
      <c r="AX437" s="399"/>
      <c r="AY437" s="399"/>
      <c r="AZ437" s="399">
        <v>0</v>
      </c>
      <c r="BA437" s="399"/>
      <c r="BB437" s="399"/>
      <c r="BC437" s="399"/>
      <c r="BD437" s="399"/>
      <c r="BE437" s="399"/>
      <c r="BF437" s="399"/>
      <c r="BG437" s="399"/>
      <c r="BH437" s="399"/>
      <c r="BI437" s="399">
        <v>0</v>
      </c>
      <c r="BJ437" s="399">
        <v>0</v>
      </c>
      <c r="BK437" s="399">
        <v>83990.6</v>
      </c>
      <c r="BL437" s="399">
        <v>1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/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/>
      <c r="CJ437" s="399">
        <v>-0.03</v>
      </c>
      <c r="CK437" s="399"/>
      <c r="CL437" s="399"/>
      <c r="CM437" s="399"/>
      <c r="CN437" s="399"/>
      <c r="CO437" s="399">
        <v>0</v>
      </c>
      <c r="CP437" s="399">
        <v>0</v>
      </c>
      <c r="CQ437" s="399">
        <v>30</v>
      </c>
      <c r="CR437" s="399"/>
      <c r="CS437" s="399"/>
      <c r="CT437" s="399"/>
      <c r="CU437" s="399"/>
      <c r="CV437" s="399"/>
      <c r="CW437" s="399"/>
      <c r="CX437" s="399"/>
      <c r="CY437" s="399"/>
      <c r="CZ437" s="399"/>
      <c r="DA437" s="399"/>
      <c r="DB437" s="399"/>
      <c r="DC437" s="399"/>
      <c r="DD437" s="399"/>
      <c r="DE437" s="399"/>
      <c r="DF437" s="399"/>
      <c r="DG437" s="399"/>
      <c r="DH437" s="399"/>
      <c r="DI437" s="399"/>
      <c r="DJ437" s="399"/>
      <c r="DK437" s="399">
        <v>0</v>
      </c>
      <c r="DL437" s="399"/>
      <c r="DM437" s="399"/>
      <c r="DN437" s="399"/>
      <c r="DO437" s="399"/>
      <c r="DP437" s="399"/>
      <c r="DQ437" s="399"/>
      <c r="DR437" s="399"/>
      <c r="DS437" s="399"/>
      <c r="DT437" s="399"/>
      <c r="DU437" s="399"/>
      <c r="DV437" s="399"/>
      <c r="DW437" s="399"/>
      <c r="DX437" s="399"/>
      <c r="DY437" s="399"/>
      <c r="DZ437" s="399"/>
      <c r="EA437" s="399"/>
      <c r="EB437" s="399"/>
      <c r="EC437" s="399"/>
      <c r="ED437" s="399"/>
      <c r="EE437" s="399"/>
      <c r="EF437" s="399"/>
      <c r="EG437" s="399"/>
      <c r="EH437" s="399"/>
      <c r="EI437" s="399"/>
      <c r="EJ437" s="399"/>
      <c r="EK437" s="399"/>
      <c r="EL437" s="399"/>
      <c r="EM437" s="399"/>
      <c r="EN437" s="399"/>
      <c r="EO437" s="399"/>
      <c r="EP437" s="399"/>
      <c r="EQ437" s="399"/>
      <c r="ER437" s="399"/>
      <c r="ES437" s="399"/>
      <c r="ET437" s="399"/>
      <c r="EU437" s="399"/>
      <c r="EV437" s="399">
        <v>230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436</v>
      </c>
      <c r="B438" s="399" t="s">
        <v>956</v>
      </c>
      <c r="C438" s="399" t="s">
        <v>2336</v>
      </c>
      <c r="D438" s="399" t="s">
        <v>533</v>
      </c>
      <c r="E438" s="399" t="s">
        <v>890</v>
      </c>
      <c r="F438" s="399" t="s">
        <v>1239</v>
      </c>
      <c r="G438" s="399" t="s">
        <v>1239</v>
      </c>
      <c r="H438" s="399" t="s">
        <v>1239</v>
      </c>
      <c r="I438" s="399" t="s">
        <v>893</v>
      </c>
      <c r="J438" s="399" t="s">
        <v>2329</v>
      </c>
      <c r="K438" s="789">
        <v>44713</v>
      </c>
      <c r="L438" s="399">
        <v>5950</v>
      </c>
      <c r="M438" s="399">
        <v>5950</v>
      </c>
      <c r="N438" s="399">
        <v>322.58199999999999</v>
      </c>
      <c r="O438" s="399">
        <v>322.58199999999999</v>
      </c>
      <c r="P438" s="399">
        <v>322.58199999999999</v>
      </c>
      <c r="Q438" s="399">
        <v>322.58199999999999</v>
      </c>
      <c r="R438" s="399">
        <v>52.19</v>
      </c>
      <c r="S438" s="399">
        <v>96.28</v>
      </c>
      <c r="T438" s="399">
        <v>128.11000000000001</v>
      </c>
      <c r="U438" s="399">
        <v>310530.5</v>
      </c>
      <c r="V438" s="399">
        <v>72384.174980000011</v>
      </c>
      <c r="W438" s="399">
        <v>382914.67498000001</v>
      </c>
      <c r="X438" s="399">
        <v>299397.82047999999</v>
      </c>
      <c r="Y438" s="399">
        <v>0</v>
      </c>
      <c r="Z438" s="399">
        <v>17180.06050759372</v>
      </c>
      <c r="AA438" s="399">
        <v>0</v>
      </c>
      <c r="AB438" s="399">
        <v>0</v>
      </c>
      <c r="AC438" s="399">
        <v>0</v>
      </c>
      <c r="AD438" s="399">
        <v>0</v>
      </c>
      <c r="AE438" s="399">
        <v>278065.19684509444</v>
      </c>
      <c r="AF438" s="399">
        <v>41326.317577928377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3049.64197397526</v>
      </c>
      <c r="AM438" s="399"/>
      <c r="AN438" s="399">
        <v>158.58152174673396</v>
      </c>
      <c r="AO438" s="399">
        <v>5138.5963261425695</v>
      </c>
      <c r="AP438" s="399">
        <v>27335.990188088927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1689.8830052905225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43016.200583218902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299397.37119999999</v>
      </c>
      <c r="CJ438" s="399">
        <v>-83517.333780000044</v>
      </c>
      <c r="CK438" s="399"/>
      <c r="CL438" s="399"/>
      <c r="CM438" s="399"/>
      <c r="CN438" s="399"/>
      <c r="CO438" s="399">
        <v>-85407.18501999999</v>
      </c>
      <c r="CP438" s="399">
        <v>1890.3305199999952</v>
      </c>
      <c r="CQ438" s="399">
        <v>30</v>
      </c>
      <c r="CR438" s="399">
        <v>2450.7809071908996</v>
      </c>
      <c r="CS438" s="399">
        <v>375.09600180555663</v>
      </c>
      <c r="CT438" s="399">
        <v>1995.4127497392255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0</v>
      </c>
      <c r="DA438" s="399">
        <v>0</v>
      </c>
      <c r="DB438" s="399">
        <v>0</v>
      </c>
      <c r="DC438" s="399">
        <v>1890.1480216673881</v>
      </c>
      <c r="DD438" s="399">
        <v>0</v>
      </c>
      <c r="DE438" s="399">
        <v>0</v>
      </c>
      <c r="DF438" s="399">
        <v>0</v>
      </c>
      <c r="DG438" s="399">
        <v>77.290433953517322</v>
      </c>
      <c r="DH438" s="399">
        <v>0</v>
      </c>
      <c r="DI438" s="399">
        <v>-1625.0822395302548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-243.50348450416868</v>
      </c>
      <c r="DP438" s="399">
        <v>-18.580575940377628</v>
      </c>
      <c r="DQ438" s="399">
        <v>0</v>
      </c>
      <c r="DR438" s="399">
        <v>0</v>
      </c>
      <c r="DS438" s="399"/>
      <c r="DT438" s="399"/>
      <c r="DU438" s="399">
        <v>278065.19684509444</v>
      </c>
      <c r="DV438" s="399">
        <v>0</v>
      </c>
      <c r="DW438" s="399">
        <v>0</v>
      </c>
      <c r="DX438" s="399">
        <v>0</v>
      </c>
      <c r="DY438" s="399">
        <v>-85407.185020000004</v>
      </c>
      <c r="DZ438" s="399">
        <v>1890.3305199999959</v>
      </c>
      <c r="EA438" s="399">
        <v>0</v>
      </c>
      <c r="EB438" s="399">
        <v>0</v>
      </c>
      <c r="EC438" s="399">
        <v>-85978.016050639417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8980.2660774531469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230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437</v>
      </c>
      <c r="B439" s="399" t="s">
        <v>956</v>
      </c>
      <c r="C439" s="399" t="s">
        <v>2336</v>
      </c>
      <c r="D439" s="399" t="s">
        <v>533</v>
      </c>
      <c r="E439" s="399" t="s">
        <v>890</v>
      </c>
      <c r="F439" s="399" t="s">
        <v>1239</v>
      </c>
      <c r="G439" s="399" t="s">
        <v>1239</v>
      </c>
      <c r="H439" s="399" t="s">
        <v>1239</v>
      </c>
      <c r="I439" s="399" t="s">
        <v>2326</v>
      </c>
      <c r="J439" s="399" t="s">
        <v>2329</v>
      </c>
      <c r="K439" s="789">
        <v>44713</v>
      </c>
      <c r="L439" s="399">
        <v>6108</v>
      </c>
      <c r="M439" s="399">
        <v>6108</v>
      </c>
      <c r="N439" s="399">
        <v>2791.9110000000001</v>
      </c>
      <c r="O439" s="399">
        <v>2791.9110000000001</v>
      </c>
      <c r="P439" s="399">
        <v>2791.9110000000001</v>
      </c>
      <c r="Q439" s="399">
        <v>2791.9110000000001</v>
      </c>
      <c r="R439" s="399">
        <v>18.12</v>
      </c>
      <c r="S439" s="399">
        <v>96.28</v>
      </c>
      <c r="T439" s="399">
        <v>128.11000000000001</v>
      </c>
      <c r="U439" s="399">
        <v>110676.96</v>
      </c>
      <c r="V439" s="399">
        <v>626476.9092900001</v>
      </c>
      <c r="W439" s="399">
        <v>737153.86929000006</v>
      </c>
      <c r="X439" s="399">
        <v>715435.48704000004</v>
      </c>
      <c r="Y439" s="399">
        <v>0</v>
      </c>
      <c r="Z439" s="399">
        <v>148691.49522235119</v>
      </c>
      <c r="AA439" s="399">
        <v>0</v>
      </c>
      <c r="AB439" s="399">
        <v>0</v>
      </c>
      <c r="AC439" s="399">
        <v>0</v>
      </c>
      <c r="AD439" s="399">
        <v>0</v>
      </c>
      <c r="AE439" s="399">
        <v>79763.995246263992</v>
      </c>
      <c r="AF439" s="399">
        <v>357674.63973597909</v>
      </c>
      <c r="AG439" s="399">
        <v>0</v>
      </c>
      <c r="AH439" s="399">
        <v>0</v>
      </c>
      <c r="AI439" s="399">
        <v>0</v>
      </c>
      <c r="AJ439" s="399">
        <v>0</v>
      </c>
      <c r="AK439" s="399">
        <v>0</v>
      </c>
      <c r="AL439" s="399">
        <v>26394.308960832415</v>
      </c>
      <c r="AM439" s="399"/>
      <c r="AN439" s="399">
        <v>1372.5052698583486</v>
      </c>
      <c r="AO439" s="399">
        <v>4855.0684763126137</v>
      </c>
      <c r="AP439" s="399">
        <v>26028.148911402761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14625.747720528945</v>
      </c>
      <c r="BH439" s="399">
        <v>0</v>
      </c>
      <c r="BI439" s="399">
        <v>0</v>
      </c>
      <c r="BJ439" s="399">
        <v>0</v>
      </c>
      <c r="BK439" s="399">
        <v>0</v>
      </c>
      <c r="BL439" s="399">
        <v>0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>
        <v>372300.387456508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715435.26240000001</v>
      </c>
      <c r="CJ439" s="399">
        <v>-21718.636890000082</v>
      </c>
      <c r="CK439" s="399"/>
      <c r="CL439" s="399"/>
      <c r="CM439" s="399"/>
      <c r="CN439" s="399"/>
      <c r="CO439" s="399">
        <v>-38078.980710000011</v>
      </c>
      <c r="CP439" s="399">
        <v>16360.598459999959</v>
      </c>
      <c r="CQ439" s="399">
        <v>30</v>
      </c>
      <c r="CR439" s="399">
        <v>2949.0919694491895</v>
      </c>
      <c r="CS439" s="399">
        <v>354.39965671016398</v>
      </c>
      <c r="CT439" s="399">
        <v>1899.9458162139272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0</v>
      </c>
      <c r="DA439" s="399">
        <v>0</v>
      </c>
      <c r="DB439" s="399">
        <v>0</v>
      </c>
      <c r="DC439" s="399">
        <v>16359.01895741676</v>
      </c>
      <c r="DD439" s="399">
        <v>0</v>
      </c>
      <c r="DE439" s="399">
        <v>0</v>
      </c>
      <c r="DF439" s="399">
        <v>0</v>
      </c>
      <c r="DG439" s="399">
        <v>668.94002997562893</v>
      </c>
      <c r="DH439" s="399">
        <v>0</v>
      </c>
      <c r="DI439" s="399">
        <v>-14064.904366794042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-2107.4953249887403</v>
      </c>
      <c r="DP439" s="399">
        <v>-160.81279908449847</v>
      </c>
      <c r="DQ439" s="399">
        <v>0</v>
      </c>
      <c r="DR439" s="399">
        <v>0</v>
      </c>
      <c r="DS439" s="399"/>
      <c r="DT439" s="399"/>
      <c r="DU439" s="399">
        <v>79763.995246263992</v>
      </c>
      <c r="DV439" s="399">
        <v>0</v>
      </c>
      <c r="DW439" s="399">
        <v>0</v>
      </c>
      <c r="DX439" s="399">
        <v>0</v>
      </c>
      <c r="DY439" s="399">
        <v>-38078.980710000033</v>
      </c>
      <c r="DZ439" s="399">
        <v>16360.598460000008</v>
      </c>
      <c r="EA439" s="399">
        <v>0</v>
      </c>
      <c r="EB439" s="399">
        <v>0</v>
      </c>
      <c r="EC439" s="399">
        <v>-24663.101104907037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77723.194860743286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230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438</v>
      </c>
      <c r="B440" s="399" t="s">
        <v>956</v>
      </c>
      <c r="C440" s="399" t="s">
        <v>2336</v>
      </c>
      <c r="D440" s="399" t="s">
        <v>533</v>
      </c>
      <c r="E440" s="399" t="s">
        <v>890</v>
      </c>
      <c r="F440" s="399" t="s">
        <v>1239</v>
      </c>
      <c r="G440" s="399" t="s">
        <v>1239</v>
      </c>
      <c r="H440" s="399" t="s">
        <v>1239</v>
      </c>
      <c r="I440" s="399" t="s">
        <v>1239</v>
      </c>
      <c r="J440" s="399" t="s">
        <v>2329</v>
      </c>
      <c r="K440" s="789">
        <v>44713</v>
      </c>
      <c r="L440" s="399">
        <v>0</v>
      </c>
      <c r="M440" s="399">
        <v>0</v>
      </c>
      <c r="N440" s="399">
        <v>0</v>
      </c>
      <c r="O440" s="399">
        <v>0</v>
      </c>
      <c r="P440" s="399">
        <v>0</v>
      </c>
      <c r="Q440" s="399">
        <v>0</v>
      </c>
      <c r="R440" s="399"/>
      <c r="S440" s="399"/>
      <c r="T440" s="399"/>
      <c r="U440" s="399"/>
      <c r="V440" s="399"/>
      <c r="W440" s="399"/>
      <c r="X440" s="399"/>
      <c r="Y440" s="399"/>
      <c r="Z440" s="399"/>
      <c r="AA440" s="399">
        <v>0</v>
      </c>
      <c r="AB440" s="399"/>
      <c r="AC440" s="399"/>
      <c r="AD440" s="399"/>
      <c r="AE440" s="399"/>
      <c r="AF440" s="399"/>
      <c r="AG440" s="399"/>
      <c r="AH440" s="399"/>
      <c r="AI440" s="399"/>
      <c r="AJ440" s="399"/>
      <c r="AK440" s="399"/>
      <c r="AL440" s="399"/>
      <c r="AM440" s="399"/>
      <c r="AN440" s="399"/>
      <c r="AO440" s="399"/>
      <c r="AP440" s="399"/>
      <c r="AQ440" s="399"/>
      <c r="AR440" s="399"/>
      <c r="AS440" s="399"/>
      <c r="AT440" s="399"/>
      <c r="AU440" s="399"/>
      <c r="AV440" s="399"/>
      <c r="AW440" s="399"/>
      <c r="AX440" s="399"/>
      <c r="AY440" s="399"/>
      <c r="AZ440" s="399">
        <v>0</v>
      </c>
      <c r="BA440" s="399"/>
      <c r="BB440" s="399"/>
      <c r="BC440" s="399"/>
      <c r="BD440" s="399"/>
      <c r="BE440" s="399"/>
      <c r="BF440" s="399"/>
      <c r="BG440" s="399"/>
      <c r="BH440" s="399"/>
      <c r="BI440" s="399">
        <v>0</v>
      </c>
      <c r="BJ440" s="399">
        <v>0</v>
      </c>
      <c r="BK440" s="399">
        <v>0</v>
      </c>
      <c r="BL440" s="399">
        <v>1</v>
      </c>
      <c r="BM440" s="399"/>
      <c r="BN440" s="399"/>
      <c r="BO440" s="399"/>
      <c r="BP440" s="399"/>
      <c r="BQ440" s="399"/>
      <c r="BR440" s="399"/>
      <c r="BS440" s="399"/>
      <c r="BT440" s="399"/>
      <c r="BU440" s="399"/>
      <c r="BV440" s="399"/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/>
      <c r="CJ440" s="399">
        <v>-0.03</v>
      </c>
      <c r="CK440" s="399"/>
      <c r="CL440" s="399"/>
      <c r="CM440" s="399"/>
      <c r="CN440" s="399"/>
      <c r="CO440" s="399">
        <v>0</v>
      </c>
      <c r="CP440" s="399">
        <v>0</v>
      </c>
      <c r="CQ440" s="399">
        <v>30</v>
      </c>
      <c r="CR440" s="399"/>
      <c r="CS440" s="399"/>
      <c r="CT440" s="399"/>
      <c r="CU440" s="399"/>
      <c r="CV440" s="399"/>
      <c r="CW440" s="399"/>
      <c r="CX440" s="399"/>
      <c r="CY440" s="399"/>
      <c r="CZ440" s="399"/>
      <c r="DA440" s="399"/>
      <c r="DB440" s="399"/>
      <c r="DC440" s="399"/>
      <c r="DD440" s="399"/>
      <c r="DE440" s="399"/>
      <c r="DF440" s="399"/>
      <c r="DG440" s="399"/>
      <c r="DH440" s="399"/>
      <c r="DI440" s="399"/>
      <c r="DJ440" s="399"/>
      <c r="DK440" s="399">
        <v>0</v>
      </c>
      <c r="DL440" s="399"/>
      <c r="DM440" s="399"/>
      <c r="DN440" s="399"/>
      <c r="DO440" s="399"/>
      <c r="DP440" s="399"/>
      <c r="DQ440" s="399"/>
      <c r="DR440" s="399"/>
      <c r="DS440" s="399"/>
      <c r="DT440" s="399"/>
      <c r="DU440" s="399"/>
      <c r="DV440" s="399"/>
      <c r="DW440" s="399"/>
      <c r="DX440" s="399"/>
      <c r="DY440" s="399"/>
      <c r="DZ440" s="399"/>
      <c r="EA440" s="399"/>
      <c r="EB440" s="399"/>
      <c r="EC440" s="399"/>
      <c r="ED440" s="399"/>
      <c r="EE440" s="399"/>
      <c r="EF440" s="399"/>
      <c r="EG440" s="399"/>
      <c r="EH440" s="399"/>
      <c r="EI440" s="399"/>
      <c r="EJ440" s="399"/>
      <c r="EK440" s="399"/>
      <c r="EL440" s="399"/>
      <c r="EM440" s="399"/>
      <c r="EN440" s="399"/>
      <c r="EO440" s="399"/>
      <c r="EP440" s="399"/>
      <c r="EQ440" s="399"/>
      <c r="ER440" s="399"/>
      <c r="ES440" s="399"/>
      <c r="ET440" s="399"/>
      <c r="EU440" s="399"/>
      <c r="EV440" s="399">
        <v>230</v>
      </c>
      <c r="EW440" s="399"/>
      <c r="EX440" s="399"/>
      <c r="EY440" s="399"/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439</v>
      </c>
      <c r="B441" s="399" t="s">
        <v>956</v>
      </c>
      <c r="C441" s="399" t="s">
        <v>2337</v>
      </c>
      <c r="D441" s="399" t="s">
        <v>533</v>
      </c>
      <c r="E441" s="399" t="s">
        <v>890</v>
      </c>
      <c r="F441" s="399" t="s">
        <v>1239</v>
      </c>
      <c r="G441" s="399" t="s">
        <v>1239</v>
      </c>
      <c r="H441" s="399" t="s">
        <v>1239</v>
      </c>
      <c r="I441" s="399" t="s">
        <v>893</v>
      </c>
      <c r="J441" s="399" t="s">
        <v>2329</v>
      </c>
      <c r="K441" s="789">
        <v>44713</v>
      </c>
      <c r="L441" s="399">
        <v>0</v>
      </c>
      <c r="M441" s="399">
        <v>0</v>
      </c>
      <c r="N441" s="399">
        <v>867.57</v>
      </c>
      <c r="O441" s="399">
        <v>867.57</v>
      </c>
      <c r="P441" s="399">
        <v>867.57</v>
      </c>
      <c r="Q441" s="399">
        <v>867.57</v>
      </c>
      <c r="R441" s="399"/>
      <c r="S441" s="399">
        <v>1351.49</v>
      </c>
      <c r="T441" s="399">
        <v>128.11000000000001</v>
      </c>
      <c r="U441" s="399"/>
      <c r="V441" s="399">
        <v>1283656.5719999999</v>
      </c>
      <c r="W441" s="399">
        <v>1283656.5719999999</v>
      </c>
      <c r="X441" s="399">
        <v>990686.8587000001</v>
      </c>
      <c r="Y441" s="399">
        <v>0</v>
      </c>
      <c r="Z441" s="399">
        <v>46205.011732127292</v>
      </c>
      <c r="AA441" s="399">
        <v>0</v>
      </c>
      <c r="AB441" s="399">
        <v>0</v>
      </c>
      <c r="AC441" s="399">
        <v>0</v>
      </c>
      <c r="AD441" s="399">
        <v>0</v>
      </c>
      <c r="AE441" s="399">
        <v>975100.64346609078</v>
      </c>
      <c r="AF441" s="399">
        <v>111145.30054709602</v>
      </c>
      <c r="AG441" s="399">
        <v>0</v>
      </c>
      <c r="AH441" s="399">
        <v>0</v>
      </c>
      <c r="AI441" s="399">
        <v>0</v>
      </c>
      <c r="AJ441" s="399">
        <v>0</v>
      </c>
      <c r="AK441" s="399">
        <v>0</v>
      </c>
      <c r="AL441" s="399">
        <v>8201.8770029379084</v>
      </c>
      <c r="AM441" s="399"/>
      <c r="AN441" s="399">
        <v>426.49797825611472</v>
      </c>
      <c r="AO441" s="399">
        <v>18021.623082303751</v>
      </c>
      <c r="AP441" s="399">
        <v>95859.611680966875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4544.8654881546363</v>
      </c>
      <c r="BH441" s="399">
        <v>0</v>
      </c>
      <c r="BI441" s="399">
        <v>0</v>
      </c>
      <c r="BJ441" s="399">
        <v>0</v>
      </c>
      <c r="BK441" s="399">
        <v>0</v>
      </c>
      <c r="BL441" s="399">
        <v>0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>
        <v>115690.16603525066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990686.8587000001</v>
      </c>
      <c r="CJ441" s="399">
        <v>-292969.74329999986</v>
      </c>
      <c r="CK441" s="399"/>
      <c r="CL441" s="399"/>
      <c r="CM441" s="399"/>
      <c r="CN441" s="399"/>
      <c r="CO441" s="399">
        <v>-298053.67349999998</v>
      </c>
      <c r="CP441" s="399">
        <v>5083.9601999999877</v>
      </c>
      <c r="CQ441" s="399">
        <v>30</v>
      </c>
      <c r="CR441" s="399">
        <v>8528.741398105456</v>
      </c>
      <c r="CS441" s="399">
        <v>1315.5029769176836</v>
      </c>
      <c r="CT441" s="399">
        <v>6997.3500142900739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0</v>
      </c>
      <c r="DA441" s="399">
        <v>0</v>
      </c>
      <c r="DB441" s="399">
        <v>0</v>
      </c>
      <c r="DC441" s="399">
        <v>5083.4693788183213</v>
      </c>
      <c r="DD441" s="399">
        <v>0</v>
      </c>
      <c r="DE441" s="399">
        <v>0</v>
      </c>
      <c r="DF441" s="399">
        <v>0</v>
      </c>
      <c r="DG441" s="399">
        <v>207.86919848303023</v>
      </c>
      <c r="DH441" s="399">
        <v>0</v>
      </c>
      <c r="DI441" s="399">
        <v>-4370.5866990385839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-654.89183541326383</v>
      </c>
      <c r="DP441" s="399">
        <v>-49.97163595176869</v>
      </c>
      <c r="DQ441" s="399">
        <v>0</v>
      </c>
      <c r="DR441" s="399">
        <v>0</v>
      </c>
      <c r="DS441" s="399"/>
      <c r="DT441" s="399"/>
      <c r="DU441" s="399"/>
      <c r="DV441" s="399">
        <v>975100.64346609078</v>
      </c>
      <c r="DW441" s="399">
        <v>0</v>
      </c>
      <c r="DX441" s="399">
        <v>0</v>
      </c>
      <c r="DY441" s="399">
        <v>-298053.67349999992</v>
      </c>
      <c r="DZ441" s="399">
        <v>5083.9602000000014</v>
      </c>
      <c r="EA441" s="399">
        <v>0</v>
      </c>
      <c r="EB441" s="399">
        <v>0</v>
      </c>
      <c r="EC441" s="399">
        <v>-301502.0208430487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24152.027828012804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230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440</v>
      </c>
      <c r="B442" s="399" t="s">
        <v>956</v>
      </c>
      <c r="C442" s="399" t="s">
        <v>2337</v>
      </c>
      <c r="D442" s="399" t="s">
        <v>533</v>
      </c>
      <c r="E442" s="399" t="s">
        <v>890</v>
      </c>
      <c r="F442" s="399" t="s">
        <v>1239</v>
      </c>
      <c r="G442" s="399" t="s">
        <v>1239</v>
      </c>
      <c r="H442" s="399" t="s">
        <v>1239</v>
      </c>
      <c r="I442" s="399" t="s">
        <v>2326</v>
      </c>
      <c r="J442" s="399" t="s">
        <v>2329</v>
      </c>
      <c r="K442" s="789">
        <v>44713</v>
      </c>
      <c r="L442" s="399">
        <v>0</v>
      </c>
      <c r="M442" s="399">
        <v>0</v>
      </c>
      <c r="N442" s="399">
        <v>12988.965</v>
      </c>
      <c r="O442" s="399">
        <v>12988.965</v>
      </c>
      <c r="P442" s="399">
        <v>12988.965</v>
      </c>
      <c r="Q442" s="399">
        <v>12988.965</v>
      </c>
      <c r="R442" s="399"/>
      <c r="S442" s="399">
        <v>96.28</v>
      </c>
      <c r="T442" s="399">
        <v>128.11000000000001</v>
      </c>
      <c r="U442" s="399"/>
      <c r="V442" s="399">
        <v>2914593.85635</v>
      </c>
      <c r="W442" s="399">
        <v>2914593.85635</v>
      </c>
      <c r="X442" s="399">
        <v>2917841.0976</v>
      </c>
      <c r="Y442" s="399">
        <v>0</v>
      </c>
      <c r="Z442" s="399">
        <v>691765.8289396714</v>
      </c>
      <c r="AA442" s="399">
        <v>0</v>
      </c>
      <c r="AB442" s="399">
        <v>0</v>
      </c>
      <c r="AC442" s="399">
        <v>0</v>
      </c>
      <c r="AD442" s="399">
        <v>0</v>
      </c>
      <c r="AE442" s="399">
        <v>0</v>
      </c>
      <c r="AF442" s="399">
        <v>1664029.8981300769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122795.73213166129</v>
      </c>
      <c r="AM442" s="399"/>
      <c r="AN442" s="399">
        <v>6385.3836717952845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68044.190964819529</v>
      </c>
      <c r="BH442" s="399">
        <v>0</v>
      </c>
      <c r="BI442" s="399">
        <v>0</v>
      </c>
      <c r="BJ442" s="399">
        <v>0</v>
      </c>
      <c r="BK442" s="399">
        <v>0</v>
      </c>
      <c r="BL442" s="399">
        <v>0</v>
      </c>
      <c r="BM442" s="399"/>
      <c r="BN442" s="399"/>
      <c r="BO442" s="399"/>
      <c r="BP442" s="399"/>
      <c r="BQ442" s="399"/>
      <c r="BR442" s="399"/>
      <c r="BS442" s="399"/>
      <c r="BT442" s="399"/>
      <c r="BU442" s="399"/>
      <c r="BV442" s="399">
        <v>1732074.0890948966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2917842.2207999998</v>
      </c>
      <c r="CJ442" s="399">
        <v>3248.3344499995001</v>
      </c>
      <c r="CK442" s="399"/>
      <c r="CL442" s="399"/>
      <c r="CM442" s="399"/>
      <c r="CN442" s="399"/>
      <c r="CO442" s="399">
        <v>-72868.093649999995</v>
      </c>
      <c r="CP442" s="399">
        <v>76115.334899999812</v>
      </c>
      <c r="CQ442" s="399">
        <v>30</v>
      </c>
      <c r="CR442" s="399">
        <v>3232.2083072271198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0</v>
      </c>
      <c r="DA442" s="399">
        <v>0</v>
      </c>
      <c r="DB442" s="399">
        <v>0</v>
      </c>
      <c r="DC442" s="399">
        <v>76107.986491053365</v>
      </c>
      <c r="DD442" s="399">
        <v>0</v>
      </c>
      <c r="DE442" s="399">
        <v>0</v>
      </c>
      <c r="DF442" s="399">
        <v>0</v>
      </c>
      <c r="DG442" s="399">
        <v>3112.1474274976499</v>
      </c>
      <c r="DH442" s="399">
        <v>0</v>
      </c>
      <c r="DI442" s="399">
        <v>-65434.947800497524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-9804.819356327047</v>
      </c>
      <c r="DP442" s="399">
        <v>-748.158454499654</v>
      </c>
      <c r="DQ442" s="399">
        <v>0</v>
      </c>
      <c r="DR442" s="399">
        <v>0</v>
      </c>
      <c r="DS442" s="399"/>
      <c r="DT442" s="399"/>
      <c r="DU442" s="399"/>
      <c r="DV442" s="399">
        <v>0</v>
      </c>
      <c r="DW442" s="399">
        <v>0</v>
      </c>
      <c r="DX442" s="399">
        <v>0</v>
      </c>
      <c r="DY442" s="399">
        <v>-72868.093649999937</v>
      </c>
      <c r="DZ442" s="399">
        <v>76115.334899999667</v>
      </c>
      <c r="EA442" s="399">
        <v>0</v>
      </c>
      <c r="EB442" s="399">
        <v>0</v>
      </c>
      <c r="EC442" s="399">
        <v>0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361596.00278603955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230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441</v>
      </c>
      <c r="B443" s="399" t="s">
        <v>956</v>
      </c>
      <c r="C443" s="399" t="s">
        <v>2337</v>
      </c>
      <c r="D443" s="399" t="s">
        <v>533</v>
      </c>
      <c r="E443" s="399" t="s">
        <v>890</v>
      </c>
      <c r="F443" s="399" t="s">
        <v>1239</v>
      </c>
      <c r="G443" s="399" t="s">
        <v>1239</v>
      </c>
      <c r="H443" s="399" t="s">
        <v>1239</v>
      </c>
      <c r="I443" s="399" t="s">
        <v>1239</v>
      </c>
      <c r="J443" s="399" t="s">
        <v>2329</v>
      </c>
      <c r="K443" s="789">
        <v>44713</v>
      </c>
      <c r="L443" s="399">
        <v>50300</v>
      </c>
      <c r="M443" s="399">
        <v>50300</v>
      </c>
      <c r="N443" s="399">
        <v>0</v>
      </c>
      <c r="O443" s="399">
        <v>0</v>
      </c>
      <c r="P443" s="399">
        <v>0</v>
      </c>
      <c r="Q443" s="399">
        <v>0</v>
      </c>
      <c r="R443" s="399">
        <v>18.12</v>
      </c>
      <c r="S443" s="399"/>
      <c r="T443" s="399"/>
      <c r="U443" s="399">
        <v>911436</v>
      </c>
      <c r="V443" s="399"/>
      <c r="W443" s="399">
        <v>911436</v>
      </c>
      <c r="X443" s="399">
        <v>726835</v>
      </c>
      <c r="Y443" s="399">
        <v>0</v>
      </c>
      <c r="Z443" s="399">
        <v>0</v>
      </c>
      <c r="AA443" s="399">
        <v>0</v>
      </c>
      <c r="AB443" s="399">
        <v>0</v>
      </c>
      <c r="AC443" s="399">
        <v>0</v>
      </c>
      <c r="AD443" s="399">
        <v>0</v>
      </c>
      <c r="AE443" s="399">
        <v>656864.59739474114</v>
      </c>
      <c r="AF443" s="399"/>
      <c r="AG443" s="399"/>
      <c r="AH443" s="399"/>
      <c r="AI443" s="399">
        <v>0</v>
      </c>
      <c r="AJ443" s="399">
        <v>0</v>
      </c>
      <c r="AK443" s="399">
        <v>0</v>
      </c>
      <c r="AL443" s="399">
        <v>0</v>
      </c>
      <c r="AM443" s="399"/>
      <c r="AN443" s="399">
        <v>0</v>
      </c>
      <c r="AO443" s="399">
        <v>39981.981722089789</v>
      </c>
      <c r="AP443" s="399">
        <v>214344.44830444644</v>
      </c>
      <c r="AQ443" s="399">
        <v>0</v>
      </c>
      <c r="AR443" s="399">
        <v>0</v>
      </c>
      <c r="AS443" s="399"/>
      <c r="AT443" s="399"/>
      <c r="AU443" s="399">
        <v>0</v>
      </c>
      <c r="AV443" s="399">
        <v>0</v>
      </c>
      <c r="AW443" s="399">
        <v>0</v>
      </c>
      <c r="AX443" s="399"/>
      <c r="AY443" s="399"/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/>
      <c r="BG443" s="399">
        <v>0</v>
      </c>
      <c r="BH443" s="399">
        <v>0</v>
      </c>
      <c r="BI443" s="399">
        <v>0</v>
      </c>
      <c r="BJ443" s="399">
        <v>0</v>
      </c>
      <c r="BK443" s="399">
        <v>1338927.8400000001</v>
      </c>
      <c r="BL443" s="399">
        <v>97</v>
      </c>
      <c r="BM443" s="399"/>
      <c r="BN443" s="399"/>
      <c r="BO443" s="399"/>
      <c r="BP443" s="399"/>
      <c r="BQ443" s="399"/>
      <c r="BR443" s="399"/>
      <c r="BS443" s="399"/>
      <c r="BT443" s="399"/>
      <c r="BU443" s="399"/>
      <c r="BV443" s="399">
        <v>0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726835</v>
      </c>
      <c r="CJ443" s="399">
        <v>-184601.03000000003</v>
      </c>
      <c r="CK443" s="399"/>
      <c r="CL443" s="399"/>
      <c r="CM443" s="399"/>
      <c r="CN443" s="399"/>
      <c r="CO443" s="399">
        <v>-184601.00000000009</v>
      </c>
      <c r="CP443" s="399">
        <v>0</v>
      </c>
      <c r="CQ443" s="399">
        <v>30</v>
      </c>
      <c r="CR443" s="399">
        <v>18564.763799620443</v>
      </c>
      <c r="CS443" s="399">
        <v>2918.5171467782056</v>
      </c>
      <c r="CT443" s="399">
        <v>15646.246652842237</v>
      </c>
      <c r="CU443" s="399">
        <v>0</v>
      </c>
      <c r="CV443" s="399">
        <v>0</v>
      </c>
      <c r="CW443" s="399"/>
      <c r="CX443" s="399"/>
      <c r="CY443" s="399"/>
      <c r="CZ443" s="399">
        <v>0</v>
      </c>
      <c r="DA443" s="399">
        <v>0</v>
      </c>
      <c r="DB443" s="399">
        <v>0</v>
      </c>
      <c r="DC443" s="399"/>
      <c r="DD443" s="399"/>
      <c r="DE443" s="399">
        <v>0</v>
      </c>
      <c r="DF443" s="399">
        <v>0</v>
      </c>
      <c r="DG443" s="399">
        <v>0</v>
      </c>
      <c r="DH443" s="399">
        <v>0</v>
      </c>
      <c r="DI443" s="399">
        <v>0</v>
      </c>
      <c r="DJ443" s="399"/>
      <c r="DK443" s="399">
        <v>0</v>
      </c>
      <c r="DL443" s="399">
        <v>0</v>
      </c>
      <c r="DM443" s="399"/>
      <c r="DN443" s="399">
        <v>0</v>
      </c>
      <c r="DO443" s="399">
        <v>0</v>
      </c>
      <c r="DP443" s="399">
        <v>0</v>
      </c>
      <c r="DQ443" s="399">
        <v>0</v>
      </c>
      <c r="DR443" s="399">
        <v>0</v>
      </c>
      <c r="DS443" s="399"/>
      <c r="DT443" s="399"/>
      <c r="DU443" s="399">
        <v>656864.59739474114</v>
      </c>
      <c r="DV443" s="399"/>
      <c r="DW443" s="399">
        <v>0</v>
      </c>
      <c r="DX443" s="399">
        <v>0</v>
      </c>
      <c r="DY443" s="399">
        <v>-184601</v>
      </c>
      <c r="DZ443" s="399"/>
      <c r="EA443" s="399">
        <v>0</v>
      </c>
      <c r="EB443" s="399"/>
      <c r="EC443" s="399">
        <v>-203103.14105710934</v>
      </c>
      <c r="ED443" s="399"/>
      <c r="EE443" s="399">
        <v>0</v>
      </c>
      <c r="EF443" s="399">
        <v>0</v>
      </c>
      <c r="EG443" s="399"/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/>
      <c r="EN443" s="399"/>
      <c r="EO443" s="399">
        <v>0</v>
      </c>
      <c r="EP443" s="399">
        <v>0</v>
      </c>
      <c r="EQ443" s="399"/>
      <c r="ER443" s="399">
        <v>0</v>
      </c>
      <c r="ES443" s="399"/>
      <c r="ET443" s="399">
        <v>0</v>
      </c>
      <c r="EU443" s="399"/>
      <c r="EV443" s="399">
        <v>230</v>
      </c>
      <c r="EW443" s="399"/>
      <c r="EX443" s="399"/>
      <c r="EY443" s="399"/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442</v>
      </c>
      <c r="B444" s="399" t="s">
        <v>956</v>
      </c>
      <c r="C444" s="399" t="s">
        <v>2328</v>
      </c>
      <c r="D444" s="399" t="s">
        <v>1826</v>
      </c>
      <c r="E444" s="399" t="s">
        <v>918</v>
      </c>
      <c r="F444" s="399" t="s">
        <v>1239</v>
      </c>
      <c r="G444" s="399" t="s">
        <v>1239</v>
      </c>
      <c r="H444" s="399" t="s">
        <v>1239</v>
      </c>
      <c r="I444" s="399" t="s">
        <v>1239</v>
      </c>
      <c r="J444" s="399" t="s">
        <v>2329</v>
      </c>
      <c r="K444" s="789">
        <v>44713</v>
      </c>
      <c r="L444" s="399">
        <v>0</v>
      </c>
      <c r="M444" s="399">
        <v>0</v>
      </c>
      <c r="N444" s="399">
        <v>989.36900000000003</v>
      </c>
      <c r="O444" s="399">
        <v>989.36900000000003</v>
      </c>
      <c r="P444" s="399">
        <v>989.36900000000003</v>
      </c>
      <c r="Q444" s="399">
        <v>989.36900000000003</v>
      </c>
      <c r="R444" s="399"/>
      <c r="S444" s="399">
        <v>333.61</v>
      </c>
      <c r="T444" s="399">
        <v>128.11000000000001</v>
      </c>
      <c r="U444" s="399"/>
      <c r="V444" s="399">
        <v>456811.45468000008</v>
      </c>
      <c r="W444" s="399">
        <v>456811.45468000008</v>
      </c>
      <c r="X444" s="399">
        <v>398745.38806999999</v>
      </c>
      <c r="Y444" s="399">
        <v>0</v>
      </c>
      <c r="Z444" s="399">
        <v>60565.262616065054</v>
      </c>
      <c r="AA444" s="399">
        <v>0</v>
      </c>
      <c r="AB444" s="399">
        <v>0</v>
      </c>
      <c r="AC444" s="399">
        <v>0</v>
      </c>
      <c r="AD444" s="399">
        <v>0</v>
      </c>
      <c r="AE444" s="399">
        <v>192428.50918057302</v>
      </c>
      <c r="AF444" s="399">
        <v>126749.09789063687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9353.3465294093567</v>
      </c>
      <c r="AM444" s="399"/>
      <c r="AN444" s="399">
        <v>851.24112243285674</v>
      </c>
      <c r="AO444" s="399">
        <v>3439.0665980062126</v>
      </c>
      <c r="AP444" s="399">
        <v>18345.508822902579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13424.125486598907</v>
      </c>
      <c r="BH444" s="399">
        <v>0</v>
      </c>
      <c r="BI444" s="399">
        <v>0</v>
      </c>
      <c r="BJ444" s="399">
        <v>0</v>
      </c>
      <c r="BK444" s="399">
        <v>132282.78</v>
      </c>
      <c r="BL444" s="399">
        <v>1669</v>
      </c>
      <c r="BM444" s="399"/>
      <c r="BN444" s="399"/>
      <c r="BO444" s="399"/>
      <c r="BP444" s="399"/>
      <c r="BQ444" s="399"/>
      <c r="BR444" s="399"/>
      <c r="BS444" s="399"/>
      <c r="BT444" s="399"/>
      <c r="BU444" s="399"/>
      <c r="BV444" s="399">
        <v>140173.22337723579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398745.79110000003</v>
      </c>
      <c r="CJ444" s="399">
        <v>-58065.693580000079</v>
      </c>
      <c r="CK444" s="399"/>
      <c r="CL444" s="399"/>
      <c r="CM444" s="399"/>
      <c r="CN444" s="399"/>
      <c r="CO444" s="399">
        <v>-63863.768950000012</v>
      </c>
      <c r="CP444" s="399">
        <v>5797.7023399999853</v>
      </c>
      <c r="CQ444" s="399">
        <v>30</v>
      </c>
      <c r="CR444" s="399">
        <v>1425.7963814644609</v>
      </c>
      <c r="CS444" s="399">
        <v>251.03745244444053</v>
      </c>
      <c r="CT444" s="399">
        <v>1339.1452789453651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0</v>
      </c>
      <c r="DA444" s="399">
        <v>0</v>
      </c>
      <c r="DB444" s="399">
        <v>0</v>
      </c>
      <c r="DC444" s="399">
        <v>5797.1426119530661</v>
      </c>
      <c r="DD444" s="399">
        <v>0</v>
      </c>
      <c r="DE444" s="399">
        <v>0</v>
      </c>
      <c r="DF444" s="399">
        <v>0</v>
      </c>
      <c r="DG444" s="399">
        <v>613.98125258216714</v>
      </c>
      <c r="DH444" s="399">
        <v>0</v>
      </c>
      <c r="DI444" s="399">
        <v>-5728.9398117281089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-746.83274007974615</v>
      </c>
      <c r="DP444" s="399">
        <v>-99.737662652753897</v>
      </c>
      <c r="DQ444" s="399">
        <v>0</v>
      </c>
      <c r="DR444" s="399">
        <v>0</v>
      </c>
      <c r="DS444" s="399"/>
      <c r="DT444" s="399"/>
      <c r="DU444" s="399"/>
      <c r="DV444" s="399">
        <v>192428.50918057302</v>
      </c>
      <c r="DW444" s="399">
        <v>0</v>
      </c>
      <c r="DX444" s="399">
        <v>0</v>
      </c>
      <c r="DY444" s="399">
        <v>-63863.768950000056</v>
      </c>
      <c r="DZ444" s="399">
        <v>5797.7023399999889</v>
      </c>
      <c r="EA444" s="399">
        <v>0</v>
      </c>
      <c r="EB444" s="399">
        <v>0</v>
      </c>
      <c r="EC444" s="399">
        <v>-59499.073018277471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31658.338636391105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230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443</v>
      </c>
      <c r="B445" s="399" t="s">
        <v>2330</v>
      </c>
      <c r="C445" s="399" t="s">
        <v>2328</v>
      </c>
      <c r="D445" s="399" t="s">
        <v>1826</v>
      </c>
      <c r="E445" s="399" t="s">
        <v>918</v>
      </c>
      <c r="F445" s="399" t="s">
        <v>1239</v>
      </c>
      <c r="G445" s="399" t="s">
        <v>1239</v>
      </c>
      <c r="H445" s="399" t="s">
        <v>1239</v>
      </c>
      <c r="I445" s="399" t="s">
        <v>1239</v>
      </c>
      <c r="J445" s="399" t="s">
        <v>2329</v>
      </c>
      <c r="K445" s="789">
        <v>44713</v>
      </c>
      <c r="L445" s="399">
        <v>0</v>
      </c>
      <c r="M445" s="399">
        <v>0</v>
      </c>
      <c r="N445" s="399">
        <v>-2.0790000000000002</v>
      </c>
      <c r="O445" s="399">
        <v>-2.0790000000000002</v>
      </c>
      <c r="P445" s="399">
        <v>-2.0790000000000002</v>
      </c>
      <c r="Q445" s="399">
        <v>-2.0790000000000002</v>
      </c>
      <c r="R445" s="399"/>
      <c r="S445" s="399">
        <v>333.61</v>
      </c>
      <c r="T445" s="399">
        <v>128.11000000000001</v>
      </c>
      <c r="U445" s="399"/>
      <c r="V445" s="399">
        <v>-959.91588000000024</v>
      </c>
      <c r="W445" s="399">
        <v>-959.91588000000024</v>
      </c>
      <c r="X445" s="399">
        <v>-837.89937000000009</v>
      </c>
      <c r="Y445" s="399">
        <v>0</v>
      </c>
      <c r="Z445" s="399">
        <v>-127.26816888218578</v>
      </c>
      <c r="AA445" s="399">
        <v>0</v>
      </c>
      <c r="AB445" s="399">
        <v>0</v>
      </c>
      <c r="AC445" s="399">
        <v>0</v>
      </c>
      <c r="AD445" s="399">
        <v>0</v>
      </c>
      <c r="AE445" s="399">
        <v>-404.35759619152344</v>
      </c>
      <c r="AF445" s="399">
        <v>-266.34286551795549</v>
      </c>
      <c r="AG445" s="399">
        <v>0</v>
      </c>
      <c r="AH445" s="399">
        <v>0</v>
      </c>
      <c r="AI445" s="399">
        <v>0</v>
      </c>
      <c r="AJ445" s="399">
        <v>0</v>
      </c>
      <c r="AK445" s="399">
        <v>0</v>
      </c>
      <c r="AL445" s="399">
        <v>-19.654555008942118</v>
      </c>
      <c r="AM445" s="399"/>
      <c r="AN445" s="399">
        <v>-1.78874645712359</v>
      </c>
      <c r="AO445" s="399">
        <v>-7.2266459301382158</v>
      </c>
      <c r="AP445" s="399">
        <v>-38.550139374504823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-28.208642970053774</v>
      </c>
      <c r="BH445" s="399">
        <v>0</v>
      </c>
      <c r="BI445" s="399">
        <v>0</v>
      </c>
      <c r="BJ445" s="399">
        <v>0</v>
      </c>
      <c r="BK445" s="399">
        <v>-283.08</v>
      </c>
      <c r="BL445" s="399">
        <v>0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-294.55150848800929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-838.30240000000003</v>
      </c>
      <c r="CJ445" s="399">
        <v>121.58348000000024</v>
      </c>
      <c r="CK445" s="399"/>
      <c r="CL445" s="399"/>
      <c r="CM445" s="399"/>
      <c r="CN445" s="399"/>
      <c r="CO445" s="399">
        <v>134.19945000000004</v>
      </c>
      <c r="CP445" s="399">
        <v>-12.18293999999997</v>
      </c>
      <c r="CQ445" s="399">
        <v>30</v>
      </c>
      <c r="CR445" s="399">
        <v>-2.9960820250731786</v>
      </c>
      <c r="CS445" s="399">
        <v>-0.52751487426025356</v>
      </c>
      <c r="CT445" s="399">
        <v>-2.8139986546247258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0</v>
      </c>
      <c r="DA445" s="399">
        <v>0</v>
      </c>
      <c r="DB445" s="399">
        <v>0</v>
      </c>
      <c r="DC445" s="399">
        <v>-12.18176382143605</v>
      </c>
      <c r="DD445" s="399">
        <v>0</v>
      </c>
      <c r="DE445" s="399">
        <v>0</v>
      </c>
      <c r="DF445" s="399">
        <v>0</v>
      </c>
      <c r="DG445" s="399">
        <v>-1.2901829591571214</v>
      </c>
      <c r="DH445" s="399">
        <v>0</v>
      </c>
      <c r="DI445" s="399">
        <v>12.038446594327027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1.5693490160150496</v>
      </c>
      <c r="DP445" s="399">
        <v>0.20958267406303954</v>
      </c>
      <c r="DQ445" s="399">
        <v>0</v>
      </c>
      <c r="DR445" s="399">
        <v>0</v>
      </c>
      <c r="DS445" s="399"/>
      <c r="DT445" s="399"/>
      <c r="DU445" s="399"/>
      <c r="DV445" s="399">
        <v>-404.35759619152344</v>
      </c>
      <c r="DW445" s="399">
        <v>0</v>
      </c>
      <c r="DX445" s="399">
        <v>0</v>
      </c>
      <c r="DY445" s="399">
        <v>134.19945000000007</v>
      </c>
      <c r="DZ445" s="399">
        <v>-12.182939999999974</v>
      </c>
      <c r="EA445" s="399">
        <v>0</v>
      </c>
      <c r="EB445" s="399">
        <v>0</v>
      </c>
      <c r="EC445" s="399">
        <v>125.0277427380471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-66.524912368446067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230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444</v>
      </c>
      <c r="B446" s="399" t="s">
        <v>2331</v>
      </c>
      <c r="C446" s="399" t="s">
        <v>2328</v>
      </c>
      <c r="D446" s="399" t="s">
        <v>1826</v>
      </c>
      <c r="E446" s="399" t="s">
        <v>918</v>
      </c>
      <c r="F446" s="399" t="s">
        <v>1239</v>
      </c>
      <c r="G446" s="399" t="s">
        <v>1239</v>
      </c>
      <c r="H446" s="399" t="s">
        <v>1239</v>
      </c>
      <c r="I446" s="399" t="s">
        <v>1239</v>
      </c>
      <c r="J446" s="399" t="s">
        <v>2329</v>
      </c>
      <c r="K446" s="789">
        <v>44713</v>
      </c>
      <c r="L446" s="399">
        <v>0</v>
      </c>
      <c r="M446" s="399">
        <v>0</v>
      </c>
      <c r="N446" s="399">
        <v>8.2810000000000006</v>
      </c>
      <c r="O446" s="399">
        <v>8.2810000000000006</v>
      </c>
      <c r="P446" s="399">
        <v>8.2810000000000006</v>
      </c>
      <c r="Q446" s="399">
        <v>8.2810000000000006</v>
      </c>
      <c r="R446" s="399"/>
      <c r="S446" s="399">
        <v>333.61</v>
      </c>
      <c r="T446" s="399">
        <v>128.11000000000001</v>
      </c>
      <c r="U446" s="399"/>
      <c r="V446" s="399">
        <v>3823.5033200000007</v>
      </c>
      <c r="W446" s="399">
        <v>3823.5033200000007</v>
      </c>
      <c r="X446" s="399">
        <v>3337.49143</v>
      </c>
      <c r="Y446" s="399">
        <v>0</v>
      </c>
      <c r="Z446" s="399">
        <v>506.93011376304975</v>
      </c>
      <c r="AA446" s="399">
        <v>0</v>
      </c>
      <c r="AB446" s="399">
        <v>0</v>
      </c>
      <c r="AC446" s="399">
        <v>0</v>
      </c>
      <c r="AD446" s="399">
        <v>0</v>
      </c>
      <c r="AE446" s="399">
        <v>1610.6230178268424</v>
      </c>
      <c r="AF446" s="399">
        <v>1060.8875754469404</v>
      </c>
      <c r="AG446" s="399">
        <v>0</v>
      </c>
      <c r="AH446" s="399">
        <v>0</v>
      </c>
      <c r="AI446" s="399">
        <v>0</v>
      </c>
      <c r="AJ446" s="399">
        <v>0</v>
      </c>
      <c r="AK446" s="399">
        <v>0</v>
      </c>
      <c r="AL446" s="399">
        <v>78.287335271308166</v>
      </c>
      <c r="AM446" s="399"/>
      <c r="AN446" s="399">
        <v>7.1248722517751082</v>
      </c>
      <c r="AO446" s="399">
        <v>28.784923014658283</v>
      </c>
      <c r="AP446" s="399">
        <v>153.55156525265727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112.35967890092125</v>
      </c>
      <c r="BH446" s="399">
        <v>0</v>
      </c>
      <c r="BI446" s="399">
        <v>0</v>
      </c>
      <c r="BJ446" s="399">
        <v>0</v>
      </c>
      <c r="BK446" s="399">
        <v>2377.1799999999998</v>
      </c>
      <c r="BL446" s="399">
        <v>15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1173.2472543478616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3337.0883999999996</v>
      </c>
      <c r="CJ446" s="399">
        <v>-486.44492000000173</v>
      </c>
      <c r="CK446" s="399"/>
      <c r="CL446" s="399"/>
      <c r="CM446" s="399"/>
      <c r="CN446" s="399"/>
      <c r="CO446" s="399">
        <v>-534.5385500000001</v>
      </c>
      <c r="CP446" s="399">
        <v>48.526659999999879</v>
      </c>
      <c r="CQ446" s="399">
        <v>30</v>
      </c>
      <c r="CR446" s="399">
        <v>11.93388900896116</v>
      </c>
      <c r="CS446" s="399">
        <v>2.1011787752521158</v>
      </c>
      <c r="CT446" s="399">
        <v>11.208620903774573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0</v>
      </c>
      <c r="DA446" s="399">
        <v>0</v>
      </c>
      <c r="DB446" s="399">
        <v>0</v>
      </c>
      <c r="DC446" s="399">
        <v>48.521975086730208</v>
      </c>
      <c r="DD446" s="399">
        <v>0</v>
      </c>
      <c r="DE446" s="399">
        <v>0</v>
      </c>
      <c r="DF446" s="399">
        <v>0</v>
      </c>
      <c r="DG446" s="399">
        <v>5.1390115847908362</v>
      </c>
      <c r="DH446" s="399">
        <v>0</v>
      </c>
      <c r="DI446" s="399">
        <v>-47.951118926225149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-6.2509760469555715</v>
      </c>
      <c r="DP446" s="399">
        <v>-0.83480236840597932</v>
      </c>
      <c r="DQ446" s="399">
        <v>0</v>
      </c>
      <c r="DR446" s="399">
        <v>0</v>
      </c>
      <c r="DS446" s="399"/>
      <c r="DT446" s="399"/>
      <c r="DU446" s="399"/>
      <c r="DV446" s="399">
        <v>1610.6230178268424</v>
      </c>
      <c r="DW446" s="399">
        <v>0</v>
      </c>
      <c r="DX446" s="399">
        <v>0</v>
      </c>
      <c r="DY446" s="399">
        <v>-534.53855000000021</v>
      </c>
      <c r="DZ446" s="399">
        <v>48.526659999999993</v>
      </c>
      <c r="EA446" s="399">
        <v>0</v>
      </c>
      <c r="EB446" s="399">
        <v>0</v>
      </c>
      <c r="EC446" s="399">
        <v>-498.00612679834899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264.97970145411341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230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445</v>
      </c>
      <c r="B447" s="399" t="s">
        <v>956</v>
      </c>
      <c r="C447" s="399" t="s">
        <v>2337</v>
      </c>
      <c r="D447" s="399" t="s">
        <v>533</v>
      </c>
      <c r="E447" s="399" t="s">
        <v>918</v>
      </c>
      <c r="F447" s="399" t="s">
        <v>1239</v>
      </c>
      <c r="G447" s="399" t="s">
        <v>1239</v>
      </c>
      <c r="H447" s="399" t="s">
        <v>1239</v>
      </c>
      <c r="I447" s="399" t="s">
        <v>893</v>
      </c>
      <c r="J447" s="399" t="s">
        <v>2329</v>
      </c>
      <c r="K447" s="789">
        <v>44713</v>
      </c>
      <c r="L447" s="399">
        <v>0</v>
      </c>
      <c r="M447" s="399">
        <v>0</v>
      </c>
      <c r="N447" s="399">
        <v>34.24</v>
      </c>
      <c r="O447" s="399">
        <v>34.24</v>
      </c>
      <c r="P447" s="399">
        <v>34.24</v>
      </c>
      <c r="Q447" s="399">
        <v>34.24</v>
      </c>
      <c r="R447" s="399"/>
      <c r="S447" s="399">
        <v>1351.49</v>
      </c>
      <c r="T447" s="399">
        <v>128.11000000000001</v>
      </c>
      <c r="U447" s="399"/>
      <c r="V447" s="399">
        <v>50661.504000000008</v>
      </c>
      <c r="W447" s="399">
        <v>50661.504000000008</v>
      </c>
      <c r="X447" s="399">
        <v>39098.998400000004</v>
      </c>
      <c r="Y447" s="399">
        <v>0</v>
      </c>
      <c r="Z447" s="399">
        <v>1823.5526835967571</v>
      </c>
      <c r="AA447" s="399">
        <v>0</v>
      </c>
      <c r="AB447" s="399">
        <v>0</v>
      </c>
      <c r="AC447" s="399">
        <v>0</v>
      </c>
      <c r="AD447" s="399">
        <v>0</v>
      </c>
      <c r="AE447" s="399">
        <v>38483.86416344381</v>
      </c>
      <c r="AF447" s="399">
        <v>4386.5222295982658</v>
      </c>
      <c r="AG447" s="399">
        <v>0</v>
      </c>
      <c r="AH447" s="399">
        <v>0</v>
      </c>
      <c r="AI447" s="399">
        <v>0</v>
      </c>
      <c r="AJ447" s="399">
        <v>0</v>
      </c>
      <c r="AK447" s="399">
        <v>0</v>
      </c>
      <c r="AL447" s="399">
        <v>323.69983814630979</v>
      </c>
      <c r="AM447" s="399"/>
      <c r="AN447" s="399">
        <v>16.832406348178669</v>
      </c>
      <c r="AO447" s="399">
        <v>711.2513968187933</v>
      </c>
      <c r="AP447" s="399">
        <v>3783.2487337693856</v>
      </c>
      <c r="AQ447" s="399">
        <v>0</v>
      </c>
      <c r="AR447" s="399">
        <v>0</v>
      </c>
      <c r="AS447" s="399">
        <v>0</v>
      </c>
      <c r="AT447" s="399">
        <v>0</v>
      </c>
      <c r="AU447" s="399">
        <v>0</v>
      </c>
      <c r="AV447" s="399">
        <v>0</v>
      </c>
      <c r="AW447" s="399">
        <v>0</v>
      </c>
      <c r="AX447" s="399">
        <v>0</v>
      </c>
      <c r="AY447" s="399">
        <v>0</v>
      </c>
      <c r="AZ447" s="399">
        <v>0</v>
      </c>
      <c r="BA447" s="399"/>
      <c r="BB447" s="399">
        <v>0</v>
      </c>
      <c r="BC447" s="399">
        <v>0</v>
      </c>
      <c r="BD447" s="399">
        <v>0</v>
      </c>
      <c r="BE447" s="399">
        <v>0</v>
      </c>
      <c r="BF447" s="399">
        <v>0</v>
      </c>
      <c r="BG447" s="399">
        <v>179.37018835876614</v>
      </c>
      <c r="BH447" s="399">
        <v>0</v>
      </c>
      <c r="BI447" s="399">
        <v>0</v>
      </c>
      <c r="BJ447" s="399">
        <v>0</v>
      </c>
      <c r="BK447" s="399">
        <v>0</v>
      </c>
      <c r="BL447" s="399">
        <v>0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>
        <v>4565.8924179570322</v>
      </c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>
        <v>39098.998400000004</v>
      </c>
      <c r="CJ447" s="399">
        <v>-11562.53560000001</v>
      </c>
      <c r="CK447" s="399"/>
      <c r="CL447" s="399"/>
      <c r="CM447" s="399"/>
      <c r="CN447" s="399"/>
      <c r="CO447" s="399">
        <v>-11763.151999999998</v>
      </c>
      <c r="CP447" s="399">
        <v>200.64639999999952</v>
      </c>
      <c r="CQ447" s="399">
        <v>30</v>
      </c>
      <c r="CR447" s="399">
        <v>336.60005010677196</v>
      </c>
      <c r="CS447" s="399">
        <v>51.91837192348919</v>
      </c>
      <c r="CT447" s="399">
        <v>276.16130627994517</v>
      </c>
      <c r="CU447" s="399">
        <v>0</v>
      </c>
      <c r="CV447" s="399">
        <v>0</v>
      </c>
      <c r="CW447" s="399">
        <v>0</v>
      </c>
      <c r="CX447" s="399">
        <v>0</v>
      </c>
      <c r="CY447" s="399">
        <v>0</v>
      </c>
      <c r="CZ447" s="399">
        <v>0</v>
      </c>
      <c r="DA447" s="399">
        <v>0</v>
      </c>
      <c r="DB447" s="399">
        <v>0</v>
      </c>
      <c r="DC447" s="399">
        <v>200.62702897834151</v>
      </c>
      <c r="DD447" s="399">
        <v>0</v>
      </c>
      <c r="DE447" s="399">
        <v>0</v>
      </c>
      <c r="DF447" s="399">
        <v>0</v>
      </c>
      <c r="DG447" s="399">
        <v>8.2038813652604006</v>
      </c>
      <c r="DH447" s="399">
        <v>0</v>
      </c>
      <c r="DI447" s="399">
        <v>-172.49200476627948</v>
      </c>
      <c r="DJ447" s="399"/>
      <c r="DK447" s="399">
        <v>0</v>
      </c>
      <c r="DL447" s="399">
        <v>0</v>
      </c>
      <c r="DM447" s="399">
        <v>0</v>
      </c>
      <c r="DN447" s="399">
        <v>0</v>
      </c>
      <c r="DO447" s="399">
        <v>-25.846325304644211</v>
      </c>
      <c r="DP447" s="399">
        <v>-1.9722083693402936</v>
      </c>
      <c r="DQ447" s="399">
        <v>0</v>
      </c>
      <c r="DR447" s="399">
        <v>0</v>
      </c>
      <c r="DS447" s="399"/>
      <c r="DT447" s="399"/>
      <c r="DU447" s="399"/>
      <c r="DV447" s="399">
        <v>38483.86416344381</v>
      </c>
      <c r="DW447" s="399">
        <v>0</v>
      </c>
      <c r="DX447" s="399">
        <v>0</v>
      </c>
      <c r="DY447" s="399">
        <v>-11763.152000000002</v>
      </c>
      <c r="DZ447" s="399">
        <v>200.64639999999963</v>
      </c>
      <c r="EA447" s="399">
        <v>0</v>
      </c>
      <c r="EB447" s="399">
        <v>0</v>
      </c>
      <c r="EC447" s="399">
        <v>-11899.246393565918</v>
      </c>
      <c r="ED447" s="399">
        <v>0</v>
      </c>
      <c r="EE447" s="399">
        <v>0</v>
      </c>
      <c r="EF447" s="399">
        <v>0</v>
      </c>
      <c r="EG447" s="399">
        <v>0</v>
      </c>
      <c r="EH447" s="399">
        <v>0</v>
      </c>
      <c r="EI447" s="399">
        <v>0</v>
      </c>
      <c r="EJ447" s="399">
        <v>0</v>
      </c>
      <c r="EK447" s="399">
        <v>0</v>
      </c>
      <c r="EL447" s="399">
        <v>0</v>
      </c>
      <c r="EM447" s="399">
        <v>0</v>
      </c>
      <c r="EN447" s="399">
        <v>0</v>
      </c>
      <c r="EO447" s="399">
        <v>0</v>
      </c>
      <c r="EP447" s="399">
        <v>953.19735909627866</v>
      </c>
      <c r="EQ447" s="399">
        <v>0</v>
      </c>
      <c r="ER447" s="399">
        <v>0</v>
      </c>
      <c r="ES447" s="399">
        <v>0</v>
      </c>
      <c r="ET447" s="399">
        <v>0</v>
      </c>
      <c r="EU447" s="399">
        <v>0</v>
      </c>
      <c r="EV447" s="399">
        <v>230</v>
      </c>
      <c r="EW447" s="399">
        <v>0</v>
      </c>
      <c r="EX447" s="399">
        <v>0</v>
      </c>
      <c r="EY447" s="399">
        <v>0</v>
      </c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446</v>
      </c>
      <c r="B448" s="399" t="s">
        <v>956</v>
      </c>
      <c r="C448" s="399" t="s">
        <v>2337</v>
      </c>
      <c r="D448" s="399" t="s">
        <v>533</v>
      </c>
      <c r="E448" s="399" t="s">
        <v>918</v>
      </c>
      <c r="F448" s="399" t="s">
        <v>1239</v>
      </c>
      <c r="G448" s="399" t="s">
        <v>1239</v>
      </c>
      <c r="H448" s="399" t="s">
        <v>1239</v>
      </c>
      <c r="I448" s="399" t="s">
        <v>2326</v>
      </c>
      <c r="J448" s="399" t="s">
        <v>2329</v>
      </c>
      <c r="K448" s="789">
        <v>44713</v>
      </c>
      <c r="L448" s="399">
        <v>0</v>
      </c>
      <c r="M448" s="399">
        <v>0</v>
      </c>
      <c r="N448" s="399">
        <v>381.92899999999997</v>
      </c>
      <c r="O448" s="399">
        <v>381.92899999999997</v>
      </c>
      <c r="P448" s="399">
        <v>381.92899999999997</v>
      </c>
      <c r="Q448" s="399">
        <v>381.92899999999997</v>
      </c>
      <c r="R448" s="399"/>
      <c r="S448" s="399">
        <v>96.28</v>
      </c>
      <c r="T448" s="399">
        <v>128.11000000000001</v>
      </c>
      <c r="U448" s="399"/>
      <c r="V448" s="399">
        <v>85701.048310000013</v>
      </c>
      <c r="W448" s="399">
        <v>85701.048310000013</v>
      </c>
      <c r="X448" s="399">
        <v>85796.530559999999</v>
      </c>
      <c r="Y448" s="399">
        <v>0</v>
      </c>
      <c r="Z448" s="399">
        <v>20340.760890579022</v>
      </c>
      <c r="AA448" s="399">
        <v>0</v>
      </c>
      <c r="AB448" s="399">
        <v>0</v>
      </c>
      <c r="AC448" s="399">
        <v>0</v>
      </c>
      <c r="AD448" s="399">
        <v>0</v>
      </c>
      <c r="AE448" s="399">
        <v>0</v>
      </c>
      <c r="AF448" s="399">
        <v>48929.323850123714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3610.6996344445661</v>
      </c>
      <c r="AM448" s="399"/>
      <c r="AN448" s="399">
        <v>187.75654568205402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2000.7791083433171</v>
      </c>
      <c r="BH448" s="399">
        <v>0</v>
      </c>
      <c r="BI448" s="399">
        <v>0</v>
      </c>
      <c r="BJ448" s="399">
        <v>0</v>
      </c>
      <c r="BK448" s="399">
        <v>0</v>
      </c>
      <c r="BL448" s="399">
        <v>0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>
        <v>50930.102958467032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85796.7552</v>
      </c>
      <c r="CJ448" s="399">
        <v>95.676890000002459</v>
      </c>
      <c r="CK448" s="399"/>
      <c r="CL448" s="399"/>
      <c r="CM448" s="399"/>
      <c r="CN448" s="399"/>
      <c r="CO448" s="399">
        <v>-2142.6216899999995</v>
      </c>
      <c r="CP448" s="399">
        <v>2238.1039399999941</v>
      </c>
      <c r="CQ448" s="399">
        <v>30</v>
      </c>
      <c r="CR448" s="399">
        <v>95.040219645743491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0</v>
      </c>
      <c r="DA448" s="399">
        <v>0</v>
      </c>
      <c r="DB448" s="399">
        <v>0</v>
      </c>
      <c r="DC448" s="399">
        <v>2237.8878665499069</v>
      </c>
      <c r="DD448" s="399">
        <v>0</v>
      </c>
      <c r="DE448" s="399">
        <v>0</v>
      </c>
      <c r="DF448" s="399">
        <v>0</v>
      </c>
      <c r="DG448" s="399">
        <v>91.509935921510987</v>
      </c>
      <c r="DH448" s="399">
        <v>0</v>
      </c>
      <c r="DI448" s="399">
        <v>-1924.0566264129775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-288.30202036441187</v>
      </c>
      <c r="DP448" s="399">
        <v>-21.998936048299328</v>
      </c>
      <c r="DQ448" s="399">
        <v>0</v>
      </c>
      <c r="DR448" s="399">
        <v>0</v>
      </c>
      <c r="DS448" s="399"/>
      <c r="DT448" s="399"/>
      <c r="DU448" s="399"/>
      <c r="DV448" s="399">
        <v>0</v>
      </c>
      <c r="DW448" s="399">
        <v>0</v>
      </c>
      <c r="DX448" s="399">
        <v>0</v>
      </c>
      <c r="DY448" s="399">
        <v>-2142.6216899999999</v>
      </c>
      <c r="DZ448" s="399">
        <v>2238.1039399999936</v>
      </c>
      <c r="EA448" s="399">
        <v>0</v>
      </c>
      <c r="EB448" s="399">
        <v>0</v>
      </c>
      <c r="EC448" s="399">
        <v>0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10632.409876234888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230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447</v>
      </c>
      <c r="B449" s="399" t="s">
        <v>956</v>
      </c>
      <c r="C449" s="399" t="s">
        <v>2337</v>
      </c>
      <c r="D449" s="399" t="s">
        <v>533</v>
      </c>
      <c r="E449" s="399" t="s">
        <v>918</v>
      </c>
      <c r="F449" s="399" t="s">
        <v>1239</v>
      </c>
      <c r="G449" s="399" t="s">
        <v>1239</v>
      </c>
      <c r="H449" s="399" t="s">
        <v>1239</v>
      </c>
      <c r="I449" s="399" t="s">
        <v>1239</v>
      </c>
      <c r="J449" s="399" t="s">
        <v>2329</v>
      </c>
      <c r="K449" s="789">
        <v>44713</v>
      </c>
      <c r="L449" s="399">
        <v>1647</v>
      </c>
      <c r="M449" s="399">
        <v>1647</v>
      </c>
      <c r="N449" s="399">
        <v>0</v>
      </c>
      <c r="O449" s="399">
        <v>0</v>
      </c>
      <c r="P449" s="399">
        <v>0</v>
      </c>
      <c r="Q449" s="399">
        <v>0</v>
      </c>
      <c r="R449" s="399">
        <v>18.12</v>
      </c>
      <c r="S449" s="399"/>
      <c r="T449" s="399"/>
      <c r="U449" s="399">
        <v>29843.640000000003</v>
      </c>
      <c r="V449" s="399"/>
      <c r="W449" s="399">
        <v>29843.640000000003</v>
      </c>
      <c r="X449" s="399">
        <v>23799.149999999998</v>
      </c>
      <c r="Y449" s="399">
        <v>0</v>
      </c>
      <c r="Z449" s="399">
        <v>0</v>
      </c>
      <c r="AA449" s="399">
        <v>0</v>
      </c>
      <c r="AB449" s="399">
        <v>0</v>
      </c>
      <c r="AC449" s="399">
        <v>0</v>
      </c>
      <c r="AD449" s="399">
        <v>0</v>
      </c>
      <c r="AE449" s="399">
        <v>21508.071409724424</v>
      </c>
      <c r="AF449" s="399"/>
      <c r="AG449" s="399"/>
      <c r="AH449" s="399"/>
      <c r="AI449" s="399">
        <v>0</v>
      </c>
      <c r="AJ449" s="399">
        <v>0</v>
      </c>
      <c r="AK449" s="399">
        <v>0</v>
      </c>
      <c r="AL449" s="399">
        <v>0</v>
      </c>
      <c r="AM449" s="399"/>
      <c r="AN449" s="399">
        <v>0</v>
      </c>
      <c r="AO449" s="399">
        <v>1309.1515685145505</v>
      </c>
      <c r="AP449" s="399">
        <v>7018.3957526326694</v>
      </c>
      <c r="AQ449" s="399">
        <v>0</v>
      </c>
      <c r="AR449" s="399">
        <v>0</v>
      </c>
      <c r="AS449" s="399"/>
      <c r="AT449" s="399"/>
      <c r="AU449" s="399">
        <v>0</v>
      </c>
      <c r="AV449" s="399">
        <v>0</v>
      </c>
      <c r="AW449" s="399">
        <v>0</v>
      </c>
      <c r="AX449" s="399"/>
      <c r="AY449" s="399"/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/>
      <c r="BG449" s="399">
        <v>0</v>
      </c>
      <c r="BH449" s="399">
        <v>0</v>
      </c>
      <c r="BI449" s="399">
        <v>0</v>
      </c>
      <c r="BJ449" s="399">
        <v>0</v>
      </c>
      <c r="BK449" s="399">
        <v>43947.39</v>
      </c>
      <c r="BL449" s="399">
        <v>17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>
        <v>0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23799.149999999998</v>
      </c>
      <c r="CJ449" s="399">
        <v>-6044.52</v>
      </c>
      <c r="CK449" s="399"/>
      <c r="CL449" s="399"/>
      <c r="CM449" s="399"/>
      <c r="CN449" s="399"/>
      <c r="CO449" s="399">
        <v>-6044.4900000000025</v>
      </c>
      <c r="CP449" s="399">
        <v>0</v>
      </c>
      <c r="CQ449" s="399">
        <v>30</v>
      </c>
      <c r="CR449" s="399">
        <v>607.87606318041435</v>
      </c>
      <c r="CS449" s="399">
        <v>95.562579338840806</v>
      </c>
      <c r="CT449" s="399">
        <v>512.31348384157445</v>
      </c>
      <c r="CU449" s="399">
        <v>0</v>
      </c>
      <c r="CV449" s="399">
        <v>0</v>
      </c>
      <c r="CW449" s="399"/>
      <c r="CX449" s="399"/>
      <c r="CY449" s="399"/>
      <c r="CZ449" s="399">
        <v>0</v>
      </c>
      <c r="DA449" s="399">
        <v>0</v>
      </c>
      <c r="DB449" s="399">
        <v>0</v>
      </c>
      <c r="DC449" s="399"/>
      <c r="DD449" s="399"/>
      <c r="DE449" s="399">
        <v>0</v>
      </c>
      <c r="DF449" s="399">
        <v>0</v>
      </c>
      <c r="DG449" s="399">
        <v>0</v>
      </c>
      <c r="DH449" s="399">
        <v>0</v>
      </c>
      <c r="DI449" s="399">
        <v>0</v>
      </c>
      <c r="DJ449" s="399"/>
      <c r="DK449" s="399">
        <v>0</v>
      </c>
      <c r="DL449" s="399">
        <v>0</v>
      </c>
      <c r="DM449" s="399"/>
      <c r="DN449" s="399">
        <v>0</v>
      </c>
      <c r="DO449" s="399">
        <v>0</v>
      </c>
      <c r="DP449" s="399">
        <v>0</v>
      </c>
      <c r="DQ449" s="399">
        <v>0</v>
      </c>
      <c r="DR449" s="399">
        <v>0</v>
      </c>
      <c r="DS449" s="399"/>
      <c r="DT449" s="399"/>
      <c r="DU449" s="399">
        <v>21508.071409724424</v>
      </c>
      <c r="DV449" s="399"/>
      <c r="DW449" s="399">
        <v>0</v>
      </c>
      <c r="DX449" s="399">
        <v>0</v>
      </c>
      <c r="DY449" s="399">
        <v>-6044.4900000000052</v>
      </c>
      <c r="DZ449" s="399"/>
      <c r="EA449" s="399">
        <v>0</v>
      </c>
      <c r="EB449" s="399"/>
      <c r="EC449" s="399">
        <v>-6650.3155729832797</v>
      </c>
      <c r="ED449" s="399"/>
      <c r="EE449" s="399">
        <v>0</v>
      </c>
      <c r="EF449" s="399">
        <v>0</v>
      </c>
      <c r="EG449" s="399"/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/>
      <c r="EN449" s="399"/>
      <c r="EO449" s="399">
        <v>0</v>
      </c>
      <c r="EP449" s="399">
        <v>0</v>
      </c>
      <c r="EQ449" s="399"/>
      <c r="ER449" s="399">
        <v>0</v>
      </c>
      <c r="ES449" s="399"/>
      <c r="ET449" s="399">
        <v>0</v>
      </c>
      <c r="EU449" s="399"/>
      <c r="EV449" s="399">
        <v>230</v>
      </c>
      <c r="EW449" s="399"/>
      <c r="EX449" s="399"/>
      <c r="EY449" s="399"/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448</v>
      </c>
      <c r="B450" s="399" t="s">
        <v>956</v>
      </c>
      <c r="C450" s="399" t="s">
        <v>2328</v>
      </c>
      <c r="D450" s="399" t="s">
        <v>2340</v>
      </c>
      <c r="E450" s="399" t="s">
        <v>894</v>
      </c>
      <c r="F450" s="399" t="s">
        <v>1239</v>
      </c>
      <c r="G450" s="399" t="s">
        <v>1239</v>
      </c>
      <c r="H450" s="399" t="s">
        <v>1239</v>
      </c>
      <c r="I450" s="399" t="s">
        <v>1239</v>
      </c>
      <c r="J450" s="399" t="s">
        <v>2329</v>
      </c>
      <c r="K450" s="789">
        <v>44713</v>
      </c>
      <c r="L450" s="399">
        <v>0</v>
      </c>
      <c r="M450" s="399">
        <v>0</v>
      </c>
      <c r="N450" s="399">
        <v>934.24300000000005</v>
      </c>
      <c r="O450" s="399">
        <v>934.24300000000005</v>
      </c>
      <c r="P450" s="399">
        <v>934.24300000000005</v>
      </c>
      <c r="Q450" s="399">
        <v>934.24300000000005</v>
      </c>
      <c r="R450" s="399"/>
      <c r="S450" s="399">
        <v>333.61</v>
      </c>
      <c r="T450" s="399">
        <v>128.11000000000001</v>
      </c>
      <c r="U450" s="399"/>
      <c r="V450" s="399">
        <v>431358.67796000006</v>
      </c>
      <c r="W450" s="399">
        <v>431358.67796000006</v>
      </c>
      <c r="X450" s="399">
        <v>376527.95629</v>
      </c>
      <c r="Y450" s="399">
        <v>0</v>
      </c>
      <c r="Z450" s="399">
        <v>57190.666619047559</v>
      </c>
      <c r="AA450" s="399">
        <v>0</v>
      </c>
      <c r="AB450" s="399">
        <v>0</v>
      </c>
      <c r="AC450" s="399">
        <v>0</v>
      </c>
      <c r="AD450" s="399">
        <v>0</v>
      </c>
      <c r="AE450" s="399">
        <v>181706.71175505407</v>
      </c>
      <c r="AF450" s="399">
        <v>119686.84834540224</v>
      </c>
      <c r="AG450" s="399">
        <v>0</v>
      </c>
      <c r="AH450" s="399">
        <v>0</v>
      </c>
      <c r="AI450" s="399">
        <v>0</v>
      </c>
      <c r="AJ450" s="399">
        <v>0</v>
      </c>
      <c r="AK450" s="399">
        <v>0</v>
      </c>
      <c r="AL450" s="399">
        <v>8832.1935715339641</v>
      </c>
      <c r="AM450" s="399"/>
      <c r="AN450" s="399">
        <v>803.81137871212798</v>
      </c>
      <c r="AO450" s="399">
        <v>3247.4475102020765</v>
      </c>
      <c r="AP450" s="399">
        <v>17323.327493821795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12676.155475840282</v>
      </c>
      <c r="BH450" s="399">
        <v>0</v>
      </c>
      <c r="BI450" s="399">
        <v>0</v>
      </c>
      <c r="BJ450" s="399">
        <v>0</v>
      </c>
      <c r="BK450" s="399">
        <v>66596.97</v>
      </c>
      <c r="BL450" s="399">
        <v>2318</v>
      </c>
      <c r="BM450" s="399"/>
      <c r="BN450" s="399"/>
      <c r="BO450" s="399"/>
      <c r="BP450" s="399"/>
      <c r="BQ450" s="399"/>
      <c r="BR450" s="399">
        <v>45189.333909999994</v>
      </c>
      <c r="BS450" s="399"/>
      <c r="BT450" s="399"/>
      <c r="BU450" s="399"/>
      <c r="BV450" s="399">
        <v>132363.00382124251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331337.55840000004</v>
      </c>
      <c r="CJ450" s="399">
        <v>-48264.087360000005</v>
      </c>
      <c r="CK450" s="399"/>
      <c r="CL450" s="399"/>
      <c r="CM450" s="399"/>
      <c r="CN450" s="399"/>
      <c r="CO450" s="399">
        <v>-60305.385650000011</v>
      </c>
      <c r="CP450" s="399">
        <v>5474.6639799999866</v>
      </c>
      <c r="CQ450" s="399">
        <v>30</v>
      </c>
      <c r="CR450" s="399">
        <v>1346.3533715008816</v>
      </c>
      <c r="CS450" s="399">
        <v>237.05006189202595</v>
      </c>
      <c r="CT450" s="399">
        <v>1264.5303247198499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0</v>
      </c>
      <c r="DA450" s="399">
        <v>0</v>
      </c>
      <c r="DB450" s="399">
        <v>0</v>
      </c>
      <c r="DC450" s="399">
        <v>5474.1354390716297</v>
      </c>
      <c r="DD450" s="399">
        <v>0</v>
      </c>
      <c r="DE450" s="399">
        <v>0</v>
      </c>
      <c r="DF450" s="399">
        <v>0</v>
      </c>
      <c r="DG450" s="399">
        <v>579.7712353592251</v>
      </c>
      <c r="DH450" s="399">
        <v>0</v>
      </c>
      <c r="DI450" s="399">
        <v>-5409.7327857738637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-705.22045828232331</v>
      </c>
      <c r="DP450" s="399">
        <v>-94.180445485654673</v>
      </c>
      <c r="DQ450" s="399">
        <v>0</v>
      </c>
      <c r="DR450" s="399">
        <v>0</v>
      </c>
      <c r="DS450" s="399"/>
      <c r="DT450" s="399"/>
      <c r="DU450" s="399"/>
      <c r="DV450" s="399">
        <v>181706.71175505407</v>
      </c>
      <c r="DW450" s="399">
        <v>0</v>
      </c>
      <c r="DX450" s="399">
        <v>0</v>
      </c>
      <c r="DY450" s="399">
        <v>-60305.385650000011</v>
      </c>
      <c r="DZ450" s="399">
        <v>5474.663979999983</v>
      </c>
      <c r="EA450" s="399">
        <v>0</v>
      </c>
      <c r="EB450" s="399">
        <v>0</v>
      </c>
      <c r="EC450" s="399">
        <v>-56183.883337576379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29894.388506894735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230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449</v>
      </c>
      <c r="B451" s="399" t="s">
        <v>2331</v>
      </c>
      <c r="C451" s="399" t="s">
        <v>2328</v>
      </c>
      <c r="D451" s="399" t="s">
        <v>2340</v>
      </c>
      <c r="E451" s="399" t="s">
        <v>894</v>
      </c>
      <c r="F451" s="399" t="s">
        <v>1239</v>
      </c>
      <c r="G451" s="399" t="s">
        <v>1239</v>
      </c>
      <c r="H451" s="399" t="s">
        <v>1239</v>
      </c>
      <c r="I451" s="399" t="s">
        <v>1239</v>
      </c>
      <c r="J451" s="399" t="s">
        <v>2329</v>
      </c>
      <c r="K451" s="789">
        <v>44713</v>
      </c>
      <c r="L451" s="399">
        <v>0</v>
      </c>
      <c r="M451" s="399">
        <v>0</v>
      </c>
      <c r="N451" s="399">
        <v>29.890999999999998</v>
      </c>
      <c r="O451" s="399">
        <v>29.890999999999998</v>
      </c>
      <c r="P451" s="399">
        <v>29.890999999999998</v>
      </c>
      <c r="Q451" s="399">
        <v>29.890999999999998</v>
      </c>
      <c r="R451" s="399"/>
      <c r="S451" s="399">
        <v>333.61</v>
      </c>
      <c r="T451" s="399">
        <v>128.11000000000001</v>
      </c>
      <c r="U451" s="399"/>
      <c r="V451" s="399">
        <v>13801.272519999999</v>
      </c>
      <c r="W451" s="399">
        <v>13801.272519999999</v>
      </c>
      <c r="X451" s="399">
        <v>12046.969730000001</v>
      </c>
      <c r="Y451" s="399">
        <v>0</v>
      </c>
      <c r="Z451" s="399">
        <v>1829.8089639525804</v>
      </c>
      <c r="AA451" s="399">
        <v>0</v>
      </c>
      <c r="AB451" s="399">
        <v>0</v>
      </c>
      <c r="AC451" s="399">
        <v>0</v>
      </c>
      <c r="AD451" s="399">
        <v>0</v>
      </c>
      <c r="AE451" s="399">
        <v>5813.6858623188191</v>
      </c>
      <c r="AF451" s="399">
        <v>3829.3672886951445</v>
      </c>
      <c r="AG451" s="399">
        <v>0</v>
      </c>
      <c r="AH451" s="399">
        <v>0</v>
      </c>
      <c r="AI451" s="399">
        <v>0</v>
      </c>
      <c r="AJ451" s="399">
        <v>0</v>
      </c>
      <c r="AK451" s="399">
        <v>0</v>
      </c>
      <c r="AL451" s="399">
        <v>282.58504269951356</v>
      </c>
      <c r="AM451" s="399"/>
      <c r="AN451" s="399">
        <v>25.717854906147775</v>
      </c>
      <c r="AO451" s="399">
        <v>103.90171885414208</v>
      </c>
      <c r="AP451" s="399">
        <v>554.25792017475885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405.57217268777163</v>
      </c>
      <c r="BH451" s="399">
        <v>0</v>
      </c>
      <c r="BI451" s="399">
        <v>0</v>
      </c>
      <c r="BJ451" s="399">
        <v>0</v>
      </c>
      <c r="BK451" s="399">
        <v>6494.27</v>
      </c>
      <c r="BL451" s="399">
        <v>41</v>
      </c>
      <c r="BM451" s="399"/>
      <c r="BN451" s="399"/>
      <c r="BO451" s="399"/>
      <c r="BP451" s="399"/>
      <c r="BQ451" s="399"/>
      <c r="BR451" s="399">
        <v>1445.8276699999997</v>
      </c>
      <c r="BS451" s="399"/>
      <c r="BT451" s="399"/>
      <c r="BU451" s="399"/>
      <c r="BV451" s="399">
        <v>4234.9394613829163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10600.787400000001</v>
      </c>
      <c r="CJ451" s="399">
        <v>-1544.5537199999981</v>
      </c>
      <c r="CK451" s="399"/>
      <c r="CL451" s="399"/>
      <c r="CM451" s="399"/>
      <c r="CN451" s="399"/>
      <c r="CO451" s="399">
        <v>-1929.4640500000003</v>
      </c>
      <c r="CP451" s="399">
        <v>175.16125999999954</v>
      </c>
      <c r="CQ451" s="399">
        <v>30</v>
      </c>
      <c r="CR451" s="399">
        <v>43.076425113737059</v>
      </c>
      <c r="CS451" s="399">
        <v>7.5843901426230076</v>
      </c>
      <c r="CT451" s="399">
        <v>40.458505909277392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0</v>
      </c>
      <c r="DA451" s="399">
        <v>0</v>
      </c>
      <c r="DB451" s="399">
        <v>0</v>
      </c>
      <c r="DC451" s="399">
        <v>175.1443493922784</v>
      </c>
      <c r="DD451" s="399">
        <v>0</v>
      </c>
      <c r="DE451" s="399">
        <v>0</v>
      </c>
      <c r="DF451" s="399">
        <v>0</v>
      </c>
      <c r="DG451" s="399">
        <v>18.549715647987284</v>
      </c>
      <c r="DH451" s="399">
        <v>0</v>
      </c>
      <c r="DI451" s="399">
        <v>-173.0837937234387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-22.563449464985979</v>
      </c>
      <c r="DP451" s="399">
        <v>-3.0132927900039981</v>
      </c>
      <c r="DQ451" s="399">
        <v>0</v>
      </c>
      <c r="DR451" s="399">
        <v>0</v>
      </c>
      <c r="DS451" s="399"/>
      <c r="DT451" s="399"/>
      <c r="DU451" s="399"/>
      <c r="DV451" s="399">
        <v>5813.6858623188191</v>
      </c>
      <c r="DW451" s="399">
        <v>0</v>
      </c>
      <c r="DX451" s="399">
        <v>0</v>
      </c>
      <c r="DY451" s="399">
        <v>-1929.4640499999996</v>
      </c>
      <c r="DZ451" s="399">
        <v>175.16125999999986</v>
      </c>
      <c r="EA451" s="399">
        <v>0</v>
      </c>
      <c r="EB451" s="399">
        <v>0</v>
      </c>
      <c r="EC451" s="399">
        <v>-1797.5970457830513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956.46760731371853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230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450</v>
      </c>
      <c r="B452" s="399" t="s">
        <v>2331</v>
      </c>
      <c r="C452" s="399" t="s">
        <v>2328</v>
      </c>
      <c r="D452" s="399" t="s">
        <v>2340</v>
      </c>
      <c r="E452" s="399" t="s">
        <v>894</v>
      </c>
      <c r="F452" s="399" t="s">
        <v>1239</v>
      </c>
      <c r="G452" s="399" t="s">
        <v>1239</v>
      </c>
      <c r="H452" s="399" t="s">
        <v>1239</v>
      </c>
      <c r="I452" s="399" t="s">
        <v>1239</v>
      </c>
      <c r="J452" s="399" t="s">
        <v>2329</v>
      </c>
      <c r="K452" s="789">
        <v>44713</v>
      </c>
      <c r="L452" s="399">
        <v>0</v>
      </c>
      <c r="M452" s="399">
        <v>0</v>
      </c>
      <c r="N452" s="399">
        <v>0</v>
      </c>
      <c r="O452" s="399">
        <v>0</v>
      </c>
      <c r="P452" s="399">
        <v>0</v>
      </c>
      <c r="Q452" s="399">
        <v>0</v>
      </c>
      <c r="R452" s="399"/>
      <c r="S452" s="399"/>
      <c r="T452" s="399"/>
      <c r="U452" s="399"/>
      <c r="V452" s="399"/>
      <c r="W452" s="399"/>
      <c r="X452" s="399"/>
      <c r="Y452" s="399"/>
      <c r="Z452" s="399"/>
      <c r="AA452" s="399">
        <v>0</v>
      </c>
      <c r="AB452" s="399"/>
      <c r="AC452" s="399"/>
      <c r="AD452" s="399"/>
      <c r="AE452" s="399"/>
      <c r="AF452" s="399"/>
      <c r="AG452" s="399"/>
      <c r="AH452" s="399"/>
      <c r="AI452" s="399"/>
      <c r="AJ452" s="399"/>
      <c r="AK452" s="399"/>
      <c r="AL452" s="399"/>
      <c r="AM452" s="399"/>
      <c r="AN452" s="399"/>
      <c r="AO452" s="399"/>
      <c r="AP452" s="399"/>
      <c r="AQ452" s="399"/>
      <c r="AR452" s="399"/>
      <c r="AS452" s="399"/>
      <c r="AT452" s="399"/>
      <c r="AU452" s="399"/>
      <c r="AV452" s="399"/>
      <c r="AW452" s="399"/>
      <c r="AX452" s="399"/>
      <c r="AY452" s="399"/>
      <c r="AZ452" s="399">
        <v>0</v>
      </c>
      <c r="BA452" s="399"/>
      <c r="BB452" s="399"/>
      <c r="BC452" s="399"/>
      <c r="BD452" s="399"/>
      <c r="BE452" s="399"/>
      <c r="BF452" s="399"/>
      <c r="BG452" s="399"/>
      <c r="BH452" s="399"/>
      <c r="BI452" s="399">
        <v>0</v>
      </c>
      <c r="BJ452" s="399">
        <v>0</v>
      </c>
      <c r="BK452" s="399">
        <v>-486.87</v>
      </c>
      <c r="BL452" s="399">
        <v>2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/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/>
      <c r="CJ452" s="399">
        <v>-0.03</v>
      </c>
      <c r="CK452" s="399"/>
      <c r="CL452" s="399"/>
      <c r="CM452" s="399"/>
      <c r="CN452" s="399"/>
      <c r="CO452" s="399">
        <v>0</v>
      </c>
      <c r="CP452" s="399">
        <v>0</v>
      </c>
      <c r="CQ452" s="399">
        <v>30</v>
      </c>
      <c r="CR452" s="399"/>
      <c r="CS452" s="399"/>
      <c r="CT452" s="399"/>
      <c r="CU452" s="399"/>
      <c r="CV452" s="399"/>
      <c r="CW452" s="399"/>
      <c r="CX452" s="399"/>
      <c r="CY452" s="399"/>
      <c r="CZ452" s="399"/>
      <c r="DA452" s="399"/>
      <c r="DB452" s="399"/>
      <c r="DC452" s="399"/>
      <c r="DD452" s="399"/>
      <c r="DE452" s="399"/>
      <c r="DF452" s="399"/>
      <c r="DG452" s="399"/>
      <c r="DH452" s="399"/>
      <c r="DI452" s="399"/>
      <c r="DJ452" s="399"/>
      <c r="DK452" s="399">
        <v>0</v>
      </c>
      <c r="DL452" s="399"/>
      <c r="DM452" s="399"/>
      <c r="DN452" s="399"/>
      <c r="DO452" s="399"/>
      <c r="DP452" s="399"/>
      <c r="DQ452" s="399"/>
      <c r="DR452" s="399"/>
      <c r="DS452" s="399"/>
      <c r="DT452" s="399"/>
      <c r="DU452" s="399"/>
      <c r="DV452" s="399"/>
      <c r="DW452" s="399"/>
      <c r="DX452" s="399"/>
      <c r="DY452" s="399"/>
      <c r="DZ452" s="399"/>
      <c r="EA452" s="399"/>
      <c r="EB452" s="399"/>
      <c r="EC452" s="399"/>
      <c r="ED452" s="399"/>
      <c r="EE452" s="399"/>
      <c r="EF452" s="399"/>
      <c r="EG452" s="399"/>
      <c r="EH452" s="399"/>
      <c r="EI452" s="399"/>
      <c r="EJ452" s="399"/>
      <c r="EK452" s="399"/>
      <c r="EL452" s="399"/>
      <c r="EM452" s="399"/>
      <c r="EN452" s="399"/>
      <c r="EO452" s="399"/>
      <c r="EP452" s="399"/>
      <c r="EQ452" s="399"/>
      <c r="ER452" s="399"/>
      <c r="ES452" s="399"/>
      <c r="ET452" s="399"/>
      <c r="EU452" s="399"/>
      <c r="EV452" s="399">
        <v>230</v>
      </c>
      <c r="EW452" s="399"/>
      <c r="EX452" s="399"/>
      <c r="EY452" s="399"/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451</v>
      </c>
      <c r="B453" s="399" t="s">
        <v>956</v>
      </c>
      <c r="C453" s="399" t="s">
        <v>2328</v>
      </c>
      <c r="D453" s="399" t="s">
        <v>1826</v>
      </c>
      <c r="E453" s="399" t="s">
        <v>2341</v>
      </c>
      <c r="F453" s="399" t="s">
        <v>1239</v>
      </c>
      <c r="G453" s="399" t="s">
        <v>1239</v>
      </c>
      <c r="H453" s="399" t="s">
        <v>1239</v>
      </c>
      <c r="I453" s="399" t="s">
        <v>1239</v>
      </c>
      <c r="J453" s="399" t="s">
        <v>2329</v>
      </c>
      <c r="K453" s="789">
        <v>44713</v>
      </c>
      <c r="L453" s="399">
        <v>0</v>
      </c>
      <c r="M453" s="399">
        <v>0</v>
      </c>
      <c r="N453" s="399">
        <v>151.66300000000001</v>
      </c>
      <c r="O453" s="399">
        <v>151.66300000000001</v>
      </c>
      <c r="P453" s="399">
        <v>151.66300000000001</v>
      </c>
      <c r="Q453" s="399">
        <v>151.66300000000001</v>
      </c>
      <c r="R453" s="399"/>
      <c r="S453" s="399">
        <v>333.61</v>
      </c>
      <c r="T453" s="399">
        <v>128.11000000000001</v>
      </c>
      <c r="U453" s="399"/>
      <c r="V453" s="399">
        <v>70025.840360000002</v>
      </c>
      <c r="W453" s="399">
        <v>70025.840360000002</v>
      </c>
      <c r="X453" s="399">
        <v>61124.738890000008</v>
      </c>
      <c r="Y453" s="399">
        <v>0</v>
      </c>
      <c r="Z453" s="399">
        <v>9284.2098591529302</v>
      </c>
      <c r="AA453" s="399">
        <v>0</v>
      </c>
      <c r="AB453" s="399">
        <v>0</v>
      </c>
      <c r="AC453" s="399">
        <v>0</v>
      </c>
      <c r="AD453" s="399">
        <v>0</v>
      </c>
      <c r="AE453" s="399">
        <v>29497.876917361718</v>
      </c>
      <c r="AF453" s="399">
        <v>19429.705633982529</v>
      </c>
      <c r="AG453" s="399">
        <v>0</v>
      </c>
      <c r="AH453" s="399">
        <v>0</v>
      </c>
      <c r="AI453" s="399">
        <v>0</v>
      </c>
      <c r="AJ453" s="399">
        <v>0</v>
      </c>
      <c r="AK453" s="399">
        <v>0</v>
      </c>
      <c r="AL453" s="399">
        <v>1433.7993152098068</v>
      </c>
      <c r="AM453" s="399"/>
      <c r="AN453" s="399">
        <v>130.48901102777057</v>
      </c>
      <c r="AO453" s="399">
        <v>527.18364680257446</v>
      </c>
      <c r="AP453" s="399">
        <v>2812.2317402383478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2057.8198262468809</v>
      </c>
      <c r="BH453" s="399">
        <v>0</v>
      </c>
      <c r="BI453" s="399">
        <v>0</v>
      </c>
      <c r="BJ453" s="399">
        <v>0</v>
      </c>
      <c r="BK453" s="399">
        <v>17096.05</v>
      </c>
      <c r="BL453" s="399">
        <v>217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21487.525460229408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61123.529800000004</v>
      </c>
      <c r="CJ453" s="399">
        <v>-8902.3405600000115</v>
      </c>
      <c r="CK453" s="399"/>
      <c r="CL453" s="399"/>
      <c r="CM453" s="399"/>
      <c r="CN453" s="399"/>
      <c r="CO453" s="399">
        <v>-9789.8466500000031</v>
      </c>
      <c r="CP453" s="399">
        <v>888.74517999999784</v>
      </c>
      <c r="CQ453" s="399">
        <v>30</v>
      </c>
      <c r="CR453" s="399">
        <v>218.56411167323677</v>
      </c>
      <c r="CS453" s="399">
        <v>38.482197390540023</v>
      </c>
      <c r="CT453" s="399">
        <v>205.28113417813847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0</v>
      </c>
      <c r="DA453" s="399">
        <v>0</v>
      </c>
      <c r="DB453" s="399">
        <v>0</v>
      </c>
      <c r="DC453" s="399">
        <v>888.65937780205059</v>
      </c>
      <c r="DD453" s="399">
        <v>0</v>
      </c>
      <c r="DE453" s="399">
        <v>0</v>
      </c>
      <c r="DF453" s="399">
        <v>0</v>
      </c>
      <c r="DG453" s="399">
        <v>94.118815841580727</v>
      </c>
      <c r="DH453" s="399">
        <v>0</v>
      </c>
      <c r="DI453" s="399">
        <v>-878.20438953122721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-114.48397297541624</v>
      </c>
      <c r="DP453" s="399">
        <v>-15.289051032430379</v>
      </c>
      <c r="DQ453" s="399">
        <v>0</v>
      </c>
      <c r="DR453" s="399">
        <v>0</v>
      </c>
      <c r="DS453" s="399"/>
      <c r="DT453" s="399"/>
      <c r="DU453" s="399"/>
      <c r="DV453" s="399">
        <v>29497.876917361718</v>
      </c>
      <c r="DW453" s="399">
        <v>0</v>
      </c>
      <c r="DX453" s="399">
        <v>0</v>
      </c>
      <c r="DY453" s="399">
        <v>-9789.8466499999995</v>
      </c>
      <c r="DZ453" s="399">
        <v>888.74517999999807</v>
      </c>
      <c r="EA453" s="399">
        <v>0</v>
      </c>
      <c r="EB453" s="399">
        <v>0</v>
      </c>
      <c r="EC453" s="399">
        <v>-9120.7708258203093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4852.9907573523978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230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452</v>
      </c>
      <c r="B454" s="399" t="s">
        <v>2331</v>
      </c>
      <c r="C454" s="399" t="s">
        <v>2328</v>
      </c>
      <c r="D454" s="399" t="s">
        <v>1826</v>
      </c>
      <c r="E454" s="399" t="s">
        <v>2341</v>
      </c>
      <c r="F454" s="399" t="s">
        <v>1239</v>
      </c>
      <c r="G454" s="399" t="s">
        <v>1239</v>
      </c>
      <c r="H454" s="399" t="s">
        <v>1239</v>
      </c>
      <c r="I454" s="399" t="s">
        <v>1239</v>
      </c>
      <c r="J454" s="399" t="s">
        <v>2329</v>
      </c>
      <c r="K454" s="789">
        <v>44713</v>
      </c>
      <c r="L454" s="399">
        <v>0</v>
      </c>
      <c r="M454" s="399">
        <v>0</v>
      </c>
      <c r="N454" s="399">
        <v>0.2</v>
      </c>
      <c r="O454" s="399">
        <v>0.2</v>
      </c>
      <c r="P454" s="399">
        <v>0.2</v>
      </c>
      <c r="Q454" s="399">
        <v>0.2</v>
      </c>
      <c r="R454" s="399"/>
      <c r="S454" s="399">
        <v>333.61</v>
      </c>
      <c r="T454" s="399">
        <v>128.11000000000001</v>
      </c>
      <c r="U454" s="399"/>
      <c r="V454" s="399">
        <v>92.344000000000008</v>
      </c>
      <c r="W454" s="399">
        <v>92.344000000000008</v>
      </c>
      <c r="X454" s="399">
        <v>80.606000000000009</v>
      </c>
      <c r="Y454" s="399">
        <v>0</v>
      </c>
      <c r="Z454" s="399">
        <v>12.24321008967636</v>
      </c>
      <c r="AA454" s="399">
        <v>0</v>
      </c>
      <c r="AB454" s="399">
        <v>0</v>
      </c>
      <c r="AC454" s="399">
        <v>0</v>
      </c>
      <c r="AD454" s="399">
        <v>0</v>
      </c>
      <c r="AE454" s="399">
        <v>38.899239652864203</v>
      </c>
      <c r="AF454" s="399">
        <v>25.6222092850366</v>
      </c>
      <c r="AG454" s="399">
        <v>0</v>
      </c>
      <c r="AH454" s="399">
        <v>0</v>
      </c>
      <c r="AI454" s="399">
        <v>0</v>
      </c>
      <c r="AJ454" s="399">
        <v>0</v>
      </c>
      <c r="AK454" s="399">
        <v>0</v>
      </c>
      <c r="AL454" s="399">
        <v>1.8907700826303142</v>
      </c>
      <c r="AM454" s="399"/>
      <c r="AN454" s="399">
        <v>0.17207758125287062</v>
      </c>
      <c r="AO454" s="399">
        <v>0.69520403368333006</v>
      </c>
      <c r="AP454" s="399">
        <v>3.7085271163544804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2.7136741673933402</v>
      </c>
      <c r="BH454" s="399">
        <v>0</v>
      </c>
      <c r="BI454" s="399">
        <v>0</v>
      </c>
      <c r="BJ454" s="399">
        <v>0</v>
      </c>
      <c r="BK454" s="399">
        <v>86.61</v>
      </c>
      <c r="BL454" s="399">
        <v>2</v>
      </c>
      <c r="BM454" s="399"/>
      <c r="BN454" s="399"/>
      <c r="BO454" s="399"/>
      <c r="BP454" s="399"/>
      <c r="BQ454" s="399"/>
      <c r="BR454" s="399"/>
      <c r="BS454" s="399"/>
      <c r="BT454" s="399"/>
      <c r="BU454" s="399"/>
      <c r="BV454" s="399">
        <v>28.33588345242994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80.606000000000009</v>
      </c>
      <c r="CJ454" s="399">
        <v>-11.768000000000015</v>
      </c>
      <c r="CK454" s="399"/>
      <c r="CL454" s="399"/>
      <c r="CM454" s="399"/>
      <c r="CN454" s="399"/>
      <c r="CO454" s="399">
        <v>-12.910000000000004</v>
      </c>
      <c r="CP454" s="399">
        <v>1.171999999999997</v>
      </c>
      <c r="CQ454" s="399">
        <v>30</v>
      </c>
      <c r="CR454" s="399">
        <v>0.28822337903542916</v>
      </c>
      <c r="CS454" s="399">
        <v>5.0746981650817924E-2</v>
      </c>
      <c r="CT454" s="399">
        <v>0.27070694128184014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0</v>
      </c>
      <c r="DA454" s="399">
        <v>0</v>
      </c>
      <c r="DB454" s="399">
        <v>0</v>
      </c>
      <c r="DC454" s="399">
        <v>1.1718868515090044</v>
      </c>
      <c r="DD454" s="399">
        <v>0</v>
      </c>
      <c r="DE454" s="399">
        <v>0</v>
      </c>
      <c r="DF454" s="399">
        <v>0</v>
      </c>
      <c r="DG454" s="399">
        <v>0.12411572478664024</v>
      </c>
      <c r="DH454" s="399">
        <v>0</v>
      </c>
      <c r="DI454" s="399">
        <v>-1.1580997204739791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-0.15097152631217403</v>
      </c>
      <c r="DP454" s="399">
        <v>-2.0161873406737807E-2</v>
      </c>
      <c r="DQ454" s="399">
        <v>0</v>
      </c>
      <c r="DR454" s="399">
        <v>0</v>
      </c>
      <c r="DS454" s="399"/>
      <c r="DT454" s="399"/>
      <c r="DU454" s="399"/>
      <c r="DV454" s="399">
        <v>38.899239652864203</v>
      </c>
      <c r="DW454" s="399">
        <v>0</v>
      </c>
      <c r="DX454" s="399">
        <v>0</v>
      </c>
      <c r="DY454" s="399">
        <v>-12.910000000000004</v>
      </c>
      <c r="DZ454" s="399">
        <v>1.171999999999997</v>
      </c>
      <c r="EA454" s="399">
        <v>0</v>
      </c>
      <c r="EB454" s="399">
        <v>0</v>
      </c>
      <c r="EC454" s="399">
        <v>-12.027680879081004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6.3997029695474801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230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453</v>
      </c>
      <c r="B455" s="399" t="s">
        <v>956</v>
      </c>
      <c r="C455" s="399" t="s">
        <v>2337</v>
      </c>
      <c r="D455" s="399" t="s">
        <v>533</v>
      </c>
      <c r="E455" s="399" t="s">
        <v>2341</v>
      </c>
      <c r="F455" s="399" t="s">
        <v>1239</v>
      </c>
      <c r="G455" s="399" t="s">
        <v>1239</v>
      </c>
      <c r="H455" s="399" t="s">
        <v>1239</v>
      </c>
      <c r="I455" s="399" t="s">
        <v>893</v>
      </c>
      <c r="J455" s="399" t="s">
        <v>2329</v>
      </c>
      <c r="K455" s="789">
        <v>44713</v>
      </c>
      <c r="L455" s="399">
        <v>0</v>
      </c>
      <c r="M455" s="399">
        <v>0</v>
      </c>
      <c r="N455" s="399">
        <v>2.0720000000000001</v>
      </c>
      <c r="O455" s="399">
        <v>2.0720000000000001</v>
      </c>
      <c r="P455" s="399">
        <v>2.0720000000000001</v>
      </c>
      <c r="Q455" s="399">
        <v>2.0720000000000001</v>
      </c>
      <c r="R455" s="399"/>
      <c r="S455" s="399">
        <v>1351.49</v>
      </c>
      <c r="T455" s="399">
        <v>128.11000000000001</v>
      </c>
      <c r="U455" s="399"/>
      <c r="V455" s="399">
        <v>3065.7312000000002</v>
      </c>
      <c r="W455" s="399">
        <v>3065.7312000000002</v>
      </c>
      <c r="X455" s="399">
        <v>2366.0375200000003</v>
      </c>
      <c r="Y455" s="399">
        <v>0</v>
      </c>
      <c r="Z455" s="399">
        <v>110.35050118027104</v>
      </c>
      <c r="AA455" s="399">
        <v>0</v>
      </c>
      <c r="AB455" s="399">
        <v>0</v>
      </c>
      <c r="AC455" s="399">
        <v>0</v>
      </c>
      <c r="AD455" s="399">
        <v>0</v>
      </c>
      <c r="AE455" s="399">
        <v>2328.8132753112027</v>
      </c>
      <c r="AF455" s="399">
        <v>265.44608819297918</v>
      </c>
      <c r="AG455" s="399">
        <v>0</v>
      </c>
      <c r="AH455" s="399">
        <v>0</v>
      </c>
      <c r="AI455" s="399">
        <v>0</v>
      </c>
      <c r="AJ455" s="399">
        <v>0</v>
      </c>
      <c r="AK455" s="399">
        <v>0</v>
      </c>
      <c r="AL455" s="399">
        <v>19.588378056050054</v>
      </c>
      <c r="AM455" s="399"/>
      <c r="AN455" s="399">
        <v>1.0185965523781018</v>
      </c>
      <c r="AO455" s="399">
        <v>43.04068032151109</v>
      </c>
      <c r="AP455" s="399">
        <v>228.93958459025021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10.854410931056174</v>
      </c>
      <c r="BH455" s="399">
        <v>0</v>
      </c>
      <c r="BI455" s="399">
        <v>0</v>
      </c>
      <c r="BJ455" s="399">
        <v>0</v>
      </c>
      <c r="BK455" s="399">
        <v>0</v>
      </c>
      <c r="BL455" s="399">
        <v>0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276.30049912403535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2363.7536999999998</v>
      </c>
      <c r="CJ455" s="399">
        <v>-702.00750000000107</v>
      </c>
      <c r="CK455" s="399"/>
      <c r="CL455" s="399"/>
      <c r="CM455" s="399"/>
      <c r="CN455" s="399"/>
      <c r="CO455" s="399">
        <v>-711.83559999999989</v>
      </c>
      <c r="CP455" s="399">
        <v>12.141919999999971</v>
      </c>
      <c r="CQ455" s="399">
        <v>30</v>
      </c>
      <c r="CR455" s="399">
        <v>20.369021723750848</v>
      </c>
      <c r="CS455" s="399">
        <v>3.1417893290148768</v>
      </c>
      <c r="CT455" s="399">
        <v>16.711630450118179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0</v>
      </c>
      <c r="DA455" s="399">
        <v>0</v>
      </c>
      <c r="DB455" s="399">
        <v>0</v>
      </c>
      <c r="DC455" s="399">
        <v>12.140747781633252</v>
      </c>
      <c r="DD455" s="399">
        <v>0</v>
      </c>
      <c r="DE455" s="399">
        <v>0</v>
      </c>
      <c r="DF455" s="399">
        <v>0</v>
      </c>
      <c r="DG455" s="399">
        <v>0.49644983028094458</v>
      </c>
      <c r="DH455" s="399">
        <v>0</v>
      </c>
      <c r="DI455" s="399">
        <v>-10.438184400576247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-1.5640650125941242</v>
      </c>
      <c r="DP455" s="399">
        <v>-0.11934625412596644</v>
      </c>
      <c r="DQ455" s="399">
        <v>0</v>
      </c>
      <c r="DR455" s="399">
        <v>0</v>
      </c>
      <c r="DS455" s="399"/>
      <c r="DT455" s="399"/>
      <c r="DU455" s="399"/>
      <c r="DV455" s="399">
        <v>2328.8132753112027</v>
      </c>
      <c r="DW455" s="399">
        <v>0</v>
      </c>
      <c r="DX455" s="399">
        <v>0</v>
      </c>
      <c r="DY455" s="399">
        <v>-711.83559999999989</v>
      </c>
      <c r="DZ455" s="399">
        <v>12.141919999999971</v>
      </c>
      <c r="EA455" s="399">
        <v>0</v>
      </c>
      <c r="EB455" s="399">
        <v>0</v>
      </c>
      <c r="EC455" s="399">
        <v>-720.07121867606861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57.681802805125272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230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454</v>
      </c>
      <c r="B456" s="399" t="s">
        <v>956</v>
      </c>
      <c r="C456" s="399" t="s">
        <v>2337</v>
      </c>
      <c r="D456" s="399" t="s">
        <v>533</v>
      </c>
      <c r="E456" s="399" t="s">
        <v>2341</v>
      </c>
      <c r="F456" s="399" t="s">
        <v>1239</v>
      </c>
      <c r="G456" s="399" t="s">
        <v>1239</v>
      </c>
      <c r="H456" s="399" t="s">
        <v>1239</v>
      </c>
      <c r="I456" s="399" t="s">
        <v>2326</v>
      </c>
      <c r="J456" s="399" t="s">
        <v>2329</v>
      </c>
      <c r="K456" s="789">
        <v>44713</v>
      </c>
      <c r="L456" s="399">
        <v>0</v>
      </c>
      <c r="M456" s="399">
        <v>0</v>
      </c>
      <c r="N456" s="399">
        <v>21.259</v>
      </c>
      <c r="O456" s="399">
        <v>21.259</v>
      </c>
      <c r="P456" s="399">
        <v>21.259</v>
      </c>
      <c r="Q456" s="399">
        <v>21.259</v>
      </c>
      <c r="R456" s="399"/>
      <c r="S456" s="399">
        <v>96.28</v>
      </c>
      <c r="T456" s="399">
        <v>128.11000000000001</v>
      </c>
      <c r="U456" s="399"/>
      <c r="V456" s="399">
        <v>4770.3070100000004</v>
      </c>
      <c r="W456" s="399">
        <v>4770.3070100000004</v>
      </c>
      <c r="X456" s="399">
        <v>4775.62176</v>
      </c>
      <c r="Y456" s="399">
        <v>0</v>
      </c>
      <c r="Z456" s="399">
        <v>1132.2110543394701</v>
      </c>
      <c r="AA456" s="399">
        <v>0</v>
      </c>
      <c r="AB456" s="399">
        <v>0</v>
      </c>
      <c r="AC456" s="399">
        <v>0</v>
      </c>
      <c r="AD456" s="399">
        <v>0</v>
      </c>
      <c r="AE456" s="399">
        <v>0</v>
      </c>
      <c r="AF456" s="399">
        <v>2723.5127359529652</v>
      </c>
      <c r="AG456" s="399">
        <v>0</v>
      </c>
      <c r="AH456" s="399">
        <v>0</v>
      </c>
      <c r="AI456" s="399">
        <v>0</v>
      </c>
      <c r="AJ456" s="399">
        <v>0</v>
      </c>
      <c r="AK456" s="399">
        <v>0</v>
      </c>
      <c r="AL456" s="399">
        <v>200.97940593318924</v>
      </c>
      <c r="AM456" s="399"/>
      <c r="AN456" s="399">
        <v>10.450938275582077</v>
      </c>
      <c r="AO456" s="399">
        <v>0</v>
      </c>
      <c r="AP456" s="399">
        <v>0</v>
      </c>
      <c r="AQ456" s="399">
        <v>0</v>
      </c>
      <c r="AR456" s="399">
        <v>0</v>
      </c>
      <c r="AS456" s="399">
        <v>0</v>
      </c>
      <c r="AT456" s="399">
        <v>0</v>
      </c>
      <c r="AU456" s="399">
        <v>0</v>
      </c>
      <c r="AV456" s="399">
        <v>0</v>
      </c>
      <c r="AW456" s="399">
        <v>0</v>
      </c>
      <c r="AX456" s="399">
        <v>0</v>
      </c>
      <c r="AY456" s="399">
        <v>0</v>
      </c>
      <c r="AZ456" s="399">
        <v>0</v>
      </c>
      <c r="BA456" s="399"/>
      <c r="BB456" s="399">
        <v>0</v>
      </c>
      <c r="BC456" s="399">
        <v>0</v>
      </c>
      <c r="BD456" s="399">
        <v>0</v>
      </c>
      <c r="BE456" s="399">
        <v>0</v>
      </c>
      <c r="BF456" s="399">
        <v>0</v>
      </c>
      <c r="BG456" s="399">
        <v>111.36772296492433</v>
      </c>
      <c r="BH456" s="399">
        <v>0</v>
      </c>
      <c r="BI456" s="399">
        <v>0</v>
      </c>
      <c r="BJ456" s="399">
        <v>0</v>
      </c>
      <c r="BK456" s="399">
        <v>0</v>
      </c>
      <c r="BL456" s="399">
        <v>0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>
        <v>2834.8804589178894</v>
      </c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>
        <v>4775.8464000000004</v>
      </c>
      <c r="CJ456" s="399">
        <v>5.5093900000001668</v>
      </c>
      <c r="CK456" s="399"/>
      <c r="CL456" s="399"/>
      <c r="CM456" s="399"/>
      <c r="CN456" s="399"/>
      <c r="CO456" s="399">
        <v>-119.26298999999999</v>
      </c>
      <c r="CP456" s="399">
        <v>124.57773999999969</v>
      </c>
      <c r="CQ456" s="399">
        <v>30</v>
      </c>
      <c r="CR456" s="399">
        <v>5.2901456277168108</v>
      </c>
      <c r="CS456" s="399">
        <v>0</v>
      </c>
      <c r="CT456" s="399">
        <v>0</v>
      </c>
      <c r="CU456" s="399">
        <v>0</v>
      </c>
      <c r="CV456" s="399">
        <v>0</v>
      </c>
      <c r="CW456" s="399">
        <v>0</v>
      </c>
      <c r="CX456" s="399">
        <v>0</v>
      </c>
      <c r="CY456" s="399">
        <v>0</v>
      </c>
      <c r="CZ456" s="399">
        <v>0</v>
      </c>
      <c r="DA456" s="399">
        <v>0</v>
      </c>
      <c r="DB456" s="399">
        <v>0</v>
      </c>
      <c r="DC456" s="399">
        <v>124.56571288114947</v>
      </c>
      <c r="DD456" s="399">
        <v>0</v>
      </c>
      <c r="DE456" s="399">
        <v>0</v>
      </c>
      <c r="DF456" s="399">
        <v>0</v>
      </c>
      <c r="DG456" s="399">
        <v>5.0936423464974041</v>
      </c>
      <c r="DH456" s="399">
        <v>0</v>
      </c>
      <c r="DI456" s="399">
        <v>-107.09718251537197</v>
      </c>
      <c r="DJ456" s="399"/>
      <c r="DK456" s="399">
        <v>0</v>
      </c>
      <c r="DL456" s="399">
        <v>0</v>
      </c>
      <c r="DM456" s="399">
        <v>0</v>
      </c>
      <c r="DN456" s="399">
        <v>0</v>
      </c>
      <c r="DO456" s="399">
        <v>-16.047518389352547</v>
      </c>
      <c r="DP456" s="399">
        <v>-1.2245086952045945</v>
      </c>
      <c r="DQ456" s="399">
        <v>0</v>
      </c>
      <c r="DR456" s="399">
        <v>0</v>
      </c>
      <c r="DS456" s="399"/>
      <c r="DT456" s="399"/>
      <c r="DU456" s="399"/>
      <c r="DV456" s="399">
        <v>0</v>
      </c>
      <c r="DW456" s="399">
        <v>0</v>
      </c>
      <c r="DX456" s="399">
        <v>0</v>
      </c>
      <c r="DY456" s="399">
        <v>-119.26298999999995</v>
      </c>
      <c r="DZ456" s="399">
        <v>124.57773999999972</v>
      </c>
      <c r="EA456" s="399">
        <v>0</v>
      </c>
      <c r="EB456" s="399">
        <v>0</v>
      </c>
      <c r="EC456" s="399">
        <v>0</v>
      </c>
      <c r="ED456" s="399">
        <v>0</v>
      </c>
      <c r="EE456" s="399">
        <v>0</v>
      </c>
      <c r="EF456" s="399">
        <v>0</v>
      </c>
      <c r="EG456" s="399">
        <v>0</v>
      </c>
      <c r="EH456" s="399">
        <v>0</v>
      </c>
      <c r="EI456" s="399">
        <v>0</v>
      </c>
      <c r="EJ456" s="399">
        <v>0</v>
      </c>
      <c r="EK456" s="399">
        <v>0</v>
      </c>
      <c r="EL456" s="399">
        <v>0</v>
      </c>
      <c r="EM456" s="399">
        <v>0</v>
      </c>
      <c r="EN456" s="399">
        <v>0</v>
      </c>
      <c r="EO456" s="399">
        <v>0</v>
      </c>
      <c r="EP456" s="399">
        <v>591.82309161880221</v>
      </c>
      <c r="EQ456" s="399">
        <v>0</v>
      </c>
      <c r="ER456" s="399">
        <v>0</v>
      </c>
      <c r="ES456" s="399">
        <v>0</v>
      </c>
      <c r="ET456" s="399">
        <v>0</v>
      </c>
      <c r="EU456" s="399">
        <v>0</v>
      </c>
      <c r="EV456" s="399">
        <v>230</v>
      </c>
      <c r="EW456" s="399">
        <v>0</v>
      </c>
      <c r="EX456" s="399">
        <v>0</v>
      </c>
      <c r="EY456" s="399">
        <v>0</v>
      </c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455</v>
      </c>
      <c r="B457" s="399" t="s">
        <v>956</v>
      </c>
      <c r="C457" s="399" t="s">
        <v>2337</v>
      </c>
      <c r="D457" s="399" t="s">
        <v>533</v>
      </c>
      <c r="E457" s="399" t="s">
        <v>2341</v>
      </c>
      <c r="F457" s="399" t="s">
        <v>1239</v>
      </c>
      <c r="G457" s="399" t="s">
        <v>1239</v>
      </c>
      <c r="H457" s="399" t="s">
        <v>1239</v>
      </c>
      <c r="I457" s="399" t="s">
        <v>1239</v>
      </c>
      <c r="J457" s="399" t="s">
        <v>2329</v>
      </c>
      <c r="K457" s="789">
        <v>44713</v>
      </c>
      <c r="L457" s="399">
        <v>320</v>
      </c>
      <c r="M457" s="399">
        <v>320</v>
      </c>
      <c r="N457" s="399">
        <v>0</v>
      </c>
      <c r="O457" s="399">
        <v>0</v>
      </c>
      <c r="P457" s="399">
        <v>0</v>
      </c>
      <c r="Q457" s="399">
        <v>0</v>
      </c>
      <c r="R457" s="399">
        <v>18.12</v>
      </c>
      <c r="S457" s="399"/>
      <c r="T457" s="399"/>
      <c r="U457" s="399">
        <v>5798.4000000000005</v>
      </c>
      <c r="V457" s="399"/>
      <c r="W457" s="399">
        <v>5798.4000000000005</v>
      </c>
      <c r="X457" s="399">
        <v>4624</v>
      </c>
      <c r="Y457" s="399">
        <v>0</v>
      </c>
      <c r="Z457" s="399">
        <v>0</v>
      </c>
      <c r="AA457" s="399">
        <v>0</v>
      </c>
      <c r="AB457" s="399">
        <v>0</v>
      </c>
      <c r="AC457" s="399">
        <v>0</v>
      </c>
      <c r="AD457" s="399">
        <v>0</v>
      </c>
      <c r="AE457" s="399">
        <v>4178.8602617558081</v>
      </c>
      <c r="AF457" s="399"/>
      <c r="AG457" s="399"/>
      <c r="AH457" s="399"/>
      <c r="AI457" s="399">
        <v>0</v>
      </c>
      <c r="AJ457" s="399">
        <v>0</v>
      </c>
      <c r="AK457" s="399">
        <v>0</v>
      </c>
      <c r="AL457" s="399">
        <v>0</v>
      </c>
      <c r="AM457" s="399"/>
      <c r="AN457" s="399">
        <v>0</v>
      </c>
      <c r="AO457" s="399">
        <v>254.35853183039231</v>
      </c>
      <c r="AP457" s="399">
        <v>1363.6227327519455</v>
      </c>
      <c r="AQ457" s="399">
        <v>0</v>
      </c>
      <c r="AR457" s="399">
        <v>0</v>
      </c>
      <c r="AS457" s="399"/>
      <c r="AT457" s="399"/>
      <c r="AU457" s="399">
        <v>0</v>
      </c>
      <c r="AV457" s="399">
        <v>0</v>
      </c>
      <c r="AW457" s="399">
        <v>0</v>
      </c>
      <c r="AX457" s="399"/>
      <c r="AY457" s="399"/>
      <c r="AZ457" s="399">
        <v>0</v>
      </c>
      <c r="BA457" s="399"/>
      <c r="BB457" s="399">
        <v>0</v>
      </c>
      <c r="BC457" s="399">
        <v>0</v>
      </c>
      <c r="BD457" s="399">
        <v>0</v>
      </c>
      <c r="BE457" s="399">
        <v>0</v>
      </c>
      <c r="BF457" s="399"/>
      <c r="BG457" s="399">
        <v>0</v>
      </c>
      <c r="BH457" s="399">
        <v>0</v>
      </c>
      <c r="BI457" s="399">
        <v>0</v>
      </c>
      <c r="BJ457" s="399">
        <v>0</v>
      </c>
      <c r="BK457" s="399">
        <v>3314.96</v>
      </c>
      <c r="BL457" s="399">
        <v>3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>
        <v>0</v>
      </c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>
        <v>4624</v>
      </c>
      <c r="CJ457" s="399">
        <v>-1174.4300000000012</v>
      </c>
      <c r="CK457" s="399"/>
      <c r="CL457" s="399"/>
      <c r="CM457" s="399"/>
      <c r="CN457" s="399"/>
      <c r="CO457" s="399">
        <v>-1174.4000000000005</v>
      </c>
      <c r="CP457" s="399">
        <v>0</v>
      </c>
      <c r="CQ457" s="399">
        <v>30</v>
      </c>
      <c r="CR457" s="399">
        <v>118.1058531983806</v>
      </c>
      <c r="CS457" s="399">
        <v>18.567107096799731</v>
      </c>
      <c r="CT457" s="399">
        <v>99.538746101580955</v>
      </c>
      <c r="CU457" s="399">
        <v>0</v>
      </c>
      <c r="CV457" s="399">
        <v>0</v>
      </c>
      <c r="CW457" s="399"/>
      <c r="CX457" s="399"/>
      <c r="CY457" s="399"/>
      <c r="CZ457" s="399">
        <v>0</v>
      </c>
      <c r="DA457" s="399">
        <v>0</v>
      </c>
      <c r="DB457" s="399">
        <v>0</v>
      </c>
      <c r="DC457" s="399"/>
      <c r="DD457" s="399"/>
      <c r="DE457" s="399">
        <v>0</v>
      </c>
      <c r="DF457" s="399">
        <v>0</v>
      </c>
      <c r="DG457" s="399">
        <v>0</v>
      </c>
      <c r="DH457" s="399">
        <v>0</v>
      </c>
      <c r="DI457" s="399">
        <v>0</v>
      </c>
      <c r="DJ457" s="399"/>
      <c r="DK457" s="399">
        <v>0</v>
      </c>
      <c r="DL457" s="399">
        <v>0</v>
      </c>
      <c r="DM457" s="399"/>
      <c r="DN457" s="399">
        <v>0</v>
      </c>
      <c r="DO457" s="399">
        <v>0</v>
      </c>
      <c r="DP457" s="399">
        <v>0</v>
      </c>
      <c r="DQ457" s="399">
        <v>0</v>
      </c>
      <c r="DR457" s="399">
        <v>0</v>
      </c>
      <c r="DS457" s="399"/>
      <c r="DT457" s="399"/>
      <c r="DU457" s="399">
        <v>4178.8602617558081</v>
      </c>
      <c r="DV457" s="399"/>
      <c r="DW457" s="399">
        <v>0</v>
      </c>
      <c r="DX457" s="399">
        <v>0</v>
      </c>
      <c r="DY457" s="399">
        <v>-1174.4000000000005</v>
      </c>
      <c r="DZ457" s="399"/>
      <c r="EA457" s="399">
        <v>0</v>
      </c>
      <c r="EB457" s="399"/>
      <c r="EC457" s="399">
        <v>-1292.1074580173949</v>
      </c>
      <c r="ED457" s="399"/>
      <c r="EE457" s="399">
        <v>0</v>
      </c>
      <c r="EF457" s="399">
        <v>0</v>
      </c>
      <c r="EG457" s="399"/>
      <c r="EH457" s="399">
        <v>0</v>
      </c>
      <c r="EI457" s="399">
        <v>0</v>
      </c>
      <c r="EJ457" s="399">
        <v>0</v>
      </c>
      <c r="EK457" s="399">
        <v>0</v>
      </c>
      <c r="EL457" s="399">
        <v>0</v>
      </c>
      <c r="EM457" s="399"/>
      <c r="EN457" s="399"/>
      <c r="EO457" s="399">
        <v>0</v>
      </c>
      <c r="EP457" s="399">
        <v>0</v>
      </c>
      <c r="EQ457" s="399"/>
      <c r="ER457" s="399">
        <v>0</v>
      </c>
      <c r="ES457" s="399"/>
      <c r="ET457" s="399">
        <v>0</v>
      </c>
      <c r="EU457" s="399"/>
      <c r="EV457" s="399">
        <v>230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456</v>
      </c>
      <c r="B458" s="399" t="s">
        <v>956</v>
      </c>
      <c r="C458" s="399" t="s">
        <v>2328</v>
      </c>
      <c r="D458" s="399" t="s">
        <v>2342</v>
      </c>
      <c r="E458" s="399" t="s">
        <v>2343</v>
      </c>
      <c r="F458" s="399" t="s">
        <v>2344</v>
      </c>
      <c r="G458" s="399" t="s">
        <v>1239</v>
      </c>
      <c r="H458" s="399" t="s">
        <v>1239</v>
      </c>
      <c r="I458" s="399" t="s">
        <v>1239</v>
      </c>
      <c r="J458" s="399" t="s">
        <v>2329</v>
      </c>
      <c r="K458" s="789">
        <v>44713</v>
      </c>
      <c r="L458" s="399">
        <v>0</v>
      </c>
      <c r="M458" s="399">
        <v>0</v>
      </c>
      <c r="N458" s="399">
        <v>993.78499999999997</v>
      </c>
      <c r="O458" s="399">
        <v>993.78499999999997</v>
      </c>
      <c r="P458" s="399">
        <v>993.78499999999997</v>
      </c>
      <c r="Q458" s="399">
        <v>993.78499999999997</v>
      </c>
      <c r="R458" s="399"/>
      <c r="S458" s="399">
        <v>183.49</v>
      </c>
      <c r="T458" s="399">
        <v>70.459999999999994</v>
      </c>
      <c r="U458" s="399"/>
      <c r="V458" s="399">
        <v>252371.70074999999</v>
      </c>
      <c r="W458" s="399">
        <v>252371.70074999999</v>
      </c>
      <c r="X458" s="399">
        <v>220282.38309999998</v>
      </c>
      <c r="Y458" s="399">
        <v>0</v>
      </c>
      <c r="Z458" s="399">
        <v>33459.575982164817</v>
      </c>
      <c r="AA458" s="399">
        <v>0</v>
      </c>
      <c r="AB458" s="399">
        <v>0</v>
      </c>
      <c r="AC458" s="399">
        <v>0</v>
      </c>
      <c r="AD458" s="399">
        <v>0</v>
      </c>
      <c r="AE458" s="399">
        <v>106308.07241565998</v>
      </c>
      <c r="AF458" s="399">
        <v>70023.159949408015</v>
      </c>
      <c r="AG458" s="399">
        <v>0</v>
      </c>
      <c r="AH458" s="399">
        <v>0</v>
      </c>
      <c r="AI458" s="399">
        <v>0</v>
      </c>
      <c r="AJ458" s="399">
        <v>0</v>
      </c>
      <c r="AK458" s="399">
        <v>0</v>
      </c>
      <c r="AL458" s="399">
        <v>5167.3021030586042</v>
      </c>
      <c r="AM458" s="399"/>
      <c r="AN458" s="399">
        <v>470.27232748480583</v>
      </c>
      <c r="AO458" s="399">
        <v>1899.9291866884698</v>
      </c>
      <c r="AP458" s="399">
        <v>10135.066205897407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7416.2238767181989</v>
      </c>
      <c r="BH458" s="399">
        <v>0</v>
      </c>
      <c r="BI458" s="399">
        <v>0</v>
      </c>
      <c r="BJ458" s="399">
        <v>0</v>
      </c>
      <c r="BK458" s="399">
        <v>73427.44</v>
      </c>
      <c r="BL458" s="399">
        <v>5</v>
      </c>
      <c r="BM458" s="399"/>
      <c r="BN458" s="399"/>
      <c r="BO458" s="399"/>
      <c r="BP458" s="399"/>
      <c r="BQ458" s="399"/>
      <c r="BR458" s="399"/>
      <c r="BS458" s="399"/>
      <c r="BT458" s="399"/>
      <c r="BU458" s="399"/>
      <c r="BV458" s="399">
        <v>77439.383826126214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220283.4914</v>
      </c>
      <c r="CJ458" s="399">
        <v>-32088.239350000018</v>
      </c>
      <c r="CK458" s="399"/>
      <c r="CL458" s="399"/>
      <c r="CM458" s="399"/>
      <c r="CN458" s="399"/>
      <c r="CO458" s="399">
        <v>-35289.305350000017</v>
      </c>
      <c r="CP458" s="399">
        <v>3199.9877000000129</v>
      </c>
      <c r="CQ458" s="399">
        <v>30</v>
      </c>
      <c r="CR458" s="399">
        <v>787.68819452030584</v>
      </c>
      <c r="CS458" s="399">
        <v>138.68687018961032</v>
      </c>
      <c r="CT458" s="399">
        <v>739.81736851491587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0</v>
      </c>
      <c r="DA458" s="399">
        <v>0</v>
      </c>
      <c r="DB458" s="399">
        <v>0</v>
      </c>
      <c r="DC458" s="399">
        <v>3202.6598304987565</v>
      </c>
      <c r="DD458" s="399">
        <v>0</v>
      </c>
      <c r="DE458" s="399">
        <v>0</v>
      </c>
      <c r="DF458" s="399">
        <v>0</v>
      </c>
      <c r="DG458" s="399">
        <v>339.19695028205024</v>
      </c>
      <c r="DH458" s="399">
        <v>0</v>
      </c>
      <c r="DI458" s="399">
        <v>-3164.9808594559472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-412.5914052593871</v>
      </c>
      <c r="DP458" s="399">
        <v>-55.100560249666103</v>
      </c>
      <c r="DQ458" s="399">
        <v>0</v>
      </c>
      <c r="DR458" s="399">
        <v>0</v>
      </c>
      <c r="DS458" s="399"/>
      <c r="DT458" s="399"/>
      <c r="DU458" s="399"/>
      <c r="DV458" s="399">
        <v>106308.07241565998</v>
      </c>
      <c r="DW458" s="399">
        <v>0</v>
      </c>
      <c r="DX458" s="399">
        <v>0</v>
      </c>
      <c r="DY458" s="399">
        <v>-35289.30535000001</v>
      </c>
      <c r="DZ458" s="399">
        <v>3199.9877000000124</v>
      </c>
      <c r="EA458" s="399">
        <v>0</v>
      </c>
      <c r="EB458" s="399">
        <v>0</v>
      </c>
      <c r="EC458" s="399">
        <v>-32870.554316648399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17489.804242877319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230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457</v>
      </c>
      <c r="B459" s="399" t="s">
        <v>956</v>
      </c>
      <c r="C459" s="399" t="s">
        <v>2328</v>
      </c>
      <c r="D459" s="399" t="s">
        <v>1826</v>
      </c>
      <c r="E459" s="399" t="s">
        <v>921</v>
      </c>
      <c r="F459" s="399" t="s">
        <v>2345</v>
      </c>
      <c r="G459" s="399" t="s">
        <v>1239</v>
      </c>
      <c r="H459" s="399" t="s">
        <v>1239</v>
      </c>
      <c r="I459" s="399" t="s">
        <v>1239</v>
      </c>
      <c r="J459" s="399" t="s">
        <v>2329</v>
      </c>
      <c r="K459" s="789">
        <v>44713</v>
      </c>
      <c r="L459" s="399">
        <v>0</v>
      </c>
      <c r="M459" s="399">
        <v>0</v>
      </c>
      <c r="N459" s="399">
        <v>75.765000000000001</v>
      </c>
      <c r="O459" s="399">
        <v>71.219099999999997</v>
      </c>
      <c r="P459" s="399">
        <v>75.765000000000001</v>
      </c>
      <c r="Q459" s="399">
        <v>71.219099999999997</v>
      </c>
      <c r="R459" s="399"/>
      <c r="S459" s="399">
        <v>333.61</v>
      </c>
      <c r="T459" s="399">
        <v>128.11000000000001</v>
      </c>
      <c r="U459" s="399"/>
      <c r="V459" s="399">
        <v>34982.215800000005</v>
      </c>
      <c r="W459" s="399">
        <v>34982.215800000005</v>
      </c>
      <c r="X459" s="399">
        <v>30535.567950000001</v>
      </c>
      <c r="Y459" s="399">
        <v>0</v>
      </c>
      <c r="Z459" s="399">
        <v>4638.0340622216472</v>
      </c>
      <c r="AA459" s="399">
        <v>0</v>
      </c>
      <c r="AB459" s="399">
        <v>0</v>
      </c>
      <c r="AC459" s="399">
        <v>0</v>
      </c>
      <c r="AD459" s="399">
        <v>0</v>
      </c>
      <c r="AE459" s="399">
        <v>14736.004461496281</v>
      </c>
      <c r="AF459" s="399">
        <v>9706.3334324039897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716.27097655242881</v>
      </c>
      <c r="AM459" s="399"/>
      <c r="AN459" s="399">
        <v>65.187289718118706</v>
      </c>
      <c r="AO459" s="399">
        <v>263.36066806008751</v>
      </c>
      <c r="AP459" s="399">
        <v>1404.8827848529861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1028.0076164627822</v>
      </c>
      <c r="BH459" s="399">
        <v>0</v>
      </c>
      <c r="BI459" s="399">
        <v>0</v>
      </c>
      <c r="BJ459" s="399">
        <v>0</v>
      </c>
      <c r="BK459" s="399">
        <v>9567.7000000000007</v>
      </c>
      <c r="BL459" s="399">
        <v>27</v>
      </c>
      <c r="BM459" s="399"/>
      <c r="BN459" s="399"/>
      <c r="BO459" s="399"/>
      <c r="BP459" s="399"/>
      <c r="BQ459" s="399">
        <v>1832.1340770000015</v>
      </c>
      <c r="BR459" s="399"/>
      <c r="BS459" s="399"/>
      <c r="BT459" s="399"/>
      <c r="BU459" s="399"/>
      <c r="BV459" s="399">
        <v>10734.341048866772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28703.796600000001</v>
      </c>
      <c r="CJ459" s="399">
        <v>-4179.516251999994</v>
      </c>
      <c r="CK459" s="399"/>
      <c r="CL459" s="399"/>
      <c r="CM459" s="399"/>
      <c r="CN459" s="399"/>
      <c r="CO459" s="399">
        <v>-4890.6307500000012</v>
      </c>
      <c r="CP459" s="399">
        <v>443.98289999999889</v>
      </c>
      <c r="CQ459" s="399">
        <v>30</v>
      </c>
      <c r="CR459" s="399">
        <v>109.18622156308993</v>
      </c>
      <c r="CS459" s="399">
        <v>19.22422532387111</v>
      </c>
      <c r="CT459" s="399">
        <v>102.55055703109292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0</v>
      </c>
      <c r="DA459" s="399">
        <v>0</v>
      </c>
      <c r="DB459" s="399">
        <v>0</v>
      </c>
      <c r="DC459" s="399">
        <v>443.94003652289757</v>
      </c>
      <c r="DD459" s="399">
        <v>0</v>
      </c>
      <c r="DE459" s="399">
        <v>0</v>
      </c>
      <c r="DF459" s="399">
        <v>0</v>
      </c>
      <c r="DG459" s="399">
        <v>47.018139442298889</v>
      </c>
      <c r="DH459" s="399">
        <v>0</v>
      </c>
      <c r="DI459" s="399">
        <v>-438.71712660855519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-57.191788455209348</v>
      </c>
      <c r="DP459" s="399">
        <v>-7.6378216933074512</v>
      </c>
      <c r="DQ459" s="399">
        <v>0</v>
      </c>
      <c r="DR459" s="399">
        <v>0</v>
      </c>
      <c r="DS459" s="399"/>
      <c r="DT459" s="399"/>
      <c r="DU459" s="399"/>
      <c r="DV459" s="399">
        <v>14736.004461496281</v>
      </c>
      <c r="DW459" s="399">
        <v>0</v>
      </c>
      <c r="DX459" s="399">
        <v>0</v>
      </c>
      <c r="DY459" s="399">
        <v>-4890.6307500000003</v>
      </c>
      <c r="DZ459" s="399">
        <v>443.98289999999906</v>
      </c>
      <c r="EA459" s="399">
        <v>0</v>
      </c>
      <c r="EB459" s="399">
        <v>0</v>
      </c>
      <c r="EC459" s="399">
        <v>-4556.3862090178609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2424.3674774388242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230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458</v>
      </c>
      <c r="B460" s="399" t="s">
        <v>956</v>
      </c>
      <c r="C460" s="399" t="s">
        <v>2336</v>
      </c>
      <c r="D460" s="399" t="s">
        <v>533</v>
      </c>
      <c r="E460" s="399" t="s">
        <v>921</v>
      </c>
      <c r="F460" s="399" t="s">
        <v>2345</v>
      </c>
      <c r="G460" s="399" t="s">
        <v>1239</v>
      </c>
      <c r="H460" s="399" t="s">
        <v>1239</v>
      </c>
      <c r="I460" s="399" t="s">
        <v>893</v>
      </c>
      <c r="J460" s="399" t="s">
        <v>2329</v>
      </c>
      <c r="K460" s="789">
        <v>44713</v>
      </c>
      <c r="L460" s="399">
        <v>497</v>
      </c>
      <c r="M460" s="399">
        <v>467.18</v>
      </c>
      <c r="N460" s="399">
        <v>15.795</v>
      </c>
      <c r="O460" s="399">
        <v>14.847300000000001</v>
      </c>
      <c r="P460" s="399">
        <v>15.795</v>
      </c>
      <c r="Q460" s="399">
        <v>14.847300000000001</v>
      </c>
      <c r="R460" s="399">
        <v>52.19</v>
      </c>
      <c r="S460" s="399">
        <v>96.28</v>
      </c>
      <c r="T460" s="399">
        <v>128.11000000000001</v>
      </c>
      <c r="U460" s="399">
        <v>25938.43</v>
      </c>
      <c r="V460" s="399">
        <v>3544.2400500000003</v>
      </c>
      <c r="W460" s="399">
        <v>29482.670050000001</v>
      </c>
      <c r="X460" s="399">
        <v>22503.768800000002</v>
      </c>
      <c r="Y460" s="399">
        <v>0</v>
      </c>
      <c r="Z460" s="399">
        <v>841.20953964400633</v>
      </c>
      <c r="AA460" s="399">
        <v>0</v>
      </c>
      <c r="AB460" s="399">
        <v>0</v>
      </c>
      <c r="AC460" s="399">
        <v>0</v>
      </c>
      <c r="AD460" s="399">
        <v>0</v>
      </c>
      <c r="AE460" s="399">
        <v>23226.622324707889</v>
      </c>
      <c r="AF460" s="399">
        <v>2023.5139782857652</v>
      </c>
      <c r="AG460" s="399">
        <v>0</v>
      </c>
      <c r="AH460" s="399">
        <v>0</v>
      </c>
      <c r="AI460" s="399">
        <v>0</v>
      </c>
      <c r="AJ460" s="399">
        <v>0</v>
      </c>
      <c r="AK460" s="399">
        <v>0</v>
      </c>
      <c r="AL460" s="399">
        <v>149.32356727572906</v>
      </c>
      <c r="AM460" s="399"/>
      <c r="AN460" s="399">
        <v>7.764832309272256</v>
      </c>
      <c r="AO460" s="399">
        <v>429.22392841896755</v>
      </c>
      <c r="AP460" s="399">
        <v>2283.35918041684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82.743928888046469</v>
      </c>
      <c r="BH460" s="399">
        <v>0</v>
      </c>
      <c r="BI460" s="399">
        <v>0</v>
      </c>
      <c r="BJ460" s="399">
        <v>0</v>
      </c>
      <c r="BK460" s="399">
        <v>0</v>
      </c>
      <c r="BL460" s="399">
        <v>0</v>
      </c>
      <c r="BM460" s="399"/>
      <c r="BN460" s="399"/>
      <c r="BO460" s="399"/>
      <c r="BP460" s="399"/>
      <c r="BQ460" s="399">
        <v>1350.2261279999996</v>
      </c>
      <c r="BR460" s="399"/>
      <c r="BS460" s="399"/>
      <c r="BT460" s="399"/>
      <c r="BU460" s="399"/>
      <c r="BV460" s="399">
        <v>2106.2579071738119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21154.1492</v>
      </c>
      <c r="CJ460" s="399">
        <v>-6559.5906469999936</v>
      </c>
      <c r="CK460" s="399"/>
      <c r="CL460" s="399"/>
      <c r="CM460" s="399"/>
      <c r="CN460" s="399"/>
      <c r="CO460" s="399">
        <v>-7071.4599499999986</v>
      </c>
      <c r="CP460" s="399">
        <v>92.55869999999976</v>
      </c>
      <c r="CQ460" s="399">
        <v>30</v>
      </c>
      <c r="CR460" s="399">
        <v>201.93767105678489</v>
      </c>
      <c r="CS460" s="399">
        <v>31.331548386111194</v>
      </c>
      <c r="CT460" s="399">
        <v>166.6756532135114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0</v>
      </c>
      <c r="DA460" s="399">
        <v>0</v>
      </c>
      <c r="DB460" s="399">
        <v>0</v>
      </c>
      <c r="DC460" s="399">
        <v>92.549764097923571</v>
      </c>
      <c r="DD460" s="399">
        <v>0</v>
      </c>
      <c r="DE460" s="399">
        <v>0</v>
      </c>
      <c r="DF460" s="399">
        <v>0</v>
      </c>
      <c r="DG460" s="399">
        <v>3.7844715585364384</v>
      </c>
      <c r="DH460" s="399">
        <v>0</v>
      </c>
      <c r="DI460" s="399">
        <v>-79.571005119257734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-11.922976290503954</v>
      </c>
      <c r="DP460" s="399">
        <v>-0.90978478953650477</v>
      </c>
      <c r="DQ460" s="399">
        <v>0</v>
      </c>
      <c r="DR460" s="399">
        <v>0</v>
      </c>
      <c r="DS460" s="399"/>
      <c r="DT460" s="399"/>
      <c r="DU460" s="399">
        <v>23226.622324707889</v>
      </c>
      <c r="DV460" s="399">
        <v>0</v>
      </c>
      <c r="DW460" s="399">
        <v>0</v>
      </c>
      <c r="DX460" s="399">
        <v>0</v>
      </c>
      <c r="DY460" s="399">
        <v>-7071.4599500000004</v>
      </c>
      <c r="DZ460" s="399">
        <v>92.55869999999959</v>
      </c>
      <c r="EA460" s="399">
        <v>0</v>
      </c>
      <c r="EB460" s="399">
        <v>0</v>
      </c>
      <c r="EC460" s="399">
        <v>-7181.6931054063516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439.71239155741006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230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459</v>
      </c>
      <c r="B461" s="399" t="s">
        <v>956</v>
      </c>
      <c r="C461" s="399" t="s">
        <v>2336</v>
      </c>
      <c r="D461" s="399" t="s">
        <v>533</v>
      </c>
      <c r="E461" s="399" t="s">
        <v>921</v>
      </c>
      <c r="F461" s="399" t="s">
        <v>2345</v>
      </c>
      <c r="G461" s="399" t="s">
        <v>1239</v>
      </c>
      <c r="H461" s="399" t="s">
        <v>1239</v>
      </c>
      <c r="I461" s="399" t="s">
        <v>2326</v>
      </c>
      <c r="J461" s="399" t="s">
        <v>2329</v>
      </c>
      <c r="K461" s="789">
        <v>44713</v>
      </c>
      <c r="L461" s="399">
        <v>497</v>
      </c>
      <c r="M461" s="399">
        <v>467.18</v>
      </c>
      <c r="N461" s="399">
        <v>136.583</v>
      </c>
      <c r="O461" s="399">
        <v>128.38802000000001</v>
      </c>
      <c r="P461" s="399">
        <v>136.583</v>
      </c>
      <c r="Q461" s="399">
        <v>128.38802000000001</v>
      </c>
      <c r="R461" s="399">
        <v>18.12</v>
      </c>
      <c r="S461" s="399">
        <v>96.28</v>
      </c>
      <c r="T461" s="399">
        <v>128.11000000000001</v>
      </c>
      <c r="U461" s="399">
        <v>9005.6400000000012</v>
      </c>
      <c r="V461" s="399">
        <v>30647.859370000002</v>
      </c>
      <c r="W461" s="399">
        <v>39653.499370000005</v>
      </c>
      <c r="X461" s="399">
        <v>37863.655119999996</v>
      </c>
      <c r="Y461" s="399">
        <v>0</v>
      </c>
      <c r="Z461" s="399">
        <v>7274.1324820004629</v>
      </c>
      <c r="AA461" s="399">
        <v>0</v>
      </c>
      <c r="AB461" s="399">
        <v>0</v>
      </c>
      <c r="AC461" s="399">
        <v>0</v>
      </c>
      <c r="AD461" s="399">
        <v>0</v>
      </c>
      <c r="AE461" s="399">
        <v>6490.2923440394898</v>
      </c>
      <c r="AF461" s="399">
        <v>17497.791053890767</v>
      </c>
      <c r="AG461" s="399">
        <v>0</v>
      </c>
      <c r="AH461" s="399">
        <v>0</v>
      </c>
      <c r="AI461" s="399">
        <v>0</v>
      </c>
      <c r="AJ461" s="399">
        <v>0</v>
      </c>
      <c r="AK461" s="399">
        <v>0</v>
      </c>
      <c r="AL461" s="399">
        <v>1291.235250979481</v>
      </c>
      <c r="AM461" s="399"/>
      <c r="AN461" s="399">
        <v>67.14429194664973</v>
      </c>
      <c r="AO461" s="399">
        <v>395.05059474907807</v>
      </c>
      <c r="AP461" s="399">
        <v>2117.8765568053655</v>
      </c>
      <c r="AQ461" s="399">
        <v>0</v>
      </c>
      <c r="AR461" s="399">
        <v>0</v>
      </c>
      <c r="AS461" s="399">
        <v>0</v>
      </c>
      <c r="AT461" s="399">
        <v>0</v>
      </c>
      <c r="AU461" s="399">
        <v>0</v>
      </c>
      <c r="AV461" s="399">
        <v>0</v>
      </c>
      <c r="AW461" s="399">
        <v>0</v>
      </c>
      <c r="AX461" s="399">
        <v>0</v>
      </c>
      <c r="AY461" s="399">
        <v>0</v>
      </c>
      <c r="AZ461" s="399">
        <v>0</v>
      </c>
      <c r="BA461" s="399"/>
      <c r="BB461" s="399">
        <v>0</v>
      </c>
      <c r="BC461" s="399">
        <v>0</v>
      </c>
      <c r="BD461" s="399">
        <v>0</v>
      </c>
      <c r="BE461" s="399">
        <v>0</v>
      </c>
      <c r="BF461" s="399">
        <v>0</v>
      </c>
      <c r="BG461" s="399">
        <v>715.50579546160498</v>
      </c>
      <c r="BH461" s="399">
        <v>0</v>
      </c>
      <c r="BI461" s="399">
        <v>0</v>
      </c>
      <c r="BJ461" s="399">
        <v>0</v>
      </c>
      <c r="BK461" s="399">
        <v>0</v>
      </c>
      <c r="BL461" s="399">
        <v>0</v>
      </c>
      <c r="BM461" s="399"/>
      <c r="BN461" s="399"/>
      <c r="BO461" s="399"/>
      <c r="BP461" s="399"/>
      <c r="BQ461" s="399">
        <v>2271.8193071999967</v>
      </c>
      <c r="BR461" s="399"/>
      <c r="BS461" s="399"/>
      <c r="BT461" s="399"/>
      <c r="BU461" s="399"/>
      <c r="BV461" s="399">
        <v>18213.296849352373</v>
      </c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>
        <v>35592.280599999998</v>
      </c>
      <c r="CJ461" s="399">
        <v>-1682.0388078000105</v>
      </c>
      <c r="CK461" s="399"/>
      <c r="CL461" s="399"/>
      <c r="CM461" s="399"/>
      <c r="CN461" s="399"/>
      <c r="CO461" s="399">
        <v>-2590.2206300000007</v>
      </c>
      <c r="CP461" s="399">
        <v>800.37637999999799</v>
      </c>
      <c r="CQ461" s="399">
        <v>30</v>
      </c>
      <c r="CR461" s="399">
        <v>217.42082718780148</v>
      </c>
      <c r="CS461" s="399">
        <v>28.837038209717036</v>
      </c>
      <c r="CT461" s="399">
        <v>154.59611503901806</v>
      </c>
      <c r="CU461" s="399">
        <v>0</v>
      </c>
      <c r="CV461" s="399">
        <v>0</v>
      </c>
      <c r="CW461" s="399">
        <v>0</v>
      </c>
      <c r="CX461" s="399">
        <v>0</v>
      </c>
      <c r="CY461" s="399">
        <v>0</v>
      </c>
      <c r="CZ461" s="399">
        <v>0</v>
      </c>
      <c r="DA461" s="399">
        <v>0</v>
      </c>
      <c r="DB461" s="399">
        <v>0</v>
      </c>
      <c r="DC461" s="399">
        <v>800.29910919827307</v>
      </c>
      <c r="DD461" s="399">
        <v>0</v>
      </c>
      <c r="DE461" s="399">
        <v>0</v>
      </c>
      <c r="DF461" s="399">
        <v>0</v>
      </c>
      <c r="DG461" s="399">
        <v>32.72519651026164</v>
      </c>
      <c r="DH461" s="399">
        <v>0</v>
      </c>
      <c r="DI461" s="399">
        <v>-688.06879342852608</v>
      </c>
      <c r="DJ461" s="399"/>
      <c r="DK461" s="399">
        <v>0</v>
      </c>
      <c r="DL461" s="399">
        <v>0</v>
      </c>
      <c r="DM461" s="399">
        <v>0</v>
      </c>
      <c r="DN461" s="399">
        <v>0</v>
      </c>
      <c r="DO461" s="399">
        <v>-103.10071989147832</v>
      </c>
      <c r="DP461" s="399">
        <v>-7.8671184494627653</v>
      </c>
      <c r="DQ461" s="399">
        <v>0</v>
      </c>
      <c r="DR461" s="399">
        <v>0</v>
      </c>
      <c r="DS461" s="399"/>
      <c r="DT461" s="399"/>
      <c r="DU461" s="399">
        <v>6490.2923440394898</v>
      </c>
      <c r="DV461" s="399">
        <v>0</v>
      </c>
      <c r="DW461" s="399">
        <v>0</v>
      </c>
      <c r="DX461" s="399">
        <v>0</v>
      </c>
      <c r="DY461" s="399">
        <v>-2590.2206300000034</v>
      </c>
      <c r="DZ461" s="399">
        <v>800.37637999999788</v>
      </c>
      <c r="EA461" s="399">
        <v>0</v>
      </c>
      <c r="EB461" s="399">
        <v>0</v>
      </c>
      <c r="EC461" s="399">
        <v>-2006.8043957332666</v>
      </c>
      <c r="ED461" s="399">
        <v>0</v>
      </c>
      <c r="EE461" s="399">
        <v>0</v>
      </c>
      <c r="EF461" s="399">
        <v>0</v>
      </c>
      <c r="EG461" s="399">
        <v>0</v>
      </c>
      <c r="EH461" s="399">
        <v>0</v>
      </c>
      <c r="EI461" s="399">
        <v>0</v>
      </c>
      <c r="EJ461" s="399">
        <v>0</v>
      </c>
      <c r="EK461" s="399">
        <v>0</v>
      </c>
      <c r="EL461" s="399">
        <v>0</v>
      </c>
      <c r="EM461" s="399">
        <v>0</v>
      </c>
      <c r="EN461" s="399">
        <v>0</v>
      </c>
      <c r="EO461" s="399">
        <v>0</v>
      </c>
      <c r="EP461" s="399">
        <v>3802.2942435002051</v>
      </c>
      <c r="EQ461" s="399">
        <v>0</v>
      </c>
      <c r="ER461" s="399">
        <v>0</v>
      </c>
      <c r="ES461" s="399">
        <v>0</v>
      </c>
      <c r="ET461" s="399">
        <v>0</v>
      </c>
      <c r="EU461" s="399">
        <v>0</v>
      </c>
      <c r="EV461" s="399">
        <v>230</v>
      </c>
      <c r="EW461" s="399">
        <v>0</v>
      </c>
      <c r="EX461" s="399">
        <v>0</v>
      </c>
      <c r="EY461" s="399">
        <v>0</v>
      </c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460</v>
      </c>
      <c r="B462" s="399" t="s">
        <v>956</v>
      </c>
      <c r="C462" s="399" t="s">
        <v>2336</v>
      </c>
      <c r="D462" s="399" t="s">
        <v>533</v>
      </c>
      <c r="E462" s="399" t="s">
        <v>921</v>
      </c>
      <c r="F462" s="399" t="s">
        <v>2345</v>
      </c>
      <c r="G462" s="399" t="s">
        <v>1239</v>
      </c>
      <c r="H462" s="399" t="s">
        <v>1239</v>
      </c>
      <c r="I462" s="399" t="s">
        <v>1239</v>
      </c>
      <c r="J462" s="399" t="s">
        <v>2329</v>
      </c>
      <c r="K462" s="789">
        <v>44713</v>
      </c>
      <c r="L462" s="399">
        <v>0</v>
      </c>
      <c r="M462" s="399">
        <v>0</v>
      </c>
      <c r="N462" s="399">
        <v>0</v>
      </c>
      <c r="O462" s="399">
        <v>0</v>
      </c>
      <c r="P462" s="399">
        <v>0</v>
      </c>
      <c r="Q462" s="399">
        <v>0</v>
      </c>
      <c r="R462" s="399"/>
      <c r="S462" s="399"/>
      <c r="T462" s="399"/>
      <c r="U462" s="399"/>
      <c r="V462" s="399"/>
      <c r="W462" s="399"/>
      <c r="X462" s="399"/>
      <c r="Y462" s="399"/>
      <c r="Z462" s="399"/>
      <c r="AA462" s="399">
        <v>0</v>
      </c>
      <c r="AB462" s="399"/>
      <c r="AC462" s="399"/>
      <c r="AD462" s="399"/>
      <c r="AE462" s="399"/>
      <c r="AF462" s="399"/>
      <c r="AG462" s="399"/>
      <c r="AH462" s="399"/>
      <c r="AI462" s="399"/>
      <c r="AJ462" s="399"/>
      <c r="AK462" s="399"/>
      <c r="AL462" s="399"/>
      <c r="AM462" s="399"/>
      <c r="AN462" s="399"/>
      <c r="AO462" s="399"/>
      <c r="AP462" s="399"/>
      <c r="AQ462" s="399"/>
      <c r="AR462" s="399"/>
      <c r="AS462" s="399"/>
      <c r="AT462" s="399"/>
      <c r="AU462" s="399"/>
      <c r="AV462" s="399"/>
      <c r="AW462" s="399"/>
      <c r="AX462" s="399"/>
      <c r="AY462" s="399"/>
      <c r="AZ462" s="399">
        <v>0</v>
      </c>
      <c r="BA462" s="399"/>
      <c r="BB462" s="399"/>
      <c r="BC462" s="399"/>
      <c r="BD462" s="399"/>
      <c r="BE462" s="399"/>
      <c r="BF462" s="399"/>
      <c r="BG462" s="399"/>
      <c r="BH462" s="399"/>
      <c r="BI462" s="399">
        <v>0</v>
      </c>
      <c r="BJ462" s="399">
        <v>0</v>
      </c>
      <c r="BK462" s="399">
        <v>17434.87</v>
      </c>
      <c r="BL462" s="399">
        <v>2</v>
      </c>
      <c r="BM462" s="399"/>
      <c r="BN462" s="399"/>
      <c r="BO462" s="399"/>
      <c r="BP462" s="399"/>
      <c r="BQ462" s="399"/>
      <c r="BR462" s="399"/>
      <c r="BS462" s="399"/>
      <c r="BT462" s="399"/>
      <c r="BU462" s="399"/>
      <c r="BV462" s="399"/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/>
      <c r="CJ462" s="399">
        <v>-0.03</v>
      </c>
      <c r="CK462" s="399"/>
      <c r="CL462" s="399"/>
      <c r="CM462" s="399"/>
      <c r="CN462" s="399"/>
      <c r="CO462" s="399">
        <v>0</v>
      </c>
      <c r="CP462" s="399">
        <v>0</v>
      </c>
      <c r="CQ462" s="399">
        <v>30</v>
      </c>
      <c r="CR462" s="399"/>
      <c r="CS462" s="399"/>
      <c r="CT462" s="399"/>
      <c r="CU462" s="399"/>
      <c r="CV462" s="399"/>
      <c r="CW462" s="399"/>
      <c r="CX462" s="399"/>
      <c r="CY462" s="399"/>
      <c r="CZ462" s="399"/>
      <c r="DA462" s="399"/>
      <c r="DB462" s="399"/>
      <c r="DC462" s="399"/>
      <c r="DD462" s="399"/>
      <c r="DE462" s="399"/>
      <c r="DF462" s="399"/>
      <c r="DG462" s="399"/>
      <c r="DH462" s="399"/>
      <c r="DI462" s="399"/>
      <c r="DJ462" s="399"/>
      <c r="DK462" s="399">
        <v>0</v>
      </c>
      <c r="DL462" s="399"/>
      <c r="DM462" s="399"/>
      <c r="DN462" s="399"/>
      <c r="DO462" s="399"/>
      <c r="DP462" s="399"/>
      <c r="DQ462" s="399"/>
      <c r="DR462" s="399"/>
      <c r="DS462" s="399"/>
      <c r="DT462" s="399"/>
      <c r="DU462" s="399"/>
      <c r="DV462" s="399"/>
      <c r="DW462" s="399"/>
      <c r="DX462" s="399"/>
      <c r="DY462" s="399"/>
      <c r="DZ462" s="399"/>
      <c r="EA462" s="399"/>
      <c r="EB462" s="399"/>
      <c r="EC462" s="399"/>
      <c r="ED462" s="399"/>
      <c r="EE462" s="399"/>
      <c r="EF462" s="399"/>
      <c r="EG462" s="399"/>
      <c r="EH462" s="399"/>
      <c r="EI462" s="399"/>
      <c r="EJ462" s="399"/>
      <c r="EK462" s="399"/>
      <c r="EL462" s="399"/>
      <c r="EM462" s="399"/>
      <c r="EN462" s="399"/>
      <c r="EO462" s="399"/>
      <c r="EP462" s="399"/>
      <c r="EQ462" s="399"/>
      <c r="ER462" s="399"/>
      <c r="ES462" s="399"/>
      <c r="ET462" s="399"/>
      <c r="EU462" s="399"/>
      <c r="EV462" s="399">
        <v>230</v>
      </c>
      <c r="EW462" s="399"/>
      <c r="EX462" s="399"/>
      <c r="EY462" s="399"/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461</v>
      </c>
      <c r="B463" s="399" t="s">
        <v>956</v>
      </c>
      <c r="C463" s="399" t="s">
        <v>2328</v>
      </c>
      <c r="D463" s="399" t="s">
        <v>1826</v>
      </c>
      <c r="E463" s="399" t="s">
        <v>2346</v>
      </c>
      <c r="F463" s="399" t="s">
        <v>1239</v>
      </c>
      <c r="G463" s="399" t="s">
        <v>1239</v>
      </c>
      <c r="H463" s="399" t="s">
        <v>1239</v>
      </c>
      <c r="I463" s="399" t="s">
        <v>1239</v>
      </c>
      <c r="J463" s="399" t="s">
        <v>2329</v>
      </c>
      <c r="K463" s="789">
        <v>44713</v>
      </c>
      <c r="L463" s="399">
        <v>0</v>
      </c>
      <c r="M463" s="399">
        <v>0</v>
      </c>
      <c r="N463" s="399">
        <v>0.999</v>
      </c>
      <c r="O463" s="399">
        <v>0.999</v>
      </c>
      <c r="P463" s="399">
        <v>0.999</v>
      </c>
      <c r="Q463" s="399">
        <v>0.999</v>
      </c>
      <c r="R463" s="399"/>
      <c r="S463" s="399">
        <v>333.61</v>
      </c>
      <c r="T463" s="399">
        <v>128.11000000000001</v>
      </c>
      <c r="U463" s="399"/>
      <c r="V463" s="399">
        <v>461.25828000000001</v>
      </c>
      <c r="W463" s="399">
        <v>461.25828000000001</v>
      </c>
      <c r="X463" s="399">
        <v>402.62696999999997</v>
      </c>
      <c r="Y463" s="399">
        <v>0</v>
      </c>
      <c r="Z463" s="399">
        <v>61.154834397933421</v>
      </c>
      <c r="AA463" s="399">
        <v>0</v>
      </c>
      <c r="AB463" s="399">
        <v>0</v>
      </c>
      <c r="AC463" s="399">
        <v>0</v>
      </c>
      <c r="AD463" s="399">
        <v>0</v>
      </c>
      <c r="AE463" s="399">
        <v>194.30170206605669</v>
      </c>
      <c r="AF463" s="399">
        <v>127.9829353787578</v>
      </c>
      <c r="AG463" s="399">
        <v>0</v>
      </c>
      <c r="AH463" s="399">
        <v>0</v>
      </c>
      <c r="AI463" s="399">
        <v>0</v>
      </c>
      <c r="AJ463" s="399">
        <v>0</v>
      </c>
      <c r="AK463" s="399">
        <v>0</v>
      </c>
      <c r="AL463" s="399">
        <v>9.4443965627384188</v>
      </c>
      <c r="AM463" s="399"/>
      <c r="AN463" s="399">
        <v>0.85952751835808872</v>
      </c>
      <c r="AO463" s="399">
        <v>3.4725441482482333</v>
      </c>
      <c r="AP463" s="399">
        <v>18.524092946190628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13.554802466129734</v>
      </c>
      <c r="BH463" s="399">
        <v>0</v>
      </c>
      <c r="BI463" s="399">
        <v>0</v>
      </c>
      <c r="BJ463" s="399">
        <v>0</v>
      </c>
      <c r="BK463" s="399">
        <v>134.19999999999999</v>
      </c>
      <c r="BL463" s="399">
        <v>2</v>
      </c>
      <c r="BM463" s="399"/>
      <c r="BN463" s="399"/>
      <c r="BO463" s="399"/>
      <c r="BP463" s="399"/>
      <c r="BQ463" s="399"/>
      <c r="BR463" s="399"/>
      <c r="BS463" s="399"/>
      <c r="BT463" s="399"/>
      <c r="BU463" s="399"/>
      <c r="BV463" s="399">
        <v>141.53773784488754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403.03</v>
      </c>
      <c r="CJ463" s="399">
        <v>-58.258280000000013</v>
      </c>
      <c r="CK463" s="399"/>
      <c r="CL463" s="399"/>
      <c r="CM463" s="399"/>
      <c r="CN463" s="399"/>
      <c r="CO463" s="399">
        <v>-64.485450000000014</v>
      </c>
      <c r="CP463" s="399">
        <v>5.854139999999985</v>
      </c>
      <c r="CQ463" s="399">
        <v>30</v>
      </c>
      <c r="CR463" s="399">
        <v>1.4396757782818668</v>
      </c>
      <c r="CS463" s="399">
        <v>0.25348117334583575</v>
      </c>
      <c r="CT463" s="399">
        <v>1.3521811717027923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0</v>
      </c>
      <c r="DA463" s="399">
        <v>0</v>
      </c>
      <c r="DB463" s="399">
        <v>0</v>
      </c>
      <c r="DC463" s="399">
        <v>5.8535748232874738</v>
      </c>
      <c r="DD463" s="399">
        <v>0</v>
      </c>
      <c r="DE463" s="399">
        <v>0</v>
      </c>
      <c r="DF463" s="399">
        <v>0</v>
      </c>
      <c r="DG463" s="399">
        <v>0.61995804530926613</v>
      </c>
      <c r="DH463" s="399">
        <v>0</v>
      </c>
      <c r="DI463" s="399">
        <v>-5.7847081037675352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-0.75410277392930958</v>
      </c>
      <c r="DP463" s="399">
        <v>-0.10070855766665543</v>
      </c>
      <c r="DQ463" s="399">
        <v>0</v>
      </c>
      <c r="DR463" s="399">
        <v>0</v>
      </c>
      <c r="DS463" s="399"/>
      <c r="DT463" s="399"/>
      <c r="DU463" s="399"/>
      <c r="DV463" s="399">
        <v>194.30170206605669</v>
      </c>
      <c r="DW463" s="399">
        <v>0</v>
      </c>
      <c r="DX463" s="399">
        <v>0</v>
      </c>
      <c r="DY463" s="399">
        <v>-64.485450000000014</v>
      </c>
      <c r="DZ463" s="399">
        <v>5.8541399999999868</v>
      </c>
      <c r="EA463" s="399">
        <v>0</v>
      </c>
      <c r="EB463" s="399">
        <v>0</v>
      </c>
      <c r="EC463" s="399">
        <v>-60.07826599100963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31.966516332889665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230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462</v>
      </c>
      <c r="B464" s="399" t="s">
        <v>2331</v>
      </c>
      <c r="C464" s="399" t="s">
        <v>2328</v>
      </c>
      <c r="D464" s="399" t="s">
        <v>1826</v>
      </c>
      <c r="E464" s="399" t="s">
        <v>2346</v>
      </c>
      <c r="F464" s="399" t="s">
        <v>1239</v>
      </c>
      <c r="G464" s="399" t="s">
        <v>1239</v>
      </c>
      <c r="H464" s="399" t="s">
        <v>1239</v>
      </c>
      <c r="I464" s="399" t="s">
        <v>1239</v>
      </c>
      <c r="J464" s="399" t="s">
        <v>2329</v>
      </c>
      <c r="K464" s="789">
        <v>44713</v>
      </c>
      <c r="L464" s="399">
        <v>0</v>
      </c>
      <c r="M464" s="399">
        <v>0</v>
      </c>
      <c r="N464" s="399">
        <v>0.03</v>
      </c>
      <c r="O464" s="399">
        <v>0.03</v>
      </c>
      <c r="P464" s="399">
        <v>0.03</v>
      </c>
      <c r="Q464" s="399">
        <v>0.03</v>
      </c>
      <c r="R464" s="399"/>
      <c r="S464" s="399">
        <v>333.61</v>
      </c>
      <c r="T464" s="399">
        <v>128.11000000000001</v>
      </c>
      <c r="U464" s="399"/>
      <c r="V464" s="399">
        <v>13.851600000000001</v>
      </c>
      <c r="W464" s="399">
        <v>13.851600000000001</v>
      </c>
      <c r="X464" s="399">
        <v>12.0909</v>
      </c>
      <c r="Y464" s="399">
        <v>0</v>
      </c>
      <c r="Z464" s="399">
        <v>1.8364815134514538</v>
      </c>
      <c r="AA464" s="399">
        <v>0</v>
      </c>
      <c r="AB464" s="399">
        <v>0</v>
      </c>
      <c r="AC464" s="399">
        <v>0</v>
      </c>
      <c r="AD464" s="399">
        <v>0</v>
      </c>
      <c r="AE464" s="399">
        <v>5.8348859479296298</v>
      </c>
      <c r="AF464" s="399">
        <v>3.8433313927554895</v>
      </c>
      <c r="AG464" s="399">
        <v>0</v>
      </c>
      <c r="AH464" s="399">
        <v>0</v>
      </c>
      <c r="AI464" s="399">
        <v>0</v>
      </c>
      <c r="AJ464" s="399">
        <v>0</v>
      </c>
      <c r="AK464" s="399">
        <v>0</v>
      </c>
      <c r="AL464" s="399">
        <v>0.28361551239454713</v>
      </c>
      <c r="AM464" s="399"/>
      <c r="AN464" s="399">
        <v>2.581163718793059E-2</v>
      </c>
      <c r="AO464" s="399">
        <v>0.1042806050524995</v>
      </c>
      <c r="AP464" s="399">
        <v>0.55627906745317202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0.40705112510900099</v>
      </c>
      <c r="BH464" s="399">
        <v>0</v>
      </c>
      <c r="BI464" s="399">
        <v>0</v>
      </c>
      <c r="BJ464" s="399">
        <v>0</v>
      </c>
      <c r="BK464" s="399">
        <v>4.03</v>
      </c>
      <c r="BL464" s="399">
        <v>1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4.2503825178644909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12.0909</v>
      </c>
      <c r="CJ464" s="399">
        <v>-1.7907000000000011</v>
      </c>
      <c r="CK464" s="399"/>
      <c r="CL464" s="399"/>
      <c r="CM464" s="399"/>
      <c r="CN464" s="399"/>
      <c r="CO464" s="399">
        <v>-1.9365000000000003</v>
      </c>
      <c r="CP464" s="399">
        <v>0.17579999999999954</v>
      </c>
      <c r="CQ464" s="399">
        <v>30</v>
      </c>
      <c r="CR464" s="399">
        <v>4.3233506855312243E-2</v>
      </c>
      <c r="CS464" s="399">
        <v>7.6120472476226969E-3</v>
      </c>
      <c r="CT464" s="399">
        <v>4.0606041192275955E-2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0</v>
      </c>
      <c r="DA464" s="399">
        <v>0</v>
      </c>
      <c r="DB464" s="399">
        <v>0</v>
      </c>
      <c r="DC464" s="399">
        <v>0.17578302772635102</v>
      </c>
      <c r="DD464" s="399">
        <v>0</v>
      </c>
      <c r="DE464" s="399">
        <v>0</v>
      </c>
      <c r="DF464" s="399">
        <v>0</v>
      </c>
      <c r="DG464" s="399">
        <v>1.8617358717996024E-2</v>
      </c>
      <c r="DH464" s="399">
        <v>0</v>
      </c>
      <c r="DI464" s="399">
        <v>-0.17371495807109683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-2.2645728946826149E-2</v>
      </c>
      <c r="DP464" s="399">
        <v>-3.0242810110106717E-3</v>
      </c>
      <c r="DQ464" s="399">
        <v>0</v>
      </c>
      <c r="DR464" s="399">
        <v>0</v>
      </c>
      <c r="DS464" s="399"/>
      <c r="DT464" s="399"/>
      <c r="DU464" s="399"/>
      <c r="DV464" s="399">
        <v>5.8348859479296298</v>
      </c>
      <c r="DW464" s="399">
        <v>0</v>
      </c>
      <c r="DX464" s="399">
        <v>0</v>
      </c>
      <c r="DY464" s="399">
        <v>-1.9365000000000006</v>
      </c>
      <c r="DZ464" s="399">
        <v>0.17579999999999973</v>
      </c>
      <c r="EA464" s="399">
        <v>0</v>
      </c>
      <c r="EB464" s="399">
        <v>0</v>
      </c>
      <c r="EC464" s="399">
        <v>-1.8041521318621498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0.95995544543212197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230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463</v>
      </c>
      <c r="B465" s="399" t="s">
        <v>956</v>
      </c>
      <c r="C465" s="399" t="s">
        <v>2337</v>
      </c>
      <c r="D465" s="399" t="s">
        <v>533</v>
      </c>
      <c r="E465" s="399" t="s">
        <v>2346</v>
      </c>
      <c r="F465" s="399" t="s">
        <v>1239</v>
      </c>
      <c r="G465" s="399" t="s">
        <v>1239</v>
      </c>
      <c r="H465" s="399" t="s">
        <v>1239</v>
      </c>
      <c r="I465" s="399" t="s">
        <v>893</v>
      </c>
      <c r="J465" s="399" t="s">
        <v>2329</v>
      </c>
      <c r="K465" s="789">
        <v>44713</v>
      </c>
      <c r="L465" s="399">
        <v>0</v>
      </c>
      <c r="M465" s="399">
        <v>0</v>
      </c>
      <c r="N465" s="399">
        <v>1.014</v>
      </c>
      <c r="O465" s="399">
        <v>1.014</v>
      </c>
      <c r="P465" s="399">
        <v>1.014</v>
      </c>
      <c r="Q465" s="399">
        <v>1.014</v>
      </c>
      <c r="R465" s="399"/>
      <c r="S465" s="399">
        <v>1351.49</v>
      </c>
      <c r="T465" s="399">
        <v>128.11000000000001</v>
      </c>
      <c r="U465" s="399"/>
      <c r="V465" s="399">
        <v>1500.3144</v>
      </c>
      <c r="W465" s="399">
        <v>1500.3144</v>
      </c>
      <c r="X465" s="399">
        <v>1157.8967400000001</v>
      </c>
      <c r="Y465" s="399">
        <v>0</v>
      </c>
      <c r="Z465" s="399">
        <v>54.003575384553493</v>
      </c>
      <c r="AA465" s="399">
        <v>0</v>
      </c>
      <c r="AB465" s="399">
        <v>0</v>
      </c>
      <c r="AC465" s="399">
        <v>0</v>
      </c>
      <c r="AD465" s="399">
        <v>0</v>
      </c>
      <c r="AE465" s="399">
        <v>1139.6798557748839</v>
      </c>
      <c r="AF465" s="399">
        <v>129.90460107513556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9.5862043189356925</v>
      </c>
      <c r="AM465" s="399"/>
      <c r="AN465" s="399">
        <v>0.49848306182982388</v>
      </c>
      <c r="AO465" s="399">
        <v>21.063344520276178</v>
      </c>
      <c r="AP465" s="399">
        <v>112.03896659001626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5.3119559286153288</v>
      </c>
      <c r="BH465" s="399">
        <v>0</v>
      </c>
      <c r="BI465" s="399">
        <v>0</v>
      </c>
      <c r="BJ465" s="399">
        <v>0</v>
      </c>
      <c r="BK465" s="399">
        <v>0</v>
      </c>
      <c r="BL465" s="399">
        <v>0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135.21655700375089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1153.3290999999999</v>
      </c>
      <c r="CJ465" s="399">
        <v>-347.01530000000002</v>
      </c>
      <c r="CK465" s="399"/>
      <c r="CL465" s="399"/>
      <c r="CM465" s="399"/>
      <c r="CN465" s="399"/>
      <c r="CO465" s="399">
        <v>-348.35969999999998</v>
      </c>
      <c r="CP465" s="399">
        <v>5.9420399999999853</v>
      </c>
      <c r="CQ465" s="399">
        <v>30</v>
      </c>
      <c r="CR465" s="399">
        <v>9.9682374651946475</v>
      </c>
      <c r="CS465" s="399">
        <v>1.5375358975005256</v>
      </c>
      <c r="CT465" s="399">
        <v>8.1783751334072576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0</v>
      </c>
      <c r="DA465" s="399">
        <v>0</v>
      </c>
      <c r="DB465" s="399">
        <v>0</v>
      </c>
      <c r="DC465" s="399">
        <v>5.9414663371506435</v>
      </c>
      <c r="DD465" s="399">
        <v>0</v>
      </c>
      <c r="DE465" s="399">
        <v>0</v>
      </c>
      <c r="DF465" s="399">
        <v>0</v>
      </c>
      <c r="DG465" s="399">
        <v>0.2429537296838209</v>
      </c>
      <c r="DH465" s="399">
        <v>0</v>
      </c>
      <c r="DI465" s="399">
        <v>-5.1082620570387647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-0.76542563840272315</v>
      </c>
      <c r="DP465" s="399">
        <v>-5.8405937106047245E-2</v>
      </c>
      <c r="DQ465" s="399">
        <v>0</v>
      </c>
      <c r="DR465" s="399">
        <v>0</v>
      </c>
      <c r="DS465" s="399"/>
      <c r="DT465" s="399"/>
      <c r="DU465" s="399"/>
      <c r="DV465" s="399">
        <v>1139.6798557748839</v>
      </c>
      <c r="DW465" s="399">
        <v>0</v>
      </c>
      <c r="DX465" s="399">
        <v>0</v>
      </c>
      <c r="DY465" s="399">
        <v>-348.35969999999986</v>
      </c>
      <c r="DZ465" s="399">
        <v>5.9420399999999916</v>
      </c>
      <c r="EA465" s="399">
        <v>0</v>
      </c>
      <c r="EB465" s="399">
        <v>0</v>
      </c>
      <c r="EC465" s="399">
        <v>-352.39006551039267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28.228449828376942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230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464</v>
      </c>
      <c r="B466" s="399" t="s">
        <v>956</v>
      </c>
      <c r="C466" s="399" t="s">
        <v>2337</v>
      </c>
      <c r="D466" s="399" t="s">
        <v>533</v>
      </c>
      <c r="E466" s="399" t="s">
        <v>2346</v>
      </c>
      <c r="F466" s="399" t="s">
        <v>1239</v>
      </c>
      <c r="G466" s="399" t="s">
        <v>1239</v>
      </c>
      <c r="H466" s="399" t="s">
        <v>1239</v>
      </c>
      <c r="I466" s="399" t="s">
        <v>2326</v>
      </c>
      <c r="J466" s="399" t="s">
        <v>2329</v>
      </c>
      <c r="K466" s="789">
        <v>44713</v>
      </c>
      <c r="L466" s="399">
        <v>0</v>
      </c>
      <c r="M466" s="399">
        <v>0</v>
      </c>
      <c r="N466" s="399">
        <v>12.244</v>
      </c>
      <c r="O466" s="399">
        <v>12.244</v>
      </c>
      <c r="P466" s="399">
        <v>12.244</v>
      </c>
      <c r="Q466" s="399">
        <v>12.244</v>
      </c>
      <c r="R466" s="399"/>
      <c r="S466" s="399">
        <v>96.28</v>
      </c>
      <c r="T466" s="399">
        <v>128.11000000000001</v>
      </c>
      <c r="U466" s="399"/>
      <c r="V466" s="399">
        <v>2747.4311600000001</v>
      </c>
      <c r="W466" s="399">
        <v>2747.4311600000001</v>
      </c>
      <c r="X466" s="399">
        <v>2750.4921599999998</v>
      </c>
      <c r="Y466" s="399">
        <v>0</v>
      </c>
      <c r="Z466" s="399">
        <v>652.09050987028888</v>
      </c>
      <c r="AA466" s="399">
        <v>0</v>
      </c>
      <c r="AB466" s="399">
        <v>0</v>
      </c>
      <c r="AC466" s="399">
        <v>0</v>
      </c>
      <c r="AD466" s="399">
        <v>0</v>
      </c>
      <c r="AE466" s="399">
        <v>0</v>
      </c>
      <c r="AF466" s="399">
        <v>1568.5916524299405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115.75294445862784</v>
      </c>
      <c r="AM466" s="399"/>
      <c r="AN466" s="399">
        <v>6.0191583915624882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64.141605907264378</v>
      </c>
      <c r="BH466" s="399">
        <v>0</v>
      </c>
      <c r="BI466" s="399">
        <v>0</v>
      </c>
      <c r="BJ466" s="399">
        <v>0</v>
      </c>
      <c r="BK466" s="399">
        <v>0</v>
      </c>
      <c r="BL466" s="399">
        <v>0</v>
      </c>
      <c r="BM466" s="399"/>
      <c r="BN466" s="399"/>
      <c r="BO466" s="399"/>
      <c r="BP466" s="399"/>
      <c r="BQ466" s="399"/>
      <c r="BR466" s="399"/>
      <c r="BS466" s="399"/>
      <c r="BT466" s="399"/>
      <c r="BU466" s="399"/>
      <c r="BV466" s="399">
        <v>1632.7332583372049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2749.5936000000002</v>
      </c>
      <c r="CJ466" s="399">
        <v>2.1324399999998604</v>
      </c>
      <c r="CK466" s="399"/>
      <c r="CL466" s="399"/>
      <c r="CM466" s="399"/>
      <c r="CN466" s="399"/>
      <c r="CO466" s="399">
        <v>-68.688839999999985</v>
      </c>
      <c r="CP466" s="399">
        <v>71.749839999999821</v>
      </c>
      <c r="CQ466" s="399">
        <v>30</v>
      </c>
      <c r="CR466" s="399">
        <v>3.0468292518830822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0</v>
      </c>
      <c r="DA466" s="399">
        <v>0</v>
      </c>
      <c r="DB466" s="399">
        <v>0</v>
      </c>
      <c r="DC466" s="399">
        <v>71.742913049381286</v>
      </c>
      <c r="DD466" s="399">
        <v>0</v>
      </c>
      <c r="DE466" s="399">
        <v>0</v>
      </c>
      <c r="DF466" s="399">
        <v>0</v>
      </c>
      <c r="DG466" s="399">
        <v>2.9336543059652058</v>
      </c>
      <c r="DH466" s="399">
        <v>0</v>
      </c>
      <c r="DI466" s="399">
        <v>-61.682012452053868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-9.2424768408313014</v>
      </c>
      <c r="DP466" s="399">
        <v>-0.70524881057834499</v>
      </c>
      <c r="DQ466" s="399">
        <v>0</v>
      </c>
      <c r="DR466" s="399">
        <v>0</v>
      </c>
      <c r="DS466" s="399"/>
      <c r="DT466" s="399"/>
      <c r="DU466" s="399"/>
      <c r="DV466" s="399">
        <v>0</v>
      </c>
      <c r="DW466" s="399">
        <v>0</v>
      </c>
      <c r="DX466" s="399">
        <v>0</v>
      </c>
      <c r="DY466" s="399">
        <v>-68.688840000000027</v>
      </c>
      <c r="DZ466" s="399">
        <v>71.749839999999722</v>
      </c>
      <c r="EA466" s="399">
        <v>0</v>
      </c>
      <c r="EB466" s="399">
        <v>0</v>
      </c>
      <c r="EC466" s="399">
        <v>0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340.8571397422557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230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465</v>
      </c>
      <c r="B467" s="399" t="s">
        <v>956</v>
      </c>
      <c r="C467" s="399" t="s">
        <v>2337</v>
      </c>
      <c r="D467" s="399" t="s">
        <v>533</v>
      </c>
      <c r="E467" s="399" t="s">
        <v>2346</v>
      </c>
      <c r="F467" s="399" t="s">
        <v>1239</v>
      </c>
      <c r="G467" s="399" t="s">
        <v>1239</v>
      </c>
      <c r="H467" s="399" t="s">
        <v>1239</v>
      </c>
      <c r="I467" s="399" t="s">
        <v>1239</v>
      </c>
      <c r="J467" s="399" t="s">
        <v>2329</v>
      </c>
      <c r="K467" s="789">
        <v>44713</v>
      </c>
      <c r="L467" s="399">
        <v>95</v>
      </c>
      <c r="M467" s="399">
        <v>95</v>
      </c>
      <c r="N467" s="399">
        <v>0</v>
      </c>
      <c r="O467" s="399">
        <v>0</v>
      </c>
      <c r="P467" s="399">
        <v>0</v>
      </c>
      <c r="Q467" s="399">
        <v>0</v>
      </c>
      <c r="R467" s="399">
        <v>18.12</v>
      </c>
      <c r="S467" s="399"/>
      <c r="T467" s="399"/>
      <c r="U467" s="399">
        <v>1721.4</v>
      </c>
      <c r="V467" s="399"/>
      <c r="W467" s="399">
        <v>1721.4</v>
      </c>
      <c r="X467" s="399">
        <v>1372.75</v>
      </c>
      <c r="Y467" s="399">
        <v>0</v>
      </c>
      <c r="Z467" s="399">
        <v>0</v>
      </c>
      <c r="AA467" s="399">
        <v>0</v>
      </c>
      <c r="AB467" s="399">
        <v>0</v>
      </c>
      <c r="AC467" s="399">
        <v>0</v>
      </c>
      <c r="AD467" s="399">
        <v>0</v>
      </c>
      <c r="AE467" s="399">
        <v>1240.5991402087554</v>
      </c>
      <c r="AF467" s="399"/>
      <c r="AG467" s="399"/>
      <c r="AH467" s="399"/>
      <c r="AI467" s="399">
        <v>0</v>
      </c>
      <c r="AJ467" s="399">
        <v>0</v>
      </c>
      <c r="AK467" s="399">
        <v>0</v>
      </c>
      <c r="AL467" s="399">
        <v>0</v>
      </c>
      <c r="AM467" s="399"/>
      <c r="AN467" s="399">
        <v>0</v>
      </c>
      <c r="AO467" s="399">
        <v>75.512689137147717</v>
      </c>
      <c r="AP467" s="399">
        <v>404.82549878573383</v>
      </c>
      <c r="AQ467" s="399">
        <v>0</v>
      </c>
      <c r="AR467" s="399">
        <v>0</v>
      </c>
      <c r="AS467" s="399"/>
      <c r="AT467" s="399"/>
      <c r="AU467" s="399">
        <v>0</v>
      </c>
      <c r="AV467" s="399">
        <v>0</v>
      </c>
      <c r="AW467" s="399">
        <v>0</v>
      </c>
      <c r="AX467" s="399"/>
      <c r="AY467" s="399"/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/>
      <c r="BG467" s="399">
        <v>0</v>
      </c>
      <c r="BH467" s="399">
        <v>0</v>
      </c>
      <c r="BI467" s="399">
        <v>0</v>
      </c>
      <c r="BJ467" s="399">
        <v>0</v>
      </c>
      <c r="BK467" s="399">
        <v>1562.89</v>
      </c>
      <c r="BL467" s="399">
        <v>1</v>
      </c>
      <c r="BM467" s="399"/>
      <c r="BN467" s="399"/>
      <c r="BO467" s="399"/>
      <c r="BP467" s="399"/>
      <c r="BQ467" s="399"/>
      <c r="BR467" s="399"/>
      <c r="BS467" s="399"/>
      <c r="BT467" s="399"/>
      <c r="BU467" s="399"/>
      <c r="BV467" s="399">
        <v>0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1372.75</v>
      </c>
      <c r="CJ467" s="399">
        <v>-348.68000000000006</v>
      </c>
      <c r="CK467" s="399"/>
      <c r="CL467" s="399"/>
      <c r="CM467" s="399"/>
      <c r="CN467" s="399"/>
      <c r="CO467" s="399">
        <v>-348.65000000000015</v>
      </c>
      <c r="CP467" s="399">
        <v>0</v>
      </c>
      <c r="CQ467" s="399">
        <v>30</v>
      </c>
      <c r="CR467" s="399">
        <v>35.062675168269209</v>
      </c>
      <c r="CS467" s="399">
        <v>5.5121099193624161</v>
      </c>
      <c r="CT467" s="399">
        <v>29.550565248906821</v>
      </c>
      <c r="CU467" s="399">
        <v>0</v>
      </c>
      <c r="CV467" s="399">
        <v>0</v>
      </c>
      <c r="CW467" s="399"/>
      <c r="CX467" s="399"/>
      <c r="CY467" s="399"/>
      <c r="CZ467" s="399">
        <v>0</v>
      </c>
      <c r="DA467" s="399">
        <v>0</v>
      </c>
      <c r="DB467" s="399">
        <v>0</v>
      </c>
      <c r="DC467" s="399"/>
      <c r="DD467" s="399"/>
      <c r="DE467" s="399">
        <v>0</v>
      </c>
      <c r="DF467" s="399">
        <v>0</v>
      </c>
      <c r="DG467" s="399">
        <v>0</v>
      </c>
      <c r="DH467" s="399">
        <v>0</v>
      </c>
      <c r="DI467" s="399">
        <v>0</v>
      </c>
      <c r="DJ467" s="399"/>
      <c r="DK467" s="399">
        <v>0</v>
      </c>
      <c r="DL467" s="399">
        <v>0</v>
      </c>
      <c r="DM467" s="399"/>
      <c r="DN467" s="399">
        <v>0</v>
      </c>
      <c r="DO467" s="399">
        <v>0</v>
      </c>
      <c r="DP467" s="399">
        <v>0</v>
      </c>
      <c r="DQ467" s="399">
        <v>0</v>
      </c>
      <c r="DR467" s="399">
        <v>0</v>
      </c>
      <c r="DS467" s="399"/>
      <c r="DT467" s="399"/>
      <c r="DU467" s="399">
        <v>1240.5991402087554</v>
      </c>
      <c r="DV467" s="399"/>
      <c r="DW467" s="399">
        <v>0</v>
      </c>
      <c r="DX467" s="399">
        <v>0</v>
      </c>
      <c r="DY467" s="399">
        <v>-348.65000000000009</v>
      </c>
      <c r="DZ467" s="399"/>
      <c r="EA467" s="399">
        <v>0</v>
      </c>
      <c r="EB467" s="399"/>
      <c r="EC467" s="399">
        <v>-383.59440159891403</v>
      </c>
      <c r="ED467" s="399"/>
      <c r="EE467" s="399">
        <v>0</v>
      </c>
      <c r="EF467" s="399">
        <v>0</v>
      </c>
      <c r="EG467" s="399"/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/>
      <c r="EN467" s="399"/>
      <c r="EO467" s="399">
        <v>0</v>
      </c>
      <c r="EP467" s="399">
        <v>0</v>
      </c>
      <c r="EQ467" s="399"/>
      <c r="ER467" s="399">
        <v>0</v>
      </c>
      <c r="ES467" s="399"/>
      <c r="ET467" s="399">
        <v>0</v>
      </c>
      <c r="EU467" s="399"/>
      <c r="EV467" s="399">
        <v>230</v>
      </c>
      <c r="EW467" s="399"/>
      <c r="EX467" s="399"/>
      <c r="EY467" s="399"/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466</v>
      </c>
      <c r="B468" s="399" t="s">
        <v>956</v>
      </c>
      <c r="C468" s="399" t="s">
        <v>2328</v>
      </c>
      <c r="D468" s="399" t="s">
        <v>2340</v>
      </c>
      <c r="E468" s="399" t="s">
        <v>894</v>
      </c>
      <c r="F468" s="399" t="s">
        <v>2347</v>
      </c>
      <c r="G468" s="399" t="s">
        <v>2348</v>
      </c>
      <c r="H468" s="399" t="s">
        <v>1239</v>
      </c>
      <c r="I468" s="399" t="s">
        <v>1239</v>
      </c>
      <c r="J468" s="399" t="s">
        <v>2329</v>
      </c>
      <c r="K468" s="789">
        <v>44713</v>
      </c>
      <c r="L468" s="399">
        <v>0</v>
      </c>
      <c r="M468" s="399">
        <v>0</v>
      </c>
      <c r="N468" s="399">
        <v>0</v>
      </c>
      <c r="O468" s="399">
        <v>0</v>
      </c>
      <c r="P468" s="399">
        <v>0</v>
      </c>
      <c r="Q468" s="399">
        <v>0</v>
      </c>
      <c r="R468" s="399"/>
      <c r="S468" s="399"/>
      <c r="T468" s="399"/>
      <c r="U468" s="399"/>
      <c r="V468" s="399"/>
      <c r="W468" s="399"/>
      <c r="X468" s="399"/>
      <c r="Y468" s="399"/>
      <c r="Z468" s="399"/>
      <c r="AA468" s="399">
        <v>0</v>
      </c>
      <c r="AB468" s="399"/>
      <c r="AC468" s="399"/>
      <c r="AD468" s="399"/>
      <c r="AE468" s="399"/>
      <c r="AF468" s="399"/>
      <c r="AG468" s="399"/>
      <c r="AH468" s="399"/>
      <c r="AI468" s="399"/>
      <c r="AJ468" s="399"/>
      <c r="AK468" s="399"/>
      <c r="AL468" s="399"/>
      <c r="AM468" s="399"/>
      <c r="AN468" s="399"/>
      <c r="AO468" s="399"/>
      <c r="AP468" s="399"/>
      <c r="AQ468" s="399"/>
      <c r="AR468" s="399"/>
      <c r="AS468" s="399"/>
      <c r="AT468" s="399"/>
      <c r="AU468" s="399"/>
      <c r="AV468" s="399"/>
      <c r="AW468" s="399"/>
      <c r="AX468" s="399"/>
      <c r="AY468" s="399"/>
      <c r="AZ468" s="399">
        <v>0</v>
      </c>
      <c r="BA468" s="399"/>
      <c r="BB468" s="399"/>
      <c r="BC468" s="399"/>
      <c r="BD468" s="399"/>
      <c r="BE468" s="399"/>
      <c r="BF468" s="399"/>
      <c r="BG468" s="399"/>
      <c r="BH468" s="399"/>
      <c r="BI468" s="399">
        <v>0</v>
      </c>
      <c r="BJ468" s="399">
        <v>0</v>
      </c>
      <c r="BK468" s="399">
        <v>454.1</v>
      </c>
      <c r="BL468" s="399">
        <v>93</v>
      </c>
      <c r="BM468" s="399"/>
      <c r="BN468" s="399"/>
      <c r="BO468" s="399"/>
      <c r="BP468" s="399"/>
      <c r="BQ468" s="399"/>
      <c r="BR468" s="399"/>
      <c r="BS468" s="399"/>
      <c r="BT468" s="399"/>
      <c r="BU468" s="399"/>
      <c r="BV468" s="399"/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/>
      <c r="CJ468" s="399">
        <v>-0.03</v>
      </c>
      <c r="CK468" s="399"/>
      <c r="CL468" s="399"/>
      <c r="CM468" s="399"/>
      <c r="CN468" s="399"/>
      <c r="CO468" s="399">
        <v>0</v>
      </c>
      <c r="CP468" s="399">
        <v>0</v>
      </c>
      <c r="CQ468" s="399">
        <v>30</v>
      </c>
      <c r="CR468" s="399"/>
      <c r="CS468" s="399"/>
      <c r="CT468" s="399"/>
      <c r="CU468" s="399"/>
      <c r="CV468" s="399"/>
      <c r="CW468" s="399"/>
      <c r="CX468" s="399"/>
      <c r="CY468" s="399"/>
      <c r="CZ468" s="399"/>
      <c r="DA468" s="399"/>
      <c r="DB468" s="399"/>
      <c r="DC468" s="399"/>
      <c r="DD468" s="399"/>
      <c r="DE468" s="399"/>
      <c r="DF468" s="399"/>
      <c r="DG468" s="399"/>
      <c r="DH468" s="399"/>
      <c r="DI468" s="399"/>
      <c r="DJ468" s="399"/>
      <c r="DK468" s="399">
        <v>0</v>
      </c>
      <c r="DL468" s="399"/>
      <c r="DM468" s="399"/>
      <c r="DN468" s="399"/>
      <c r="DO468" s="399"/>
      <c r="DP468" s="399"/>
      <c r="DQ468" s="399"/>
      <c r="DR468" s="399"/>
      <c r="DS468" s="399"/>
      <c r="DT468" s="399"/>
      <c r="DU468" s="399"/>
      <c r="DV468" s="399"/>
      <c r="DW468" s="399"/>
      <c r="DX468" s="399"/>
      <c r="DY468" s="399"/>
      <c r="DZ468" s="399"/>
      <c r="EA468" s="399"/>
      <c r="EB468" s="399"/>
      <c r="EC468" s="399"/>
      <c r="ED468" s="399"/>
      <c r="EE468" s="399"/>
      <c r="EF468" s="399"/>
      <c r="EG468" s="399"/>
      <c r="EH468" s="399"/>
      <c r="EI468" s="399"/>
      <c r="EJ468" s="399"/>
      <c r="EK468" s="399"/>
      <c r="EL468" s="399"/>
      <c r="EM468" s="399"/>
      <c r="EN468" s="399"/>
      <c r="EO468" s="399"/>
      <c r="EP468" s="399"/>
      <c r="EQ468" s="399"/>
      <c r="ER468" s="399"/>
      <c r="ES468" s="399"/>
      <c r="ET468" s="399"/>
      <c r="EU468" s="399"/>
      <c r="EV468" s="399">
        <v>230</v>
      </c>
      <c r="EW468" s="399"/>
      <c r="EX468" s="399"/>
      <c r="EY468" s="399"/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467</v>
      </c>
      <c r="B469" s="399" t="s">
        <v>956</v>
      </c>
      <c r="C469" s="399" t="s">
        <v>2328</v>
      </c>
      <c r="D469" s="399" t="s">
        <v>2340</v>
      </c>
      <c r="E469" s="399" t="s">
        <v>894</v>
      </c>
      <c r="F469" s="399" t="s">
        <v>2347</v>
      </c>
      <c r="G469" s="399" t="s">
        <v>2348</v>
      </c>
      <c r="H469" s="399" t="s">
        <v>1239</v>
      </c>
      <c r="I469" s="399" t="s">
        <v>1239</v>
      </c>
      <c r="J469" s="399" t="s">
        <v>2329</v>
      </c>
      <c r="K469" s="789">
        <v>44713</v>
      </c>
      <c r="L469" s="399">
        <v>0</v>
      </c>
      <c r="M469" s="399">
        <v>0</v>
      </c>
      <c r="N469" s="399">
        <v>9.1449999999999996</v>
      </c>
      <c r="O469" s="399">
        <v>9.1449999999999996</v>
      </c>
      <c r="P469" s="399">
        <v>9.1449999999999996</v>
      </c>
      <c r="Q469" s="399">
        <v>9.1449999999999996</v>
      </c>
      <c r="R469" s="399"/>
      <c r="S469" s="399">
        <v>333.61</v>
      </c>
      <c r="T469" s="399">
        <v>128.11000000000001</v>
      </c>
      <c r="U469" s="399"/>
      <c r="V469" s="399">
        <v>4222.4294</v>
      </c>
      <c r="W469" s="399">
        <v>4222.4294</v>
      </c>
      <c r="X469" s="399">
        <v>3685.7093500000001</v>
      </c>
      <c r="Y469" s="399">
        <v>0</v>
      </c>
      <c r="Z469" s="399">
        <v>559.82078135045151</v>
      </c>
      <c r="AA469" s="399">
        <v>0</v>
      </c>
      <c r="AB469" s="399">
        <v>0</v>
      </c>
      <c r="AC469" s="399">
        <v>0</v>
      </c>
      <c r="AD469" s="399">
        <v>0</v>
      </c>
      <c r="AE469" s="399">
        <v>1778.6677331272156</v>
      </c>
      <c r="AF469" s="399">
        <v>1171.5755195582983</v>
      </c>
      <c r="AG469" s="399">
        <v>0</v>
      </c>
      <c r="AH469" s="399">
        <v>0</v>
      </c>
      <c r="AI469" s="399">
        <v>0</v>
      </c>
      <c r="AJ469" s="399">
        <v>0</v>
      </c>
      <c r="AK469" s="399">
        <v>0</v>
      </c>
      <c r="AL469" s="399">
        <v>86.455462028271114</v>
      </c>
      <c r="AM469" s="399"/>
      <c r="AN469" s="399">
        <v>7.8682474027875076</v>
      </c>
      <c r="AO469" s="399">
        <v>31.788204440170265</v>
      </c>
      <c r="AP469" s="399">
        <v>169.57240239530861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124.08275130406047</v>
      </c>
      <c r="BH469" s="399">
        <v>0</v>
      </c>
      <c r="BI469" s="399">
        <v>0</v>
      </c>
      <c r="BJ469" s="399">
        <v>0</v>
      </c>
      <c r="BK469" s="399">
        <v>0</v>
      </c>
      <c r="BL469" s="399">
        <v>0</v>
      </c>
      <c r="BM469" s="399"/>
      <c r="BN469" s="399"/>
      <c r="BO469" s="399"/>
      <c r="BP469" s="399"/>
      <c r="BQ469" s="399"/>
      <c r="BR469" s="399">
        <v>442.34364999999991</v>
      </c>
      <c r="BS469" s="399"/>
      <c r="BT469" s="399"/>
      <c r="BU469" s="399"/>
      <c r="BV469" s="399">
        <v>1295.6582708623587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3245.1390000000001</v>
      </c>
      <c r="CJ469" s="399">
        <v>-470.6873999999998</v>
      </c>
      <c r="CK469" s="399"/>
      <c r="CL469" s="399"/>
      <c r="CM469" s="399"/>
      <c r="CN469" s="399"/>
      <c r="CO469" s="399">
        <v>-590.30975000000012</v>
      </c>
      <c r="CP469" s="399">
        <v>53.589699999999866</v>
      </c>
      <c r="CQ469" s="399">
        <v>30</v>
      </c>
      <c r="CR469" s="399">
        <v>13.179014006394027</v>
      </c>
      <c r="CS469" s="399">
        <v>2.3204057359836519</v>
      </c>
      <c r="CT469" s="399">
        <v>12.378074890112117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0</v>
      </c>
      <c r="DA469" s="399">
        <v>0</v>
      </c>
      <c r="DB469" s="399">
        <v>0</v>
      </c>
      <c r="DC469" s="399">
        <v>53.58452628524924</v>
      </c>
      <c r="DD469" s="399">
        <v>0</v>
      </c>
      <c r="DE469" s="399">
        <v>0</v>
      </c>
      <c r="DF469" s="399">
        <v>0</v>
      </c>
      <c r="DG469" s="399">
        <v>5.6751915158691162</v>
      </c>
      <c r="DH469" s="399">
        <v>0</v>
      </c>
      <c r="DI469" s="399">
        <v>-52.954109718672726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-6.9031730406241678</v>
      </c>
      <c r="DP469" s="399">
        <v>-0.92190166152308617</v>
      </c>
      <c r="DQ469" s="399">
        <v>0</v>
      </c>
      <c r="DR469" s="399">
        <v>0</v>
      </c>
      <c r="DS469" s="399"/>
      <c r="DT469" s="399"/>
      <c r="DU469" s="399"/>
      <c r="DV469" s="399">
        <v>1778.6677331272156</v>
      </c>
      <c r="DW469" s="399">
        <v>0</v>
      </c>
      <c r="DX469" s="399">
        <v>0</v>
      </c>
      <c r="DY469" s="399">
        <v>-590.30974999999989</v>
      </c>
      <c r="DZ469" s="399">
        <v>53.589699999999766</v>
      </c>
      <c r="EA469" s="399">
        <v>0</v>
      </c>
      <c r="EB469" s="399">
        <v>0</v>
      </c>
      <c r="EC469" s="399">
        <v>-549.965708195979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292.62641828255852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230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468</v>
      </c>
      <c r="B470" s="399" t="s">
        <v>956</v>
      </c>
      <c r="C470" s="399" t="s">
        <v>2328</v>
      </c>
      <c r="D470" s="399" t="s">
        <v>2340</v>
      </c>
      <c r="E470" s="399" t="s">
        <v>894</v>
      </c>
      <c r="F470" s="399" t="s">
        <v>2347</v>
      </c>
      <c r="G470" s="399" t="s">
        <v>2349</v>
      </c>
      <c r="H470" s="399" t="s">
        <v>1239</v>
      </c>
      <c r="I470" s="399" t="s">
        <v>1239</v>
      </c>
      <c r="J470" s="399" t="s">
        <v>2329</v>
      </c>
      <c r="K470" s="789">
        <v>44713</v>
      </c>
      <c r="L470" s="399">
        <v>0</v>
      </c>
      <c r="M470" s="399">
        <v>0</v>
      </c>
      <c r="N470" s="399">
        <v>0.64200000000000002</v>
      </c>
      <c r="O470" s="399">
        <v>0.25679999999999997</v>
      </c>
      <c r="P470" s="399">
        <v>0.64200000000000002</v>
      </c>
      <c r="Q470" s="399">
        <v>0.25679999999999997</v>
      </c>
      <c r="R470" s="399"/>
      <c r="S470" s="399">
        <v>333.61</v>
      </c>
      <c r="T470" s="399">
        <v>128.11000000000001</v>
      </c>
      <c r="U470" s="399"/>
      <c r="V470" s="399">
        <v>296.42424000000005</v>
      </c>
      <c r="W470" s="399">
        <v>296.42424000000005</v>
      </c>
      <c r="X470" s="399">
        <v>258.74526000000003</v>
      </c>
      <c r="Y470" s="399">
        <v>0</v>
      </c>
      <c r="Z470" s="399">
        <v>39.300704387861117</v>
      </c>
      <c r="AA470" s="399">
        <v>0</v>
      </c>
      <c r="AB470" s="399">
        <v>0</v>
      </c>
      <c r="AC470" s="399">
        <v>0</v>
      </c>
      <c r="AD470" s="399">
        <v>0</v>
      </c>
      <c r="AE470" s="399">
        <v>124.86655928569409</v>
      </c>
      <c r="AF470" s="399">
        <v>82.247291804967489</v>
      </c>
      <c r="AG470" s="399">
        <v>0</v>
      </c>
      <c r="AH470" s="399">
        <v>0</v>
      </c>
      <c r="AI470" s="399">
        <v>0</v>
      </c>
      <c r="AJ470" s="399">
        <v>0</v>
      </c>
      <c r="AK470" s="399">
        <v>0</v>
      </c>
      <c r="AL470" s="399">
        <v>6.0693719652433087</v>
      </c>
      <c r="AM470" s="399"/>
      <c r="AN470" s="399">
        <v>0.5523690358217147</v>
      </c>
      <c r="AO470" s="399">
        <v>2.2316049481234894</v>
      </c>
      <c r="AP470" s="399">
        <v>11.904372043497881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8.7108940773326218</v>
      </c>
      <c r="BH470" s="399">
        <v>0</v>
      </c>
      <c r="BI470" s="399">
        <v>0</v>
      </c>
      <c r="BJ470" s="399">
        <v>0</v>
      </c>
      <c r="BK470" s="399">
        <v>0</v>
      </c>
      <c r="BL470" s="399">
        <v>0</v>
      </c>
      <c r="BM470" s="399"/>
      <c r="BN470" s="399"/>
      <c r="BO470" s="399"/>
      <c r="BP470" s="399"/>
      <c r="BQ470" s="399"/>
      <c r="BR470" s="399"/>
      <c r="BS470" s="399">
        <v>167.66857200000004</v>
      </c>
      <c r="BT470" s="399"/>
      <c r="BU470" s="399"/>
      <c r="BV470" s="399">
        <v>90.958185882300114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92.211600000000004</v>
      </c>
      <c r="CJ470" s="399">
        <v>-12.161376000000004</v>
      </c>
      <c r="CK470" s="399"/>
      <c r="CL470" s="399"/>
      <c r="CM470" s="399"/>
      <c r="CN470" s="399"/>
      <c r="CO470" s="399">
        <v>-41.441100000000006</v>
      </c>
      <c r="CP470" s="399">
        <v>3.7621199999999906</v>
      </c>
      <c r="CQ470" s="399">
        <v>30</v>
      </c>
      <c r="CR470" s="399">
        <v>0.92519704670363012</v>
      </c>
      <c r="CS470" s="399">
        <v>0.16289781109912571</v>
      </c>
      <c r="CT470" s="399">
        <v>0.86896928151470654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0</v>
      </c>
      <c r="DA470" s="399">
        <v>0</v>
      </c>
      <c r="DB470" s="399">
        <v>0</v>
      </c>
      <c r="DC470" s="399">
        <v>3.761756793343892</v>
      </c>
      <c r="DD470" s="399">
        <v>0</v>
      </c>
      <c r="DE470" s="399">
        <v>0</v>
      </c>
      <c r="DF470" s="399">
        <v>0</v>
      </c>
      <c r="DG470" s="399">
        <v>0.39841147656511389</v>
      </c>
      <c r="DH470" s="399">
        <v>0</v>
      </c>
      <c r="DI470" s="399">
        <v>-3.7175001027214805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-0.4846185994620793</v>
      </c>
      <c r="DP470" s="399">
        <v>-6.4719613635628392E-2</v>
      </c>
      <c r="DQ470" s="399">
        <v>0</v>
      </c>
      <c r="DR470" s="399">
        <v>0</v>
      </c>
      <c r="DS470" s="399"/>
      <c r="DT470" s="399"/>
      <c r="DU470" s="399"/>
      <c r="DV470" s="399">
        <v>124.86655928569409</v>
      </c>
      <c r="DW470" s="399">
        <v>0</v>
      </c>
      <c r="DX470" s="399">
        <v>0</v>
      </c>
      <c r="DY470" s="399">
        <v>-41.441100000000006</v>
      </c>
      <c r="DZ470" s="399">
        <v>3.7621199999999959</v>
      </c>
      <c r="EA470" s="399">
        <v>0</v>
      </c>
      <c r="EB470" s="399">
        <v>0</v>
      </c>
      <c r="EC470" s="399">
        <v>-38.608855621850026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20.543046532247413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230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469</v>
      </c>
      <c r="B471" s="399" t="s">
        <v>956</v>
      </c>
      <c r="C471" s="399" t="s">
        <v>2328</v>
      </c>
      <c r="D471" s="399" t="s">
        <v>2340</v>
      </c>
      <c r="E471" s="399" t="s">
        <v>894</v>
      </c>
      <c r="F471" s="399" t="s">
        <v>2350</v>
      </c>
      <c r="G471" s="399" t="s">
        <v>2348</v>
      </c>
      <c r="H471" s="399" t="s">
        <v>1239</v>
      </c>
      <c r="I471" s="399" t="s">
        <v>1239</v>
      </c>
      <c r="J471" s="399" t="s">
        <v>2329</v>
      </c>
      <c r="K471" s="789">
        <v>44713</v>
      </c>
      <c r="L471" s="399">
        <v>0</v>
      </c>
      <c r="M471" s="399">
        <v>0</v>
      </c>
      <c r="N471" s="399">
        <v>0</v>
      </c>
      <c r="O471" s="399">
        <v>0</v>
      </c>
      <c r="P471" s="399">
        <v>0</v>
      </c>
      <c r="Q471" s="399">
        <v>0</v>
      </c>
      <c r="R471" s="399"/>
      <c r="S471" s="399"/>
      <c r="T471" s="399"/>
      <c r="U471" s="399"/>
      <c r="V471" s="399"/>
      <c r="W471" s="399"/>
      <c r="X471" s="399"/>
      <c r="Y471" s="399"/>
      <c r="Z471" s="399"/>
      <c r="AA471" s="399">
        <v>0</v>
      </c>
      <c r="AB471" s="399"/>
      <c r="AC471" s="399"/>
      <c r="AD471" s="399"/>
      <c r="AE471" s="399"/>
      <c r="AF471" s="399"/>
      <c r="AG471" s="399"/>
      <c r="AH471" s="399"/>
      <c r="AI471" s="399"/>
      <c r="AJ471" s="399"/>
      <c r="AK471" s="399"/>
      <c r="AL471" s="399"/>
      <c r="AM471" s="399"/>
      <c r="AN471" s="399"/>
      <c r="AO471" s="399"/>
      <c r="AP471" s="399"/>
      <c r="AQ471" s="399"/>
      <c r="AR471" s="399"/>
      <c r="AS471" s="399"/>
      <c r="AT471" s="399"/>
      <c r="AU471" s="399"/>
      <c r="AV471" s="399"/>
      <c r="AW471" s="399"/>
      <c r="AX471" s="399"/>
      <c r="AY471" s="399"/>
      <c r="AZ471" s="399">
        <v>0</v>
      </c>
      <c r="BA471" s="399"/>
      <c r="BB471" s="399"/>
      <c r="BC471" s="399"/>
      <c r="BD471" s="399"/>
      <c r="BE471" s="399"/>
      <c r="BF471" s="399"/>
      <c r="BG471" s="399"/>
      <c r="BH471" s="399"/>
      <c r="BI471" s="399">
        <v>0</v>
      </c>
      <c r="BJ471" s="399">
        <v>0</v>
      </c>
      <c r="BK471" s="399">
        <v>113.26</v>
      </c>
      <c r="BL471" s="399">
        <v>1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/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/>
      <c r="CJ471" s="399">
        <v>-0.03</v>
      </c>
      <c r="CK471" s="399"/>
      <c r="CL471" s="399"/>
      <c r="CM471" s="399"/>
      <c r="CN471" s="399"/>
      <c r="CO471" s="399">
        <v>0</v>
      </c>
      <c r="CP471" s="399">
        <v>0</v>
      </c>
      <c r="CQ471" s="399">
        <v>30</v>
      </c>
      <c r="CR471" s="399"/>
      <c r="CS471" s="399"/>
      <c r="CT471" s="399"/>
      <c r="CU471" s="399"/>
      <c r="CV471" s="399"/>
      <c r="CW471" s="399"/>
      <c r="CX471" s="399"/>
      <c r="CY471" s="399"/>
      <c r="CZ471" s="399"/>
      <c r="DA471" s="399"/>
      <c r="DB471" s="399"/>
      <c r="DC471" s="399"/>
      <c r="DD471" s="399"/>
      <c r="DE471" s="399"/>
      <c r="DF471" s="399"/>
      <c r="DG471" s="399"/>
      <c r="DH471" s="399"/>
      <c r="DI471" s="399"/>
      <c r="DJ471" s="399"/>
      <c r="DK471" s="399">
        <v>0</v>
      </c>
      <c r="DL471" s="399"/>
      <c r="DM471" s="399"/>
      <c r="DN471" s="399"/>
      <c r="DO471" s="399"/>
      <c r="DP471" s="399"/>
      <c r="DQ471" s="399"/>
      <c r="DR471" s="399"/>
      <c r="DS471" s="399"/>
      <c r="DT471" s="399"/>
      <c r="DU471" s="399"/>
      <c r="DV471" s="399"/>
      <c r="DW471" s="399"/>
      <c r="DX471" s="399"/>
      <c r="DY471" s="399"/>
      <c r="DZ471" s="399"/>
      <c r="EA471" s="399"/>
      <c r="EB471" s="399"/>
      <c r="EC471" s="399"/>
      <c r="ED471" s="399"/>
      <c r="EE471" s="399"/>
      <c r="EF471" s="399"/>
      <c r="EG471" s="399"/>
      <c r="EH471" s="399"/>
      <c r="EI471" s="399"/>
      <c r="EJ471" s="399"/>
      <c r="EK471" s="399"/>
      <c r="EL471" s="399"/>
      <c r="EM471" s="399"/>
      <c r="EN471" s="399"/>
      <c r="EO471" s="399"/>
      <c r="EP471" s="399"/>
      <c r="EQ471" s="399"/>
      <c r="ER471" s="399"/>
      <c r="ES471" s="399"/>
      <c r="ET471" s="399"/>
      <c r="EU471" s="399"/>
      <c r="EV471" s="399">
        <v>230</v>
      </c>
      <c r="EW471" s="399"/>
      <c r="EX471" s="399"/>
      <c r="EY471" s="399"/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470</v>
      </c>
      <c r="B472" s="399" t="s">
        <v>956</v>
      </c>
      <c r="C472" s="399" t="s">
        <v>2328</v>
      </c>
      <c r="D472" s="399" t="s">
        <v>2340</v>
      </c>
      <c r="E472" s="399" t="s">
        <v>894</v>
      </c>
      <c r="F472" s="399" t="s">
        <v>2350</v>
      </c>
      <c r="G472" s="399" t="s">
        <v>2348</v>
      </c>
      <c r="H472" s="399" t="s">
        <v>1239</v>
      </c>
      <c r="I472" s="399" t="s">
        <v>1239</v>
      </c>
      <c r="J472" s="399" t="s">
        <v>2329</v>
      </c>
      <c r="K472" s="789">
        <v>44713</v>
      </c>
      <c r="L472" s="399">
        <v>0</v>
      </c>
      <c r="M472" s="399">
        <v>0</v>
      </c>
      <c r="N472" s="399">
        <v>0.81</v>
      </c>
      <c r="O472" s="399">
        <v>0.81</v>
      </c>
      <c r="P472" s="399">
        <v>0.81</v>
      </c>
      <c r="Q472" s="399">
        <v>0.81</v>
      </c>
      <c r="R472" s="399"/>
      <c r="S472" s="399">
        <v>333.61</v>
      </c>
      <c r="T472" s="399">
        <v>128.11000000000001</v>
      </c>
      <c r="U472" s="399"/>
      <c r="V472" s="399">
        <v>373.99320000000006</v>
      </c>
      <c r="W472" s="399">
        <v>373.99320000000006</v>
      </c>
      <c r="X472" s="399">
        <v>326.45429999999999</v>
      </c>
      <c r="Y472" s="399">
        <v>0</v>
      </c>
      <c r="Z472" s="399">
        <v>49.585000863189265</v>
      </c>
      <c r="AA472" s="399">
        <v>0</v>
      </c>
      <c r="AB472" s="399">
        <v>0</v>
      </c>
      <c r="AC472" s="399">
        <v>0</v>
      </c>
      <c r="AD472" s="399">
        <v>0</v>
      </c>
      <c r="AE472" s="399">
        <v>157.54192059410002</v>
      </c>
      <c r="AF472" s="399">
        <v>103.76994760439823</v>
      </c>
      <c r="AG472" s="399">
        <v>0</v>
      </c>
      <c r="AH472" s="399">
        <v>0</v>
      </c>
      <c r="AI472" s="399">
        <v>0</v>
      </c>
      <c r="AJ472" s="399">
        <v>0</v>
      </c>
      <c r="AK472" s="399">
        <v>0</v>
      </c>
      <c r="AL472" s="399">
        <v>7.6576188346527729</v>
      </c>
      <c r="AM472" s="399"/>
      <c r="AN472" s="399">
        <v>0.69691420407412596</v>
      </c>
      <c r="AO472" s="399">
        <v>2.8155763364174868</v>
      </c>
      <c r="AP472" s="399">
        <v>15.019534821235647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10.990380377943028</v>
      </c>
      <c r="BH472" s="399">
        <v>0</v>
      </c>
      <c r="BI472" s="399">
        <v>0</v>
      </c>
      <c r="BJ472" s="399">
        <v>0</v>
      </c>
      <c r="BK472" s="399">
        <v>0</v>
      </c>
      <c r="BL472" s="399">
        <v>0</v>
      </c>
      <c r="BM472" s="399"/>
      <c r="BN472" s="399"/>
      <c r="BO472" s="399"/>
      <c r="BP472" s="399"/>
      <c r="BQ472" s="399"/>
      <c r="BR472" s="399">
        <v>39.179699999999997</v>
      </c>
      <c r="BS472" s="399"/>
      <c r="BT472" s="399"/>
      <c r="BU472" s="399"/>
      <c r="BV472" s="399">
        <v>114.76032798234125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287.27460000000002</v>
      </c>
      <c r="CJ472" s="399">
        <v>-41.87459999999993</v>
      </c>
      <c r="CK472" s="399"/>
      <c r="CL472" s="399"/>
      <c r="CM472" s="399"/>
      <c r="CN472" s="399"/>
      <c r="CO472" s="399">
        <v>-52.285500000000013</v>
      </c>
      <c r="CP472" s="399">
        <v>4.7465999999999884</v>
      </c>
      <c r="CQ472" s="399">
        <v>30</v>
      </c>
      <c r="CR472" s="399">
        <v>1.1673046850933986</v>
      </c>
      <c r="CS472" s="399">
        <v>0.20552527568581258</v>
      </c>
      <c r="CT472" s="399">
        <v>1.0963631121914528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0</v>
      </c>
      <c r="DA472" s="399">
        <v>0</v>
      </c>
      <c r="DB472" s="399">
        <v>0</v>
      </c>
      <c r="DC472" s="399">
        <v>4.7461417486114641</v>
      </c>
      <c r="DD472" s="399">
        <v>0</v>
      </c>
      <c r="DE472" s="399">
        <v>0</v>
      </c>
      <c r="DF472" s="399">
        <v>0</v>
      </c>
      <c r="DG472" s="399">
        <v>0.50266868538589193</v>
      </c>
      <c r="DH472" s="399">
        <v>0</v>
      </c>
      <c r="DI472" s="399">
        <v>-4.6903038679196243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-0.61143468156430547</v>
      </c>
      <c r="DP472" s="399">
        <v>-8.1655587297288057E-2</v>
      </c>
      <c r="DQ472" s="399">
        <v>0</v>
      </c>
      <c r="DR472" s="399">
        <v>0</v>
      </c>
      <c r="DS472" s="399"/>
      <c r="DT472" s="399"/>
      <c r="DU472" s="399"/>
      <c r="DV472" s="399">
        <v>157.54192059410002</v>
      </c>
      <c r="DW472" s="399">
        <v>0</v>
      </c>
      <c r="DX472" s="399">
        <v>0</v>
      </c>
      <c r="DY472" s="399">
        <v>-52.285500000000013</v>
      </c>
      <c r="DZ472" s="399">
        <v>4.7465999999999866</v>
      </c>
      <c r="EA472" s="399">
        <v>0</v>
      </c>
      <c r="EB472" s="399">
        <v>0</v>
      </c>
      <c r="EC472" s="399">
        <v>-48.712107560278056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25.918797026667296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230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471</v>
      </c>
      <c r="B473" s="399" t="s">
        <v>956</v>
      </c>
      <c r="C473" s="399" t="s">
        <v>2328</v>
      </c>
      <c r="D473" s="399" t="s">
        <v>2340</v>
      </c>
      <c r="E473" s="399" t="s">
        <v>894</v>
      </c>
      <c r="F473" s="399" t="s">
        <v>2350</v>
      </c>
      <c r="G473" s="399" t="s">
        <v>2349</v>
      </c>
      <c r="H473" s="399" t="s">
        <v>1239</v>
      </c>
      <c r="I473" s="399" t="s">
        <v>1239</v>
      </c>
      <c r="J473" s="399" t="s">
        <v>2329</v>
      </c>
      <c r="K473" s="789">
        <v>44713</v>
      </c>
      <c r="L473" s="399">
        <v>0</v>
      </c>
      <c r="M473" s="399">
        <v>0</v>
      </c>
      <c r="N473" s="399">
        <v>1.109</v>
      </c>
      <c r="O473" s="399">
        <v>0.44359999999999999</v>
      </c>
      <c r="P473" s="399">
        <v>1.109</v>
      </c>
      <c r="Q473" s="399">
        <v>0.44359999999999999</v>
      </c>
      <c r="R473" s="399"/>
      <c r="S473" s="399">
        <v>333.61</v>
      </c>
      <c r="T473" s="399">
        <v>128.11000000000001</v>
      </c>
      <c r="U473" s="399"/>
      <c r="V473" s="399">
        <v>512.04748000000006</v>
      </c>
      <c r="W473" s="399">
        <v>512.04748000000006</v>
      </c>
      <c r="X473" s="399">
        <v>446.96027000000004</v>
      </c>
      <c r="Y473" s="399">
        <v>0</v>
      </c>
      <c r="Z473" s="399">
        <v>67.888599947255415</v>
      </c>
      <c r="AA473" s="399">
        <v>0</v>
      </c>
      <c r="AB473" s="399">
        <v>0</v>
      </c>
      <c r="AC473" s="399">
        <v>0</v>
      </c>
      <c r="AD473" s="399">
        <v>0</v>
      </c>
      <c r="AE473" s="399">
        <v>215.696283875132</v>
      </c>
      <c r="AF473" s="399">
        <v>142.07515048552793</v>
      </c>
      <c r="AG473" s="399">
        <v>0</v>
      </c>
      <c r="AH473" s="399">
        <v>0</v>
      </c>
      <c r="AI473" s="399">
        <v>0</v>
      </c>
      <c r="AJ473" s="399">
        <v>0</v>
      </c>
      <c r="AK473" s="399">
        <v>0</v>
      </c>
      <c r="AL473" s="399">
        <v>10.484320108185091</v>
      </c>
      <c r="AM473" s="399"/>
      <c r="AN473" s="399">
        <v>0.95417018804716747</v>
      </c>
      <c r="AO473" s="399">
        <v>3.8549063667740651</v>
      </c>
      <c r="AP473" s="399">
        <v>20.563782860185594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15.047323258196071</v>
      </c>
      <c r="BH473" s="399">
        <v>0</v>
      </c>
      <c r="BI473" s="399">
        <v>0</v>
      </c>
      <c r="BJ473" s="399">
        <v>0</v>
      </c>
      <c r="BK473" s="399">
        <v>0</v>
      </c>
      <c r="BL473" s="399">
        <v>0</v>
      </c>
      <c r="BM473" s="399"/>
      <c r="BN473" s="399"/>
      <c r="BO473" s="399"/>
      <c r="BP473" s="399"/>
      <c r="BQ473" s="399"/>
      <c r="BR473" s="399"/>
      <c r="BS473" s="399">
        <v>289.63309400000003</v>
      </c>
      <c r="BT473" s="399"/>
      <c r="BU473" s="399"/>
      <c r="BV473" s="399">
        <v>157.12247374372399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156.05040000000002</v>
      </c>
      <c r="CJ473" s="399">
        <v>-24.223151999999942</v>
      </c>
      <c r="CK473" s="399"/>
      <c r="CL473" s="399"/>
      <c r="CM473" s="399"/>
      <c r="CN473" s="399"/>
      <c r="CO473" s="399">
        <v>-71.585950000000011</v>
      </c>
      <c r="CP473" s="399">
        <v>6.4987399999999838</v>
      </c>
      <c r="CQ473" s="399">
        <v>30</v>
      </c>
      <c r="CR473" s="399">
        <v>1.5981986367513628</v>
      </c>
      <c r="CS473" s="399">
        <v>0.28139201325378504</v>
      </c>
      <c r="CT473" s="399">
        <v>1.501069989407803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0</v>
      </c>
      <c r="DA473" s="399">
        <v>0</v>
      </c>
      <c r="DB473" s="399">
        <v>0</v>
      </c>
      <c r="DC473" s="399">
        <v>6.4981125916174278</v>
      </c>
      <c r="DD473" s="399">
        <v>0</v>
      </c>
      <c r="DE473" s="399">
        <v>0</v>
      </c>
      <c r="DF473" s="399">
        <v>0</v>
      </c>
      <c r="DG473" s="399">
        <v>0.68822169394191768</v>
      </c>
      <c r="DH473" s="399">
        <v>0</v>
      </c>
      <c r="DI473" s="399">
        <v>-6.421662950028221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-0.83713711340100438</v>
      </c>
      <c r="DP473" s="399">
        <v>-0.11179758804036111</v>
      </c>
      <c r="DQ473" s="399">
        <v>0</v>
      </c>
      <c r="DR473" s="399">
        <v>0</v>
      </c>
      <c r="DS473" s="399"/>
      <c r="DT473" s="399"/>
      <c r="DU473" s="399"/>
      <c r="DV473" s="399">
        <v>215.696283875132</v>
      </c>
      <c r="DW473" s="399">
        <v>0</v>
      </c>
      <c r="DX473" s="399">
        <v>0</v>
      </c>
      <c r="DY473" s="399">
        <v>-71.585950000000025</v>
      </c>
      <c r="DZ473" s="399">
        <v>6.498739999999998</v>
      </c>
      <c r="EA473" s="399">
        <v>0</v>
      </c>
      <c r="EB473" s="399">
        <v>0</v>
      </c>
      <c r="EC473" s="399">
        <v>-66.693490474504159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35.486352966140778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230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472</v>
      </c>
      <c r="B474" s="399" t="s">
        <v>956</v>
      </c>
      <c r="C474" s="399" t="s">
        <v>2328</v>
      </c>
      <c r="D474" s="399" t="s">
        <v>1823</v>
      </c>
      <c r="E474" s="399" t="s">
        <v>889</v>
      </c>
      <c r="F474" s="399" t="s">
        <v>889</v>
      </c>
      <c r="G474" s="399" t="s">
        <v>1239</v>
      </c>
      <c r="H474" s="399" t="s">
        <v>1239</v>
      </c>
      <c r="I474" s="399" t="s">
        <v>1239</v>
      </c>
      <c r="J474" s="399" t="s">
        <v>2329</v>
      </c>
      <c r="K474" s="789">
        <v>44743</v>
      </c>
      <c r="L474" s="399">
        <v>0</v>
      </c>
      <c r="M474" s="399">
        <v>0</v>
      </c>
      <c r="N474" s="399">
        <v>4603.3459999999995</v>
      </c>
      <c r="O474" s="399">
        <v>4603.3459999999995</v>
      </c>
      <c r="P474" s="399">
        <v>4603.3459999999995</v>
      </c>
      <c r="Q474" s="399">
        <v>4603.3459999999995</v>
      </c>
      <c r="R474" s="399"/>
      <c r="S474" s="399">
        <v>333.61</v>
      </c>
      <c r="T474" s="399">
        <v>128.11000000000001</v>
      </c>
      <c r="U474" s="399"/>
      <c r="V474" s="399">
        <v>2125456.91512</v>
      </c>
      <c r="W474" s="399">
        <v>2125456.91512</v>
      </c>
      <c r="X474" s="399">
        <v>1855286.5383799998</v>
      </c>
      <c r="Y474" s="399">
        <v>0</v>
      </c>
      <c r="Z474" s="399">
        <v>281798.66096735653</v>
      </c>
      <c r="AA474" s="399">
        <v>0</v>
      </c>
      <c r="AB474" s="399">
        <v>0</v>
      </c>
      <c r="AC474" s="399">
        <v>0</v>
      </c>
      <c r="AD474" s="399">
        <v>0</v>
      </c>
      <c r="AE474" s="399">
        <v>895333.29629526893</v>
      </c>
      <c r="AF474" s="399">
        <v>589739.4731171804</v>
      </c>
      <c r="AG474" s="399">
        <v>0</v>
      </c>
      <c r="AH474" s="399">
        <v>0</v>
      </c>
      <c r="AI474" s="399">
        <v>0</v>
      </c>
      <c r="AJ474" s="399">
        <v>0</v>
      </c>
      <c r="AK474" s="399">
        <v>0</v>
      </c>
      <c r="AL474" s="399">
        <v>43519.344483979628</v>
      </c>
      <c r="AM474" s="399"/>
      <c r="AN474" s="399">
        <v>3960.6632267503842</v>
      </c>
      <c r="AO474" s="399">
        <v>16001.323538200111</v>
      </c>
      <c r="AP474" s="399">
        <v>85358.167334809652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62459.905618867306</v>
      </c>
      <c r="BH474" s="399">
        <v>0</v>
      </c>
      <c r="BI474" s="399">
        <v>0</v>
      </c>
      <c r="BJ474" s="399">
        <v>0</v>
      </c>
      <c r="BK474" s="399">
        <v>305859.92</v>
      </c>
      <c r="BL474" s="399">
        <v>20670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>
        <v>652199.37873604766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1855288.1505</v>
      </c>
      <c r="CJ474" s="399">
        <v>-270168.79461999936</v>
      </c>
      <c r="CK474" s="399"/>
      <c r="CL474" s="399"/>
      <c r="CM474" s="399"/>
      <c r="CN474" s="399"/>
      <c r="CO474" s="399">
        <v>-297145.98430000001</v>
      </c>
      <c r="CP474" s="399">
        <v>26975.607559999928</v>
      </c>
      <c r="CQ474" s="399">
        <v>31</v>
      </c>
      <c r="CR474" s="399">
        <v>6633.9596949459519</v>
      </c>
      <c r="CS474" s="399">
        <v>1168.0295749718316</v>
      </c>
      <c r="CT474" s="399">
        <v>6230.7885766099644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0</v>
      </c>
      <c r="DA474" s="399">
        <v>0</v>
      </c>
      <c r="DB474" s="399">
        <v>0</v>
      </c>
      <c r="DC474" s="399">
        <v>26973.003251732793</v>
      </c>
      <c r="DD474" s="399">
        <v>0</v>
      </c>
      <c r="DE474" s="399">
        <v>0</v>
      </c>
      <c r="DF474" s="399">
        <v>0</v>
      </c>
      <c r="DG474" s="399">
        <v>2856.7381261683986</v>
      </c>
      <c r="DH474" s="399">
        <v>0</v>
      </c>
      <c r="DI474" s="399">
        <v>-26655.66857922505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-3474.8708588152076</v>
      </c>
      <c r="DP474" s="399">
        <v>-464.06039649706418</v>
      </c>
      <c r="DQ474" s="399">
        <v>0</v>
      </c>
      <c r="DR474" s="399">
        <v>0</v>
      </c>
      <c r="DS474" s="399"/>
      <c r="DT474" s="399"/>
      <c r="DU474" s="399"/>
      <c r="DV474" s="399">
        <v>895333.29629526893</v>
      </c>
      <c r="DW474" s="399">
        <v>0</v>
      </c>
      <c r="DX474" s="399">
        <v>0</v>
      </c>
      <c r="DY474" s="399">
        <v>-297145.98429999989</v>
      </c>
      <c r="DZ474" s="399">
        <v>26975.607560000033</v>
      </c>
      <c r="EA474" s="399">
        <v>0</v>
      </c>
      <c r="EB474" s="399">
        <v>0</v>
      </c>
      <c r="EC474" s="399">
        <v>-276837.88331996999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147300.23533027255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230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473</v>
      </c>
      <c r="B475" s="399" t="s">
        <v>2330</v>
      </c>
      <c r="C475" s="399" t="s">
        <v>2328</v>
      </c>
      <c r="D475" s="399" t="s">
        <v>1823</v>
      </c>
      <c r="E475" s="399" t="s">
        <v>889</v>
      </c>
      <c r="F475" s="399" t="s">
        <v>889</v>
      </c>
      <c r="G475" s="399" t="s">
        <v>1239</v>
      </c>
      <c r="H475" s="399" t="s">
        <v>1239</v>
      </c>
      <c r="I475" s="399" t="s">
        <v>1239</v>
      </c>
      <c r="J475" s="399" t="s">
        <v>2329</v>
      </c>
      <c r="K475" s="789">
        <v>44743</v>
      </c>
      <c r="L475" s="399">
        <v>0</v>
      </c>
      <c r="M475" s="399">
        <v>0</v>
      </c>
      <c r="N475" s="399">
        <v>-0.36699999999999999</v>
      </c>
      <c r="O475" s="399">
        <v>-0.36699999999999999</v>
      </c>
      <c r="P475" s="399">
        <v>-0.36699999999999999</v>
      </c>
      <c r="Q475" s="399">
        <v>-0.36699999999999999</v>
      </c>
      <c r="R475" s="399"/>
      <c r="S475" s="399">
        <v>333.61</v>
      </c>
      <c r="T475" s="399">
        <v>128.11000000000001</v>
      </c>
      <c r="U475" s="399"/>
      <c r="V475" s="399">
        <v>-169.45124000000001</v>
      </c>
      <c r="W475" s="399">
        <v>-169.45124000000001</v>
      </c>
      <c r="X475" s="399">
        <v>-147.91201000000001</v>
      </c>
      <c r="Y475" s="399">
        <v>0</v>
      </c>
      <c r="Z475" s="399">
        <v>-22.466290514556121</v>
      </c>
      <c r="AA475" s="399">
        <v>0</v>
      </c>
      <c r="AB475" s="399">
        <v>0</v>
      </c>
      <c r="AC475" s="399">
        <v>0</v>
      </c>
      <c r="AD475" s="399">
        <v>0</v>
      </c>
      <c r="AE475" s="399">
        <v>-71.380104763005804</v>
      </c>
      <c r="AF475" s="399">
        <v>-47.016754038042158</v>
      </c>
      <c r="AG475" s="399">
        <v>0</v>
      </c>
      <c r="AH475" s="399">
        <v>0</v>
      </c>
      <c r="AI475" s="399">
        <v>0</v>
      </c>
      <c r="AJ475" s="399">
        <v>0</v>
      </c>
      <c r="AK475" s="399">
        <v>0</v>
      </c>
      <c r="AL475" s="399">
        <v>-3.4695631016266266</v>
      </c>
      <c r="AM475" s="399"/>
      <c r="AN475" s="399">
        <v>-0.31576236159901755</v>
      </c>
      <c r="AO475" s="399">
        <v>-1.2756994018089105</v>
      </c>
      <c r="AP475" s="399">
        <v>-6.8051472585104715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-4.9795920971667789</v>
      </c>
      <c r="BH475" s="399">
        <v>0</v>
      </c>
      <c r="BI475" s="399">
        <v>0</v>
      </c>
      <c r="BJ475" s="399">
        <v>0</v>
      </c>
      <c r="BK475" s="399">
        <v>-51.89</v>
      </c>
      <c r="BL475" s="399">
        <v>0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>
        <v>-51.996346135208938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-149.12110000000001</v>
      </c>
      <c r="CJ475" s="399">
        <v>20.300139999999999</v>
      </c>
      <c r="CK475" s="399"/>
      <c r="CL475" s="399"/>
      <c r="CM475" s="399"/>
      <c r="CN475" s="399"/>
      <c r="CO475" s="399">
        <v>23.689850000000003</v>
      </c>
      <c r="CP475" s="399">
        <v>-2.1506199999999946</v>
      </c>
      <c r="CQ475" s="399">
        <v>31</v>
      </c>
      <c r="CR475" s="399">
        <v>-0.52888990052998963</v>
      </c>
      <c r="CS475" s="399">
        <v>-9.3120711329250927E-2</v>
      </c>
      <c r="CT475" s="399">
        <v>-0.49674723725217618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0</v>
      </c>
      <c r="DA475" s="399">
        <v>0</v>
      </c>
      <c r="DB475" s="399">
        <v>0</v>
      </c>
      <c r="DC475" s="399">
        <v>-2.1504123725190212</v>
      </c>
      <c r="DD475" s="399">
        <v>0</v>
      </c>
      <c r="DE475" s="399">
        <v>0</v>
      </c>
      <c r="DF475" s="399">
        <v>0</v>
      </c>
      <c r="DG475" s="399">
        <v>-0.22775235498348412</v>
      </c>
      <c r="DH475" s="399">
        <v>0</v>
      </c>
      <c r="DI475" s="399">
        <v>2.1251129870697554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0.27703275078283962</v>
      </c>
      <c r="DP475" s="399">
        <v>3.6997037701363866E-2</v>
      </c>
      <c r="DQ475" s="399">
        <v>0</v>
      </c>
      <c r="DR475" s="399">
        <v>0</v>
      </c>
      <c r="DS475" s="399"/>
      <c r="DT475" s="399"/>
      <c r="DU475" s="399"/>
      <c r="DV475" s="399">
        <v>-71.380104763005804</v>
      </c>
      <c r="DW475" s="399">
        <v>0</v>
      </c>
      <c r="DX475" s="399">
        <v>0</v>
      </c>
      <c r="DY475" s="399">
        <v>23.689850000000007</v>
      </c>
      <c r="DZ475" s="399">
        <v>-2.1506199999999964</v>
      </c>
      <c r="EA475" s="399">
        <v>0</v>
      </c>
      <c r="EB475" s="399">
        <v>0</v>
      </c>
      <c r="EC475" s="399">
        <v>22.070794413113639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-11.743454949119625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230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474</v>
      </c>
      <c r="B476" s="399" t="s">
        <v>2331</v>
      </c>
      <c r="C476" s="399" t="s">
        <v>2328</v>
      </c>
      <c r="D476" s="399" t="s">
        <v>1823</v>
      </c>
      <c r="E476" s="399" t="s">
        <v>889</v>
      </c>
      <c r="F476" s="399" t="s">
        <v>889</v>
      </c>
      <c r="G476" s="399" t="s">
        <v>1239</v>
      </c>
      <c r="H476" s="399" t="s">
        <v>1239</v>
      </c>
      <c r="I476" s="399" t="s">
        <v>1239</v>
      </c>
      <c r="J476" s="399" t="s">
        <v>2329</v>
      </c>
      <c r="K476" s="789">
        <v>44743</v>
      </c>
      <c r="L476" s="399">
        <v>0</v>
      </c>
      <c r="M476" s="399">
        <v>0</v>
      </c>
      <c r="N476" s="399">
        <v>39.75</v>
      </c>
      <c r="O476" s="399">
        <v>39.75</v>
      </c>
      <c r="P476" s="399">
        <v>39.75</v>
      </c>
      <c r="Q476" s="399">
        <v>39.75</v>
      </c>
      <c r="R476" s="399"/>
      <c r="S476" s="399">
        <v>333.61</v>
      </c>
      <c r="T476" s="399">
        <v>128.11000000000001</v>
      </c>
      <c r="U476" s="399"/>
      <c r="V476" s="399">
        <v>18353.370000000003</v>
      </c>
      <c r="W476" s="399">
        <v>18353.370000000003</v>
      </c>
      <c r="X476" s="399">
        <v>16020.442500000001</v>
      </c>
      <c r="Y476" s="399">
        <v>0</v>
      </c>
      <c r="Z476" s="399">
        <v>2433.3380053231767</v>
      </c>
      <c r="AA476" s="399">
        <v>0</v>
      </c>
      <c r="AB476" s="399">
        <v>0</v>
      </c>
      <c r="AC476" s="399">
        <v>0</v>
      </c>
      <c r="AD476" s="399">
        <v>0</v>
      </c>
      <c r="AE476" s="399">
        <v>7731.2238810067602</v>
      </c>
      <c r="AF476" s="399">
        <v>5092.4140954010236</v>
      </c>
      <c r="AG476" s="399">
        <v>0</v>
      </c>
      <c r="AH476" s="399">
        <v>0</v>
      </c>
      <c r="AI476" s="399">
        <v>0</v>
      </c>
      <c r="AJ476" s="399">
        <v>0</v>
      </c>
      <c r="AK476" s="399">
        <v>0</v>
      </c>
      <c r="AL476" s="399">
        <v>375.79055392277496</v>
      </c>
      <c r="AM476" s="399"/>
      <c r="AN476" s="399">
        <v>34.200419274008034</v>
      </c>
      <c r="AO476" s="399">
        <v>138.17180169456185</v>
      </c>
      <c r="AP476" s="399">
        <v>737.06976437545291</v>
      </c>
      <c r="AQ476" s="399">
        <v>0</v>
      </c>
      <c r="AR476" s="399">
        <v>0</v>
      </c>
      <c r="AS476" s="399">
        <v>0</v>
      </c>
      <c r="AT476" s="399">
        <v>0</v>
      </c>
      <c r="AU476" s="399">
        <v>0</v>
      </c>
      <c r="AV476" s="399">
        <v>0</v>
      </c>
      <c r="AW476" s="399">
        <v>0</v>
      </c>
      <c r="AX476" s="399">
        <v>0</v>
      </c>
      <c r="AY476" s="399">
        <v>0</v>
      </c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>
        <v>0</v>
      </c>
      <c r="BG476" s="399">
        <v>539.34274076942631</v>
      </c>
      <c r="BH476" s="399">
        <v>0</v>
      </c>
      <c r="BI476" s="399">
        <v>0</v>
      </c>
      <c r="BJ476" s="399">
        <v>0</v>
      </c>
      <c r="BK476" s="399">
        <v>4945.71</v>
      </c>
      <c r="BL476" s="399">
        <v>92</v>
      </c>
      <c r="BM476" s="399"/>
      <c r="BN476" s="399"/>
      <c r="BO476" s="399"/>
      <c r="BP476" s="399"/>
      <c r="BQ476" s="399"/>
      <c r="BR476" s="399"/>
      <c r="BS476" s="399"/>
      <c r="BT476" s="399"/>
      <c r="BU476" s="399"/>
      <c r="BV476" s="399">
        <v>5631.7568361704498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16020.442500000001</v>
      </c>
      <c r="CJ476" s="399">
        <v>-2332.9575000000004</v>
      </c>
      <c r="CK476" s="399"/>
      <c r="CL476" s="399"/>
      <c r="CM476" s="399"/>
      <c r="CN476" s="399"/>
      <c r="CO476" s="399">
        <v>-2565.8625000000006</v>
      </c>
      <c r="CP476" s="399">
        <v>232.93499999999941</v>
      </c>
      <c r="CQ476" s="399">
        <v>31</v>
      </c>
      <c r="CR476" s="399">
        <v>57.284396583287162</v>
      </c>
      <c r="CS476" s="399">
        <v>10.085962603100057</v>
      </c>
      <c r="CT476" s="399">
        <v>53.803004579765684</v>
      </c>
      <c r="CU476" s="399">
        <v>0</v>
      </c>
      <c r="CV476" s="399">
        <v>0</v>
      </c>
      <c r="CW476" s="399">
        <v>0</v>
      </c>
      <c r="CX476" s="399">
        <v>0</v>
      </c>
      <c r="CY476" s="399">
        <v>0</v>
      </c>
      <c r="CZ476" s="399">
        <v>0</v>
      </c>
      <c r="DA476" s="399">
        <v>0</v>
      </c>
      <c r="DB476" s="399">
        <v>0</v>
      </c>
      <c r="DC476" s="399">
        <v>232.91251173741512</v>
      </c>
      <c r="DD476" s="399">
        <v>0</v>
      </c>
      <c r="DE476" s="399">
        <v>0</v>
      </c>
      <c r="DF476" s="399">
        <v>0</v>
      </c>
      <c r="DG476" s="399">
        <v>24.668000301344705</v>
      </c>
      <c r="DH476" s="399">
        <v>0</v>
      </c>
      <c r="DI476" s="399">
        <v>-230.17231944420382</v>
      </c>
      <c r="DJ476" s="399"/>
      <c r="DK476" s="399">
        <v>0</v>
      </c>
      <c r="DL476" s="399">
        <v>0</v>
      </c>
      <c r="DM476" s="399">
        <v>0</v>
      </c>
      <c r="DN476" s="399">
        <v>0</v>
      </c>
      <c r="DO476" s="399">
        <v>-30.005590854544607</v>
      </c>
      <c r="DP476" s="399">
        <v>-4.0071723395891397</v>
      </c>
      <c r="DQ476" s="399">
        <v>0</v>
      </c>
      <c r="DR476" s="399">
        <v>0</v>
      </c>
      <c r="DS476" s="399"/>
      <c r="DT476" s="399"/>
      <c r="DU476" s="399"/>
      <c r="DV476" s="399">
        <v>7731.2238810067602</v>
      </c>
      <c r="DW476" s="399">
        <v>0</v>
      </c>
      <c r="DX476" s="399">
        <v>0</v>
      </c>
      <c r="DY476" s="399">
        <v>-2565.8625000000011</v>
      </c>
      <c r="DZ476" s="399">
        <v>232.93499999999949</v>
      </c>
      <c r="EA476" s="399">
        <v>0</v>
      </c>
      <c r="EB476" s="399">
        <v>0</v>
      </c>
      <c r="EC476" s="399">
        <v>-2390.5015747173493</v>
      </c>
      <c r="ED476" s="399">
        <v>0</v>
      </c>
      <c r="EE476" s="399">
        <v>0</v>
      </c>
      <c r="EF476" s="399">
        <v>0</v>
      </c>
      <c r="EG476" s="399">
        <v>0</v>
      </c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>
        <v>0</v>
      </c>
      <c r="EN476" s="399">
        <v>0</v>
      </c>
      <c r="EO476" s="399">
        <v>0</v>
      </c>
      <c r="EP476" s="399">
        <v>1271.9409651975616</v>
      </c>
      <c r="EQ476" s="399">
        <v>0</v>
      </c>
      <c r="ER476" s="399">
        <v>0</v>
      </c>
      <c r="ES476" s="399">
        <v>0</v>
      </c>
      <c r="ET476" s="399">
        <v>0</v>
      </c>
      <c r="EU476" s="399">
        <v>0</v>
      </c>
      <c r="EV476" s="399">
        <v>230</v>
      </c>
      <c r="EW476" s="399">
        <v>0</v>
      </c>
      <c r="EX476" s="399">
        <v>0</v>
      </c>
      <c r="EY476" s="399">
        <v>0</v>
      </c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475</v>
      </c>
      <c r="B477" s="399" t="s">
        <v>956</v>
      </c>
      <c r="C477" s="399" t="s">
        <v>2328</v>
      </c>
      <c r="D477" s="399" t="s">
        <v>1823</v>
      </c>
      <c r="E477" s="399" t="s">
        <v>889</v>
      </c>
      <c r="F477" s="399" t="s">
        <v>2332</v>
      </c>
      <c r="G477" s="399" t="s">
        <v>1239</v>
      </c>
      <c r="H477" s="399" t="s">
        <v>1239</v>
      </c>
      <c r="I477" s="399" t="s">
        <v>1239</v>
      </c>
      <c r="J477" s="399" t="s">
        <v>2329</v>
      </c>
      <c r="K477" s="789">
        <v>44743</v>
      </c>
      <c r="L477" s="399">
        <v>0</v>
      </c>
      <c r="M477" s="399">
        <v>0</v>
      </c>
      <c r="N477" s="399">
        <v>21.09</v>
      </c>
      <c r="O477" s="399">
        <v>21.09</v>
      </c>
      <c r="P477" s="399">
        <v>21.09</v>
      </c>
      <c r="Q477" s="399">
        <v>21.09</v>
      </c>
      <c r="R477" s="399"/>
      <c r="S477" s="399">
        <v>230.94</v>
      </c>
      <c r="T477" s="399">
        <v>128.11000000000001</v>
      </c>
      <c r="U477" s="399"/>
      <c r="V477" s="399">
        <v>7572.3644999999997</v>
      </c>
      <c r="W477" s="399">
        <v>7572.3644999999997</v>
      </c>
      <c r="X477" s="399">
        <v>6472.5209999999997</v>
      </c>
      <c r="Y477" s="399">
        <v>0</v>
      </c>
      <c r="Z477" s="399">
        <v>0</v>
      </c>
      <c r="AA477" s="399">
        <v>0</v>
      </c>
      <c r="AB477" s="399">
        <v>0</v>
      </c>
      <c r="AC477" s="399">
        <v>0</v>
      </c>
      <c r="AD477" s="399">
        <v>0</v>
      </c>
      <c r="AE477" s="399">
        <v>4101.9248213945302</v>
      </c>
      <c r="AF477" s="399">
        <v>2701.8619691071094</v>
      </c>
      <c r="AG477" s="399">
        <v>0</v>
      </c>
      <c r="AH477" s="399">
        <v>0</v>
      </c>
      <c r="AI477" s="399">
        <v>0</v>
      </c>
      <c r="AJ477" s="399">
        <v>0</v>
      </c>
      <c r="AK477" s="399">
        <v>0</v>
      </c>
      <c r="AL477" s="399">
        <v>0</v>
      </c>
      <c r="AM477" s="399"/>
      <c r="AN477" s="399">
        <v>18.145580943115206</v>
      </c>
      <c r="AO477" s="399">
        <v>73.309265351907143</v>
      </c>
      <c r="AP477" s="399">
        <v>391.06418441957993</v>
      </c>
      <c r="AQ477" s="399">
        <v>0</v>
      </c>
      <c r="AR477" s="399">
        <v>0</v>
      </c>
      <c r="AS477" s="399">
        <v>0</v>
      </c>
      <c r="AT477" s="399">
        <v>0</v>
      </c>
      <c r="AU477" s="399">
        <v>0</v>
      </c>
      <c r="AV477" s="399">
        <v>0</v>
      </c>
      <c r="AW477" s="399">
        <v>0</v>
      </c>
      <c r="AX477" s="399">
        <v>0</v>
      </c>
      <c r="AY477" s="399">
        <v>0</v>
      </c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>
        <v>0</v>
      </c>
      <c r="BG477" s="399">
        <v>286.15694095162769</v>
      </c>
      <c r="BH477" s="399">
        <v>0</v>
      </c>
      <c r="BI477" s="399">
        <v>0</v>
      </c>
      <c r="BJ477" s="399">
        <v>0</v>
      </c>
      <c r="BK477" s="399">
        <v>309.32</v>
      </c>
      <c r="BL477" s="399">
        <v>21</v>
      </c>
      <c r="BM477" s="399"/>
      <c r="BN477" s="399"/>
      <c r="BO477" s="399"/>
      <c r="BP477" s="399"/>
      <c r="BQ477" s="399"/>
      <c r="BR477" s="399"/>
      <c r="BS477" s="399"/>
      <c r="BT477" s="399">
        <v>4207.0331999999999</v>
      </c>
      <c r="BU477" s="399"/>
      <c r="BV477" s="399">
        <v>2988.0189100587372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2265.4877999999999</v>
      </c>
      <c r="CJ477" s="399">
        <v>-384.92250000000058</v>
      </c>
      <c r="CK477" s="399"/>
      <c r="CL477" s="399"/>
      <c r="CM477" s="399"/>
      <c r="CN477" s="399"/>
      <c r="CO477" s="399">
        <v>-1223.4308999999998</v>
      </c>
      <c r="CP477" s="399">
        <v>123.58739999999969</v>
      </c>
      <c r="CQ477" s="399">
        <v>31</v>
      </c>
      <c r="CR477" s="399">
        <v>168.43471829288364</v>
      </c>
      <c r="CS477" s="399">
        <v>5.3512692150787586</v>
      </c>
      <c r="CT477" s="399">
        <v>28.546046958170052</v>
      </c>
      <c r="CU477" s="399">
        <v>0</v>
      </c>
      <c r="CV477" s="399">
        <v>0</v>
      </c>
      <c r="CW477" s="399">
        <v>0</v>
      </c>
      <c r="CX477" s="399">
        <v>0</v>
      </c>
      <c r="CY477" s="399">
        <v>0</v>
      </c>
      <c r="CZ477" s="399">
        <v>0</v>
      </c>
      <c r="DA477" s="399">
        <v>0</v>
      </c>
      <c r="DB477" s="399">
        <v>0</v>
      </c>
      <c r="DC477" s="399">
        <v>123.57546849162418</v>
      </c>
      <c r="DD477" s="399">
        <v>0</v>
      </c>
      <c r="DE477" s="399">
        <v>0</v>
      </c>
      <c r="DF477" s="399">
        <v>0</v>
      </c>
      <c r="DG477" s="399">
        <v>13.088003178751194</v>
      </c>
      <c r="DH477" s="399">
        <v>0</v>
      </c>
      <c r="DI477" s="399">
        <v>0</v>
      </c>
      <c r="DJ477" s="399"/>
      <c r="DK477" s="399">
        <v>0</v>
      </c>
      <c r="DL477" s="399">
        <v>0</v>
      </c>
      <c r="DM477" s="399">
        <v>0</v>
      </c>
      <c r="DN477" s="399">
        <v>0</v>
      </c>
      <c r="DO477" s="399">
        <v>0</v>
      </c>
      <c r="DP477" s="399">
        <v>-2.1260695507405032</v>
      </c>
      <c r="DQ477" s="399">
        <v>0</v>
      </c>
      <c r="DR477" s="399">
        <v>0</v>
      </c>
      <c r="DS477" s="399"/>
      <c r="DT477" s="399"/>
      <c r="DU477" s="399"/>
      <c r="DV477" s="399">
        <v>4101.9248213945302</v>
      </c>
      <c r="DW477" s="399">
        <v>0</v>
      </c>
      <c r="DX477" s="399">
        <v>0</v>
      </c>
      <c r="DY477" s="399">
        <v>-1223.4308999999998</v>
      </c>
      <c r="DZ477" s="399">
        <v>123.58739999999943</v>
      </c>
      <c r="EA477" s="399">
        <v>0</v>
      </c>
      <c r="EB477" s="399">
        <v>0</v>
      </c>
      <c r="EC477" s="399">
        <v>-1268.3189486990918</v>
      </c>
      <c r="ED477" s="399">
        <v>0</v>
      </c>
      <c r="EE477" s="399">
        <v>0</v>
      </c>
      <c r="EF477" s="399">
        <v>0</v>
      </c>
      <c r="EG477" s="399">
        <v>0</v>
      </c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>
        <v>0</v>
      </c>
      <c r="EN477" s="399">
        <v>0</v>
      </c>
      <c r="EO477" s="399">
        <v>0</v>
      </c>
      <c r="EP477" s="399">
        <v>0</v>
      </c>
      <c r="EQ477" s="399">
        <v>0</v>
      </c>
      <c r="ER477" s="399">
        <v>0</v>
      </c>
      <c r="ES477" s="399">
        <v>0</v>
      </c>
      <c r="ET477" s="399">
        <v>0</v>
      </c>
      <c r="EU477" s="399">
        <v>0</v>
      </c>
      <c r="EV477" s="399">
        <v>230</v>
      </c>
      <c r="EW477" s="399">
        <v>0</v>
      </c>
      <c r="EX477" s="399">
        <v>0</v>
      </c>
      <c r="EY477" s="399">
        <v>0</v>
      </c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476</v>
      </c>
      <c r="B478" s="399" t="s">
        <v>956</v>
      </c>
      <c r="C478" s="399" t="s">
        <v>2328</v>
      </c>
      <c r="D478" s="399" t="s">
        <v>1823</v>
      </c>
      <c r="E478" s="399" t="s">
        <v>889</v>
      </c>
      <c r="F478" s="399" t="s">
        <v>2333</v>
      </c>
      <c r="G478" s="399" t="s">
        <v>1239</v>
      </c>
      <c r="H478" s="399" t="s">
        <v>1239</v>
      </c>
      <c r="I478" s="399" t="s">
        <v>1239</v>
      </c>
      <c r="J478" s="399" t="s">
        <v>2329</v>
      </c>
      <c r="K478" s="789">
        <v>44743</v>
      </c>
      <c r="L478" s="399">
        <v>0</v>
      </c>
      <c r="M478" s="399">
        <v>0</v>
      </c>
      <c r="N478" s="399">
        <v>44.747999999999998</v>
      </c>
      <c r="O478" s="399">
        <v>44.747999999999998</v>
      </c>
      <c r="P478" s="399">
        <v>44.747999999999998</v>
      </c>
      <c r="Q478" s="399">
        <v>44.747999999999998</v>
      </c>
      <c r="R478" s="399"/>
      <c r="S478" s="399">
        <v>230.94</v>
      </c>
      <c r="T478" s="399">
        <v>128.11000000000001</v>
      </c>
      <c r="U478" s="399"/>
      <c r="V478" s="399">
        <v>16066.769400000001</v>
      </c>
      <c r="W478" s="399">
        <v>16066.769400000001</v>
      </c>
      <c r="X478" s="399">
        <v>13733.161199999999</v>
      </c>
      <c r="Y478" s="399">
        <v>0</v>
      </c>
      <c r="Z478" s="399">
        <v>0</v>
      </c>
      <c r="AA478" s="399">
        <v>0</v>
      </c>
      <c r="AB478" s="399">
        <v>0</v>
      </c>
      <c r="AC478" s="399">
        <v>0</v>
      </c>
      <c r="AD478" s="399">
        <v>0</v>
      </c>
      <c r="AE478" s="399">
        <v>8703.3158799318353</v>
      </c>
      <c r="AF478" s="399">
        <v>5732.713105434088</v>
      </c>
      <c r="AG478" s="399">
        <v>0</v>
      </c>
      <c r="AH478" s="399">
        <v>0</v>
      </c>
      <c r="AI478" s="399">
        <v>0</v>
      </c>
      <c r="AJ478" s="399">
        <v>0</v>
      </c>
      <c r="AK478" s="399">
        <v>0</v>
      </c>
      <c r="AL478" s="399">
        <v>0</v>
      </c>
      <c r="AM478" s="399"/>
      <c r="AN478" s="399">
        <v>38.500638029517269</v>
      </c>
      <c r="AO478" s="399">
        <v>155.54495049630825</v>
      </c>
      <c r="AP478" s="399">
        <v>829.74585701315141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607.15745821258588</v>
      </c>
      <c r="BH478" s="399">
        <v>0</v>
      </c>
      <c r="BI478" s="399">
        <v>0</v>
      </c>
      <c r="BJ478" s="399">
        <v>0</v>
      </c>
      <c r="BK478" s="399">
        <v>1124.94</v>
      </c>
      <c r="BL478" s="399">
        <v>109</v>
      </c>
      <c r="BM478" s="399"/>
      <c r="BN478" s="399"/>
      <c r="BO478" s="399"/>
      <c r="BP478" s="399"/>
      <c r="BQ478" s="399"/>
      <c r="BR478" s="399"/>
      <c r="BS478" s="399"/>
      <c r="BT478" s="399">
        <v>5493.2644799999998</v>
      </c>
      <c r="BU478" s="399"/>
      <c r="BV478" s="399">
        <v>6339.8705636466739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8240.2649999999994</v>
      </c>
      <c r="CJ478" s="399">
        <v>-1400.27412</v>
      </c>
      <c r="CK478" s="399"/>
      <c r="CL478" s="399"/>
      <c r="CM478" s="399"/>
      <c r="CN478" s="399"/>
      <c r="CO478" s="399">
        <v>-2595.8314799999994</v>
      </c>
      <c r="CP478" s="399">
        <v>262.22327999999931</v>
      </c>
      <c r="CQ478" s="399">
        <v>31</v>
      </c>
      <c r="CR478" s="399">
        <v>357.37869958131796</v>
      </c>
      <c r="CS478" s="399">
        <v>11.354129674554002</v>
      </c>
      <c r="CT478" s="399">
        <v>60.567971042398767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0</v>
      </c>
      <c r="DA478" s="399">
        <v>0</v>
      </c>
      <c r="DB478" s="399">
        <v>0</v>
      </c>
      <c r="DC478" s="399">
        <v>262.19796415662495</v>
      </c>
      <c r="DD478" s="399">
        <v>0</v>
      </c>
      <c r="DE478" s="399">
        <v>0</v>
      </c>
      <c r="DF478" s="399">
        <v>0</v>
      </c>
      <c r="DG478" s="399">
        <v>27.76965226376285</v>
      </c>
      <c r="DH478" s="399">
        <v>0</v>
      </c>
      <c r="DI478" s="399">
        <v>0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0</v>
      </c>
      <c r="DP478" s="399">
        <v>-4.5110175560235177</v>
      </c>
      <c r="DQ478" s="399">
        <v>0</v>
      </c>
      <c r="DR478" s="399">
        <v>0</v>
      </c>
      <c r="DS478" s="399"/>
      <c r="DT478" s="399"/>
      <c r="DU478" s="399"/>
      <c r="DV478" s="399">
        <v>8703.3158799318353</v>
      </c>
      <c r="DW478" s="399">
        <v>0</v>
      </c>
      <c r="DX478" s="399">
        <v>0</v>
      </c>
      <c r="DY478" s="399">
        <v>-2595.8314799999998</v>
      </c>
      <c r="DZ478" s="399">
        <v>262.22327999999925</v>
      </c>
      <c r="EA478" s="399">
        <v>0</v>
      </c>
      <c r="EB478" s="399">
        <v>0</v>
      </c>
      <c r="EC478" s="399">
        <v>-2691.0733198855833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230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477</v>
      </c>
      <c r="B479" s="399" t="s">
        <v>956</v>
      </c>
      <c r="C479" s="399" t="s">
        <v>2328</v>
      </c>
      <c r="D479" s="399" t="s">
        <v>1823</v>
      </c>
      <c r="E479" s="399" t="s">
        <v>889</v>
      </c>
      <c r="F479" s="399" t="s">
        <v>2334</v>
      </c>
      <c r="G479" s="399" t="s">
        <v>1239</v>
      </c>
      <c r="H479" s="399" t="s">
        <v>1239</v>
      </c>
      <c r="I479" s="399" t="s">
        <v>1239</v>
      </c>
      <c r="J479" s="399" t="s">
        <v>2329</v>
      </c>
      <c r="K479" s="789">
        <v>44743</v>
      </c>
      <c r="L479" s="399">
        <v>0</v>
      </c>
      <c r="M479" s="399">
        <v>0</v>
      </c>
      <c r="N479" s="399">
        <v>48.317999999999998</v>
      </c>
      <c r="O479" s="399">
        <v>48.317999999999998</v>
      </c>
      <c r="P479" s="399">
        <v>48.317999999999998</v>
      </c>
      <c r="Q479" s="399">
        <v>48.317999999999998</v>
      </c>
      <c r="R479" s="399"/>
      <c r="S479" s="399">
        <v>230.94</v>
      </c>
      <c r="T479" s="399">
        <v>128.11000000000001</v>
      </c>
      <c r="U479" s="399"/>
      <c r="V479" s="399">
        <v>17348.5779</v>
      </c>
      <c r="W479" s="399">
        <v>17348.5779</v>
      </c>
      <c r="X479" s="399">
        <v>14828.7942</v>
      </c>
      <c r="Y479" s="399">
        <v>0</v>
      </c>
      <c r="Z479" s="399">
        <v>0</v>
      </c>
      <c r="AA479" s="399">
        <v>0</v>
      </c>
      <c r="AB479" s="399">
        <v>0</v>
      </c>
      <c r="AC479" s="399">
        <v>0</v>
      </c>
      <c r="AD479" s="399">
        <v>0</v>
      </c>
      <c r="AE479" s="399">
        <v>9397.6673077354626</v>
      </c>
      <c r="AF479" s="399">
        <v>6190.0695411719917</v>
      </c>
      <c r="AG479" s="399">
        <v>0</v>
      </c>
      <c r="AH479" s="399">
        <v>0</v>
      </c>
      <c r="AI479" s="399">
        <v>0</v>
      </c>
      <c r="AJ479" s="399">
        <v>0</v>
      </c>
      <c r="AK479" s="399">
        <v>0</v>
      </c>
      <c r="AL479" s="399">
        <v>0</v>
      </c>
      <c r="AM479" s="399"/>
      <c r="AN479" s="399">
        <v>41.572222854881005</v>
      </c>
      <c r="AO479" s="399">
        <v>167.9543424975557</v>
      </c>
      <c r="AP479" s="399">
        <v>895.94306604007886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655.59654210055703</v>
      </c>
      <c r="BH479" s="399">
        <v>0</v>
      </c>
      <c r="BI479" s="399">
        <v>0</v>
      </c>
      <c r="BJ479" s="399">
        <v>0</v>
      </c>
      <c r="BK479" s="399">
        <v>2257.4299999999998</v>
      </c>
      <c r="BL479" s="399">
        <v>332</v>
      </c>
      <c r="BM479" s="399"/>
      <c r="BN479" s="399"/>
      <c r="BO479" s="399"/>
      <c r="BP479" s="399"/>
      <c r="BQ479" s="399"/>
      <c r="BR479" s="399"/>
      <c r="BS479" s="399"/>
      <c r="BT479" s="399">
        <v>1482.8794200000011</v>
      </c>
      <c r="BU479" s="399"/>
      <c r="BV479" s="399">
        <v>6845.6660832725483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13346.467199999999</v>
      </c>
      <c r="CJ479" s="399">
        <v>-2267.5244999999995</v>
      </c>
      <c r="CK479" s="399"/>
      <c r="CL479" s="399"/>
      <c r="CM479" s="399"/>
      <c r="CN479" s="399"/>
      <c r="CO479" s="399">
        <v>-2802.9271799999992</v>
      </c>
      <c r="CP479" s="399">
        <v>283.14347999999927</v>
      </c>
      <c r="CQ479" s="399">
        <v>31</v>
      </c>
      <c r="CR479" s="399">
        <v>385.8904086522316</v>
      </c>
      <c r="CS479" s="399">
        <v>12.259963297021102</v>
      </c>
      <c r="CT479" s="399">
        <v>65.400089944279671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0</v>
      </c>
      <c r="DA479" s="399">
        <v>0</v>
      </c>
      <c r="DB479" s="399">
        <v>0</v>
      </c>
      <c r="DC479" s="399">
        <v>283.11614445606028</v>
      </c>
      <c r="DD479" s="399">
        <v>0</v>
      </c>
      <c r="DE479" s="399">
        <v>0</v>
      </c>
      <c r="DF479" s="399">
        <v>0</v>
      </c>
      <c r="DG479" s="399">
        <v>29.985117951204302</v>
      </c>
      <c r="DH479" s="399">
        <v>0</v>
      </c>
      <c r="DI479" s="399">
        <v>0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0</v>
      </c>
      <c r="DP479" s="399">
        <v>-4.8709069963337868</v>
      </c>
      <c r="DQ479" s="399">
        <v>0</v>
      </c>
      <c r="DR479" s="399">
        <v>0</v>
      </c>
      <c r="DS479" s="399"/>
      <c r="DT479" s="399"/>
      <c r="DU479" s="399"/>
      <c r="DV479" s="399">
        <v>9397.6673077354626</v>
      </c>
      <c r="DW479" s="399">
        <v>0</v>
      </c>
      <c r="DX479" s="399">
        <v>0</v>
      </c>
      <c r="DY479" s="399">
        <v>-2802.9271799999988</v>
      </c>
      <c r="DZ479" s="399">
        <v>283.14347999999882</v>
      </c>
      <c r="EA479" s="399">
        <v>0</v>
      </c>
      <c r="EB479" s="399">
        <v>0</v>
      </c>
      <c r="EC479" s="399">
        <v>-2905.7674235771801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230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478</v>
      </c>
      <c r="B480" s="399" t="s">
        <v>956</v>
      </c>
      <c r="C480" s="399" t="s">
        <v>2328</v>
      </c>
      <c r="D480" s="399" t="s">
        <v>1823</v>
      </c>
      <c r="E480" s="399" t="s">
        <v>889</v>
      </c>
      <c r="F480" s="399" t="s">
        <v>2335</v>
      </c>
      <c r="G480" s="399" t="s">
        <v>1239</v>
      </c>
      <c r="H480" s="399" t="s">
        <v>1239</v>
      </c>
      <c r="I480" s="399" t="s">
        <v>1239</v>
      </c>
      <c r="J480" s="399" t="s">
        <v>2329</v>
      </c>
      <c r="K480" s="789">
        <v>44743</v>
      </c>
      <c r="L480" s="399">
        <v>0</v>
      </c>
      <c r="M480" s="399">
        <v>0</v>
      </c>
      <c r="N480" s="399">
        <v>24.925999999999998</v>
      </c>
      <c r="O480" s="399">
        <v>24.925999999999998</v>
      </c>
      <c r="P480" s="399">
        <v>24.925999999999998</v>
      </c>
      <c r="Q480" s="399">
        <v>24.925999999999998</v>
      </c>
      <c r="R480" s="399"/>
      <c r="S480" s="399">
        <v>230.94</v>
      </c>
      <c r="T480" s="399">
        <v>128.11000000000001</v>
      </c>
      <c r="U480" s="399"/>
      <c r="V480" s="399">
        <v>8949.6803</v>
      </c>
      <c r="W480" s="399">
        <v>8949.6803</v>
      </c>
      <c r="X480" s="399">
        <v>7649.7893999999997</v>
      </c>
      <c r="Y480" s="399">
        <v>0</v>
      </c>
      <c r="Z480" s="399">
        <v>0</v>
      </c>
      <c r="AA480" s="399">
        <v>0</v>
      </c>
      <c r="AB480" s="399">
        <v>0</v>
      </c>
      <c r="AC480" s="399">
        <v>0</v>
      </c>
      <c r="AD480" s="399">
        <v>0</v>
      </c>
      <c r="AE480" s="399">
        <v>4848.0122379364648</v>
      </c>
      <c r="AF480" s="399">
        <v>3193.2959431941108</v>
      </c>
      <c r="AG480" s="399">
        <v>0</v>
      </c>
      <c r="AH480" s="399">
        <v>0</v>
      </c>
      <c r="AI480" s="399">
        <v>0</v>
      </c>
      <c r="AJ480" s="399">
        <v>0</v>
      </c>
      <c r="AK480" s="399">
        <v>0</v>
      </c>
      <c r="AL480" s="399">
        <v>0</v>
      </c>
      <c r="AM480" s="399"/>
      <c r="AN480" s="399">
        <v>21.446028951545262</v>
      </c>
      <c r="AO480" s="399">
        <v>86.643278717953407</v>
      </c>
      <c r="AP480" s="399">
        <v>462.19373451125887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338.20521148223196</v>
      </c>
      <c r="BH480" s="399">
        <v>0</v>
      </c>
      <c r="BI480" s="399">
        <v>0</v>
      </c>
      <c r="BJ480" s="399">
        <v>0</v>
      </c>
      <c r="BK480" s="399">
        <v>1566.87</v>
      </c>
      <c r="BL480" s="399">
        <v>241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3531.5011546763426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7651.0169999999998</v>
      </c>
      <c r="CJ480" s="399">
        <v>-1298.6933000000008</v>
      </c>
      <c r="CK480" s="399"/>
      <c r="CL480" s="399"/>
      <c r="CM480" s="399"/>
      <c r="CN480" s="399"/>
      <c r="CO480" s="399">
        <v>-1445.9572599999997</v>
      </c>
      <c r="CP480" s="399">
        <v>146.06635999999963</v>
      </c>
      <c r="CQ480" s="399">
        <v>31</v>
      </c>
      <c r="CR480" s="399">
        <v>199.07082921614165</v>
      </c>
      <c r="CS480" s="399">
        <v>6.3245963231414493</v>
      </c>
      <c r="CT480" s="399">
        <v>33.738206091955703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0</v>
      </c>
      <c r="DA480" s="399">
        <v>0</v>
      </c>
      <c r="DB480" s="399">
        <v>0</v>
      </c>
      <c r="DC480" s="399">
        <v>146.05225830356721</v>
      </c>
      <c r="DD480" s="399">
        <v>0</v>
      </c>
      <c r="DE480" s="399">
        <v>0</v>
      </c>
      <c r="DF480" s="399">
        <v>0</v>
      </c>
      <c r="DG480" s="399">
        <v>15.468542780158941</v>
      </c>
      <c r="DH480" s="399">
        <v>0</v>
      </c>
      <c r="DI480" s="399">
        <v>0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0</v>
      </c>
      <c r="DP480" s="399">
        <v>-2.5127742826817325</v>
      </c>
      <c r="DQ480" s="399">
        <v>0</v>
      </c>
      <c r="DR480" s="399">
        <v>0</v>
      </c>
      <c r="DS480" s="399"/>
      <c r="DT480" s="399"/>
      <c r="DU480" s="399"/>
      <c r="DV480" s="399">
        <v>4848.0122379364648</v>
      </c>
      <c r="DW480" s="399">
        <v>0</v>
      </c>
      <c r="DX480" s="399">
        <v>0</v>
      </c>
      <c r="DY480" s="399">
        <v>-1445.9572600000001</v>
      </c>
      <c r="DZ480" s="399">
        <v>146.06635999999935</v>
      </c>
      <c r="EA480" s="399">
        <v>0</v>
      </c>
      <c r="EB480" s="399">
        <v>0</v>
      </c>
      <c r="EC480" s="399">
        <v>-1499.009867959865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230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479</v>
      </c>
      <c r="B481" s="399" t="s">
        <v>956</v>
      </c>
      <c r="C481" s="399" t="s">
        <v>2338</v>
      </c>
      <c r="D481" s="399" t="s">
        <v>1823</v>
      </c>
      <c r="E481" s="399" t="s">
        <v>889</v>
      </c>
      <c r="F481" s="399" t="s">
        <v>889</v>
      </c>
      <c r="G481" s="399" t="s">
        <v>1239</v>
      </c>
      <c r="H481" s="399" t="s">
        <v>1239</v>
      </c>
      <c r="I481" s="399" t="s">
        <v>893</v>
      </c>
      <c r="J481" s="399" t="s">
        <v>2329</v>
      </c>
      <c r="K481" s="789">
        <v>44743</v>
      </c>
      <c r="L481" s="399">
        <v>0</v>
      </c>
      <c r="M481" s="399">
        <v>0</v>
      </c>
      <c r="N481" s="399">
        <v>4.3999999999999997E-2</v>
      </c>
      <c r="O481" s="399">
        <v>4.3999999999999997E-2</v>
      </c>
      <c r="P481" s="399">
        <v>4.3999999999999997E-2</v>
      </c>
      <c r="Q481" s="399">
        <v>4.3999999999999997E-2</v>
      </c>
      <c r="R481" s="399"/>
      <c r="S481" s="399">
        <v>701.69</v>
      </c>
      <c r="T481" s="399">
        <v>128.11000000000001</v>
      </c>
      <c r="U481" s="399"/>
      <c r="V481" s="399">
        <v>36.511200000000002</v>
      </c>
      <c r="W481" s="399">
        <v>36.511200000000002</v>
      </c>
      <c r="X481" s="399">
        <v>29.550399999999996</v>
      </c>
      <c r="Y481" s="399">
        <v>0</v>
      </c>
      <c r="Z481" s="399">
        <v>2.6935062197287989</v>
      </c>
      <c r="AA481" s="399">
        <v>0</v>
      </c>
      <c r="AB481" s="399">
        <v>0</v>
      </c>
      <c r="AC481" s="399">
        <v>0</v>
      </c>
      <c r="AD481" s="399">
        <v>0</v>
      </c>
      <c r="AE481" s="399">
        <v>23.106145032559514</v>
      </c>
      <c r="AF481" s="399">
        <v>5.6368860427080509</v>
      </c>
      <c r="AG481" s="399">
        <v>0</v>
      </c>
      <c r="AH481" s="399">
        <v>0</v>
      </c>
      <c r="AI481" s="399">
        <v>0</v>
      </c>
      <c r="AJ481" s="399">
        <v>0</v>
      </c>
      <c r="AK481" s="399">
        <v>0</v>
      </c>
      <c r="AL481" s="399">
        <v>0.41596941817866911</v>
      </c>
      <c r="AM481" s="399"/>
      <c r="AN481" s="399">
        <v>3.7857067875631534E-2</v>
      </c>
      <c r="AO481" s="399">
        <v>0.41296789139106332</v>
      </c>
      <c r="AP481" s="399">
        <v>2.2028571841005928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0.59700831682653477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6.2338943595345855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26.863999999999997</v>
      </c>
      <c r="CJ481" s="399">
        <v>-9.6772000000000062</v>
      </c>
      <c r="CK481" s="399"/>
      <c r="CL481" s="399"/>
      <c r="CM481" s="399"/>
      <c r="CN481" s="399"/>
      <c r="CO481" s="399">
        <v>-7.2186400000000024</v>
      </c>
      <c r="CP481" s="399">
        <v>0.25783999999999935</v>
      </c>
      <c r="CQ481" s="399">
        <v>31</v>
      </c>
      <c r="CR481" s="399">
        <v>0.18363355091078404</v>
      </c>
      <c r="CS481" s="399">
        <v>3.0144925793605004E-2</v>
      </c>
      <c r="CT481" s="399">
        <v>0.16079934477457414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0</v>
      </c>
      <c r="DA481" s="399">
        <v>0</v>
      </c>
      <c r="DB481" s="399">
        <v>0</v>
      </c>
      <c r="DC481" s="399">
        <v>0.25781510733198143</v>
      </c>
      <c r="DD481" s="399">
        <v>0</v>
      </c>
      <c r="DE481" s="399">
        <v>0</v>
      </c>
      <c r="DF481" s="399">
        <v>0</v>
      </c>
      <c r="DG481" s="399">
        <v>2.7305459453060843E-2</v>
      </c>
      <c r="DH481" s="399">
        <v>0</v>
      </c>
      <c r="DI481" s="399">
        <v>-0.25478193850427555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-3.3213735788678311E-2</v>
      </c>
      <c r="DP481" s="399">
        <v>-4.4356121494823209E-3</v>
      </c>
      <c r="DQ481" s="399">
        <v>0</v>
      </c>
      <c r="DR481" s="399">
        <v>0</v>
      </c>
      <c r="DS481" s="399"/>
      <c r="DT481" s="399"/>
      <c r="DU481" s="399"/>
      <c r="DV481" s="399">
        <v>23.106145032559514</v>
      </c>
      <c r="DW481" s="399">
        <v>0</v>
      </c>
      <c r="DX481" s="399">
        <v>0</v>
      </c>
      <c r="DY481" s="399">
        <v>-7.2186400000000006</v>
      </c>
      <c r="DZ481" s="399">
        <v>0.25783999999999896</v>
      </c>
      <c r="EA481" s="399">
        <v>0</v>
      </c>
      <c r="EB481" s="399">
        <v>0</v>
      </c>
      <c r="EC481" s="399">
        <v>-7.1444414152430458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1.4079346533004455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230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480</v>
      </c>
      <c r="B482" s="399" t="s">
        <v>956</v>
      </c>
      <c r="C482" s="399" t="s">
        <v>2338</v>
      </c>
      <c r="D482" s="399" t="s">
        <v>1823</v>
      </c>
      <c r="E482" s="399" t="s">
        <v>889</v>
      </c>
      <c r="F482" s="399" t="s">
        <v>889</v>
      </c>
      <c r="G482" s="399" t="s">
        <v>1239</v>
      </c>
      <c r="H482" s="399" t="s">
        <v>1239</v>
      </c>
      <c r="I482" s="399" t="s">
        <v>2326</v>
      </c>
      <c r="J482" s="399" t="s">
        <v>2329</v>
      </c>
      <c r="K482" s="789">
        <v>44743</v>
      </c>
      <c r="L482" s="399">
        <v>0</v>
      </c>
      <c r="M482" s="399">
        <v>0</v>
      </c>
      <c r="N482" s="399">
        <v>0.24299999999999999</v>
      </c>
      <c r="O482" s="399">
        <v>0.24299999999999999</v>
      </c>
      <c r="P482" s="399">
        <v>0.24299999999999999</v>
      </c>
      <c r="Q482" s="399">
        <v>0.24299999999999999</v>
      </c>
      <c r="R482" s="399"/>
      <c r="S482" s="399">
        <v>234.02</v>
      </c>
      <c r="T482" s="399">
        <v>128.11000000000001</v>
      </c>
      <c r="U482" s="399"/>
      <c r="V482" s="399">
        <v>87.997590000000002</v>
      </c>
      <c r="W482" s="399">
        <v>87.997590000000002</v>
      </c>
      <c r="X482" s="399">
        <v>80.275049999999993</v>
      </c>
      <c r="Y482" s="399">
        <v>0</v>
      </c>
      <c r="Z482" s="399">
        <v>14.875500258956777</v>
      </c>
      <c r="AA482" s="399">
        <v>0</v>
      </c>
      <c r="AB482" s="399">
        <v>0</v>
      </c>
      <c r="AC482" s="399">
        <v>0</v>
      </c>
      <c r="AD482" s="399">
        <v>0</v>
      </c>
      <c r="AE482" s="399">
        <v>25.521779315642526</v>
      </c>
      <c r="AF482" s="399">
        <v>31.130984281319467</v>
      </c>
      <c r="AG482" s="399">
        <v>0</v>
      </c>
      <c r="AH482" s="399">
        <v>0</v>
      </c>
      <c r="AI482" s="399">
        <v>0</v>
      </c>
      <c r="AJ482" s="399">
        <v>0</v>
      </c>
      <c r="AK482" s="399">
        <v>0</v>
      </c>
      <c r="AL482" s="399">
        <v>2.2972856503958314</v>
      </c>
      <c r="AM482" s="399"/>
      <c r="AN482" s="399">
        <v>0.20907426122223777</v>
      </c>
      <c r="AO482" s="399">
        <v>0.45615857168157153</v>
      </c>
      <c r="AP482" s="399">
        <v>2.433147933957414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3.2971141133829081</v>
      </c>
      <c r="BH482" s="399">
        <v>0</v>
      </c>
      <c r="BI482" s="399">
        <v>0</v>
      </c>
      <c r="BJ482" s="399">
        <v>0</v>
      </c>
      <c r="BK482" s="399">
        <v>0</v>
      </c>
      <c r="BL482" s="399">
        <v>0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34.428098394702374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79.283999999999992</v>
      </c>
      <c r="CJ482" s="399">
        <v>-8.7435900000000117</v>
      </c>
      <c r="CK482" s="399"/>
      <c r="CL482" s="399"/>
      <c r="CM482" s="399"/>
      <c r="CN482" s="399"/>
      <c r="CO482" s="399">
        <v>-9.1465200000000042</v>
      </c>
      <c r="CP482" s="399">
        <v>1.4239799999999965</v>
      </c>
      <c r="CQ482" s="399">
        <v>31</v>
      </c>
      <c r="CR482" s="399">
        <v>0.17053215828468637</v>
      </c>
      <c r="CS482" s="399">
        <v>3.3297664491877488E-2</v>
      </c>
      <c r="CT482" s="399">
        <v>0.17760960462795872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0</v>
      </c>
      <c r="DA482" s="399">
        <v>0</v>
      </c>
      <c r="DB482" s="399">
        <v>0</v>
      </c>
      <c r="DC482" s="399">
        <v>1.4238425245834385</v>
      </c>
      <c r="DD482" s="399">
        <v>0</v>
      </c>
      <c r="DE482" s="399">
        <v>0</v>
      </c>
      <c r="DF482" s="399">
        <v>0</v>
      </c>
      <c r="DG482" s="399">
        <v>0.15080060561576758</v>
      </c>
      <c r="DH482" s="399">
        <v>0</v>
      </c>
      <c r="DI482" s="399">
        <v>-1.4070911603758862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-0.18343040446929137</v>
      </c>
      <c r="DP482" s="399">
        <v>-2.4496676189186412E-2</v>
      </c>
      <c r="DQ482" s="399">
        <v>0</v>
      </c>
      <c r="DR482" s="399">
        <v>0</v>
      </c>
      <c r="DS482" s="399"/>
      <c r="DT482" s="399"/>
      <c r="DU482" s="399"/>
      <c r="DV482" s="399">
        <v>25.521779315642526</v>
      </c>
      <c r="DW482" s="399">
        <v>0</v>
      </c>
      <c r="DX482" s="399">
        <v>0</v>
      </c>
      <c r="DY482" s="399">
        <v>-9.1465200000000024</v>
      </c>
      <c r="DZ482" s="399">
        <v>1.4239799999999967</v>
      </c>
      <c r="EA482" s="399">
        <v>0</v>
      </c>
      <c r="EB482" s="399">
        <v>0</v>
      </c>
      <c r="EC482" s="399">
        <v>-7.8913577698239621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7.7756391080001883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230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481</v>
      </c>
      <c r="B483" s="399" t="s">
        <v>956</v>
      </c>
      <c r="C483" s="399" t="s">
        <v>2338</v>
      </c>
      <c r="D483" s="399" t="s">
        <v>1823</v>
      </c>
      <c r="E483" s="399" t="s">
        <v>889</v>
      </c>
      <c r="F483" s="399" t="s">
        <v>889</v>
      </c>
      <c r="G483" s="399" t="s">
        <v>1239</v>
      </c>
      <c r="H483" s="399" t="s">
        <v>1239</v>
      </c>
      <c r="I483" s="399" t="s">
        <v>1239</v>
      </c>
      <c r="J483" s="399" t="s">
        <v>2329</v>
      </c>
      <c r="K483" s="789">
        <v>44743</v>
      </c>
      <c r="L483" s="399">
        <v>0</v>
      </c>
      <c r="M483" s="399">
        <v>0</v>
      </c>
      <c r="N483" s="399">
        <v>0</v>
      </c>
      <c r="O483" s="399">
        <v>0</v>
      </c>
      <c r="P483" s="399">
        <v>0</v>
      </c>
      <c r="Q483" s="399">
        <v>0</v>
      </c>
      <c r="R483" s="399"/>
      <c r="S483" s="399"/>
      <c r="T483" s="399"/>
      <c r="U483" s="399"/>
      <c r="V483" s="399"/>
      <c r="W483" s="399"/>
      <c r="X483" s="399"/>
      <c r="Y483" s="399"/>
      <c r="Z483" s="399"/>
      <c r="AA483" s="399">
        <v>0</v>
      </c>
      <c r="AB483" s="399"/>
      <c r="AC483" s="399"/>
      <c r="AD483" s="399"/>
      <c r="AE483" s="399"/>
      <c r="AF483" s="399"/>
      <c r="AG483" s="399"/>
      <c r="AH483" s="399"/>
      <c r="AI483" s="399"/>
      <c r="AJ483" s="399"/>
      <c r="AK483" s="399"/>
      <c r="AL483" s="399"/>
      <c r="AM483" s="399"/>
      <c r="AN483" s="399"/>
      <c r="AO483" s="399"/>
      <c r="AP483" s="399"/>
      <c r="AQ483" s="399"/>
      <c r="AR483" s="399"/>
      <c r="AS483" s="399"/>
      <c r="AT483" s="399"/>
      <c r="AU483" s="399"/>
      <c r="AV483" s="399"/>
      <c r="AW483" s="399"/>
      <c r="AX483" s="399"/>
      <c r="AY483" s="399"/>
      <c r="AZ483" s="399">
        <v>0</v>
      </c>
      <c r="BA483" s="399"/>
      <c r="BB483" s="399"/>
      <c r="BC483" s="399"/>
      <c r="BD483" s="399"/>
      <c r="BE483" s="399"/>
      <c r="BF483" s="399"/>
      <c r="BG483" s="399"/>
      <c r="BH483" s="399"/>
      <c r="BI483" s="399">
        <v>0</v>
      </c>
      <c r="BJ483" s="399">
        <v>0</v>
      </c>
      <c r="BK483" s="399">
        <v>20.25</v>
      </c>
      <c r="BL483" s="399">
        <v>1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/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/>
      <c r="CJ483" s="399">
        <v>-0.03</v>
      </c>
      <c r="CK483" s="399"/>
      <c r="CL483" s="399"/>
      <c r="CM483" s="399"/>
      <c r="CN483" s="399"/>
      <c r="CO483" s="399">
        <v>0</v>
      </c>
      <c r="CP483" s="399">
        <v>0</v>
      </c>
      <c r="CQ483" s="399">
        <v>31</v>
      </c>
      <c r="CR483" s="399"/>
      <c r="CS483" s="399"/>
      <c r="CT483" s="399"/>
      <c r="CU483" s="399"/>
      <c r="CV483" s="399"/>
      <c r="CW483" s="399"/>
      <c r="CX483" s="399"/>
      <c r="CY483" s="399"/>
      <c r="CZ483" s="399"/>
      <c r="DA483" s="399"/>
      <c r="DB483" s="399"/>
      <c r="DC483" s="399"/>
      <c r="DD483" s="399"/>
      <c r="DE483" s="399"/>
      <c r="DF483" s="399"/>
      <c r="DG483" s="399"/>
      <c r="DH483" s="399"/>
      <c r="DI483" s="399"/>
      <c r="DJ483" s="399"/>
      <c r="DK483" s="399">
        <v>0</v>
      </c>
      <c r="DL483" s="399"/>
      <c r="DM483" s="399"/>
      <c r="DN483" s="399"/>
      <c r="DO483" s="399"/>
      <c r="DP483" s="399"/>
      <c r="DQ483" s="399"/>
      <c r="DR483" s="399"/>
      <c r="DS483" s="399"/>
      <c r="DT483" s="399"/>
      <c r="DU483" s="399"/>
      <c r="DV483" s="399"/>
      <c r="DW483" s="399"/>
      <c r="DX483" s="399"/>
      <c r="DY483" s="399"/>
      <c r="DZ483" s="399"/>
      <c r="EA483" s="399"/>
      <c r="EB483" s="399"/>
      <c r="EC483" s="399"/>
      <c r="ED483" s="399"/>
      <c r="EE483" s="399"/>
      <c r="EF483" s="399"/>
      <c r="EG483" s="399"/>
      <c r="EH483" s="399"/>
      <c r="EI483" s="399"/>
      <c r="EJ483" s="399"/>
      <c r="EK483" s="399"/>
      <c r="EL483" s="399"/>
      <c r="EM483" s="399"/>
      <c r="EN483" s="399"/>
      <c r="EO483" s="399"/>
      <c r="EP483" s="399"/>
      <c r="EQ483" s="399"/>
      <c r="ER483" s="399"/>
      <c r="ES483" s="399"/>
      <c r="ET483" s="399"/>
      <c r="EU483" s="399"/>
      <c r="EV483" s="399">
        <v>230</v>
      </c>
      <c r="EW483" s="399"/>
      <c r="EX483" s="399"/>
      <c r="EY483" s="399"/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482</v>
      </c>
      <c r="B484" s="399" t="s">
        <v>956</v>
      </c>
      <c r="C484" s="399" t="s">
        <v>2338</v>
      </c>
      <c r="D484" s="399" t="s">
        <v>1823</v>
      </c>
      <c r="E484" s="399" t="s">
        <v>889</v>
      </c>
      <c r="F484" s="399" t="s">
        <v>889</v>
      </c>
      <c r="G484" s="399" t="s">
        <v>1239</v>
      </c>
      <c r="H484" s="399" t="s">
        <v>1239</v>
      </c>
      <c r="I484" s="399" t="s">
        <v>2339</v>
      </c>
      <c r="J484" s="399" t="s">
        <v>2329</v>
      </c>
      <c r="K484" s="789">
        <v>44743</v>
      </c>
      <c r="L484" s="399">
        <v>0</v>
      </c>
      <c r="M484" s="399">
        <v>0</v>
      </c>
      <c r="N484" s="399">
        <v>2.4E-2</v>
      </c>
      <c r="O484" s="399">
        <v>2.4E-2</v>
      </c>
      <c r="P484" s="399">
        <v>2.4E-2</v>
      </c>
      <c r="Q484" s="399">
        <v>2.4E-2</v>
      </c>
      <c r="R484" s="399"/>
      <c r="S484" s="399">
        <v>467.85</v>
      </c>
      <c r="T484" s="399">
        <v>128.11000000000001</v>
      </c>
      <c r="U484" s="399"/>
      <c r="V484" s="399">
        <v>14.303040000000001</v>
      </c>
      <c r="W484" s="399">
        <v>14.303040000000001</v>
      </c>
      <c r="X484" s="399">
        <v>12.02352</v>
      </c>
      <c r="Y484" s="399">
        <v>0</v>
      </c>
      <c r="Z484" s="399">
        <v>1.4691852107611632</v>
      </c>
      <c r="AA484" s="399">
        <v>0</v>
      </c>
      <c r="AB484" s="399">
        <v>0</v>
      </c>
      <c r="AC484" s="399">
        <v>0</v>
      </c>
      <c r="AD484" s="399">
        <v>0</v>
      </c>
      <c r="AE484" s="399">
        <v>7.562014724737824</v>
      </c>
      <c r="AF484" s="399">
        <v>3.0746651142043917</v>
      </c>
      <c r="AG484" s="399">
        <v>0</v>
      </c>
      <c r="AH484" s="399">
        <v>0</v>
      </c>
      <c r="AI484" s="399">
        <v>0</v>
      </c>
      <c r="AJ484" s="399">
        <v>0</v>
      </c>
      <c r="AK484" s="399">
        <v>0</v>
      </c>
      <c r="AL484" s="399">
        <v>0.22689240991563769</v>
      </c>
      <c r="AM484" s="399"/>
      <c r="AN484" s="399">
        <v>2.0649309750344472E-2</v>
      </c>
      <c r="AO484" s="399">
        <v>0.1351525761781277</v>
      </c>
      <c r="AP484" s="399">
        <v>0.72093468555619444</v>
      </c>
      <c r="AQ484" s="399">
        <v>0</v>
      </c>
      <c r="AR484" s="399">
        <v>0</v>
      </c>
      <c r="AS484" s="399">
        <v>0</v>
      </c>
      <c r="AT484" s="399">
        <v>0</v>
      </c>
      <c r="AU484" s="399">
        <v>0</v>
      </c>
      <c r="AV484" s="399">
        <v>0</v>
      </c>
      <c r="AW484" s="399">
        <v>0</v>
      </c>
      <c r="AX484" s="399">
        <v>0</v>
      </c>
      <c r="AY484" s="399">
        <v>0</v>
      </c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>
        <v>0</v>
      </c>
      <c r="BG484" s="399">
        <v>0.32564090008720081</v>
      </c>
      <c r="BH484" s="399">
        <v>0</v>
      </c>
      <c r="BI484" s="399">
        <v>0</v>
      </c>
      <c r="BJ484" s="399">
        <v>0</v>
      </c>
      <c r="BK484" s="399">
        <v>0</v>
      </c>
      <c r="BL484" s="399">
        <v>0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3.4003060142915924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10.019600000000001</v>
      </c>
      <c r="CJ484" s="399">
        <v>-4.3134399999999999</v>
      </c>
      <c r="CK484" s="399"/>
      <c r="CL484" s="399"/>
      <c r="CM484" s="399"/>
      <c r="CN484" s="399"/>
      <c r="CO484" s="399">
        <v>-2.420160000000001</v>
      </c>
      <c r="CP484" s="399">
        <v>0.14063999999999965</v>
      </c>
      <c r="CQ484" s="399">
        <v>31</v>
      </c>
      <c r="CR484" s="399">
        <v>5.8503117952553474E-2</v>
      </c>
      <c r="CS484" s="399">
        <v>9.8655717905344609E-3</v>
      </c>
      <c r="CT484" s="399">
        <v>5.2625211429688679E-2</v>
      </c>
      <c r="CU484" s="399">
        <v>0</v>
      </c>
      <c r="CV484" s="399">
        <v>0</v>
      </c>
      <c r="CW484" s="399">
        <v>0</v>
      </c>
      <c r="CX484" s="399">
        <v>0</v>
      </c>
      <c r="CY484" s="399">
        <v>0</v>
      </c>
      <c r="CZ484" s="399">
        <v>0</v>
      </c>
      <c r="DA484" s="399">
        <v>0</v>
      </c>
      <c r="DB484" s="399">
        <v>0</v>
      </c>
      <c r="DC484" s="399">
        <v>0.14062642218108046</v>
      </c>
      <c r="DD484" s="399">
        <v>0</v>
      </c>
      <c r="DE484" s="399">
        <v>0</v>
      </c>
      <c r="DF484" s="399">
        <v>0</v>
      </c>
      <c r="DG484" s="399">
        <v>1.4893886974396808E-2</v>
      </c>
      <c r="DH484" s="399">
        <v>0</v>
      </c>
      <c r="DI484" s="399">
        <v>-0.13897196645687759</v>
      </c>
      <c r="DJ484" s="399"/>
      <c r="DK484" s="399">
        <v>0</v>
      </c>
      <c r="DL484" s="399">
        <v>0</v>
      </c>
      <c r="DM484" s="399">
        <v>0</v>
      </c>
      <c r="DN484" s="399">
        <v>0</v>
      </c>
      <c r="DO484" s="399">
        <v>-1.8116583157460897E-2</v>
      </c>
      <c r="DP484" s="399">
        <v>-2.4194248088085374E-3</v>
      </c>
      <c r="DQ484" s="399">
        <v>0</v>
      </c>
      <c r="DR484" s="399">
        <v>0</v>
      </c>
      <c r="DS484" s="399"/>
      <c r="DT484" s="399"/>
      <c r="DU484" s="399"/>
      <c r="DV484" s="399">
        <v>7.562014724737824</v>
      </c>
      <c r="DW484" s="399">
        <v>0</v>
      </c>
      <c r="DX484" s="399">
        <v>0</v>
      </c>
      <c r="DY484" s="399">
        <v>-2.420160000000001</v>
      </c>
      <c r="DZ484" s="399">
        <v>0.14063999999999943</v>
      </c>
      <c r="EA484" s="399">
        <v>0</v>
      </c>
      <c r="EB484" s="399">
        <v>0</v>
      </c>
      <c r="EC484" s="399">
        <v>-2.3381819470952161</v>
      </c>
      <c r="ED484" s="399">
        <v>0</v>
      </c>
      <c r="EE484" s="399">
        <v>0</v>
      </c>
      <c r="EF484" s="399">
        <v>0</v>
      </c>
      <c r="EG484" s="399">
        <v>0</v>
      </c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>
        <v>0</v>
      </c>
      <c r="EN484" s="399">
        <v>0</v>
      </c>
      <c r="EO484" s="399">
        <v>0</v>
      </c>
      <c r="EP484" s="399">
        <v>0.7679643563456976</v>
      </c>
      <c r="EQ484" s="399">
        <v>0</v>
      </c>
      <c r="ER484" s="399">
        <v>0</v>
      </c>
      <c r="ES484" s="399">
        <v>0</v>
      </c>
      <c r="ET484" s="399">
        <v>0</v>
      </c>
      <c r="EU484" s="399">
        <v>0</v>
      </c>
      <c r="EV484" s="399">
        <v>230</v>
      </c>
      <c r="EW484" s="399">
        <v>0</v>
      </c>
      <c r="EX484" s="399">
        <v>0</v>
      </c>
      <c r="EY484" s="399">
        <v>0</v>
      </c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483</v>
      </c>
      <c r="B485" s="399" t="s">
        <v>956</v>
      </c>
      <c r="C485" s="399" t="s">
        <v>2328</v>
      </c>
      <c r="D485" s="399" t="s">
        <v>1826</v>
      </c>
      <c r="E485" s="399" t="s">
        <v>890</v>
      </c>
      <c r="F485" s="399" t="s">
        <v>1239</v>
      </c>
      <c r="G485" s="399" t="s">
        <v>1239</v>
      </c>
      <c r="H485" s="399" t="s">
        <v>1239</v>
      </c>
      <c r="I485" s="399" t="s">
        <v>1239</v>
      </c>
      <c r="J485" s="399" t="s">
        <v>2329</v>
      </c>
      <c r="K485" s="789">
        <v>44743</v>
      </c>
      <c r="L485" s="399">
        <v>0</v>
      </c>
      <c r="M485" s="399">
        <v>0</v>
      </c>
      <c r="N485" s="399">
        <v>377.15899999999999</v>
      </c>
      <c r="O485" s="399">
        <v>377.15899999999999</v>
      </c>
      <c r="P485" s="399">
        <v>377.15899999999999</v>
      </c>
      <c r="Q485" s="399">
        <v>377.15899999999999</v>
      </c>
      <c r="R485" s="399"/>
      <c r="S485" s="399">
        <v>333.61</v>
      </c>
      <c r="T485" s="399">
        <v>128.11000000000001</v>
      </c>
      <c r="U485" s="399"/>
      <c r="V485" s="399">
        <v>174141.85348000002</v>
      </c>
      <c r="W485" s="399">
        <v>174141.85348000002</v>
      </c>
      <c r="X485" s="399">
        <v>152006.39176999999</v>
      </c>
      <c r="Y485" s="399">
        <v>0</v>
      </c>
      <c r="Z485" s="399">
        <v>23088.18437106123</v>
      </c>
      <c r="AA485" s="399">
        <v>0</v>
      </c>
      <c r="AB485" s="399">
        <v>0</v>
      </c>
      <c r="AC485" s="399">
        <v>0</v>
      </c>
      <c r="AD485" s="399">
        <v>0</v>
      </c>
      <c r="AE485" s="399">
        <v>73355.991641173052</v>
      </c>
      <c r="AF485" s="399">
        <v>48318.234158675594</v>
      </c>
      <c r="AG485" s="399">
        <v>0</v>
      </c>
      <c r="AH485" s="399">
        <v>0</v>
      </c>
      <c r="AI485" s="399">
        <v>0</v>
      </c>
      <c r="AJ485" s="399">
        <v>0</v>
      </c>
      <c r="AK485" s="399">
        <v>0</v>
      </c>
      <c r="AL485" s="399">
        <v>3565.6047679738331</v>
      </c>
      <c r="AM485" s="399"/>
      <c r="AN485" s="399">
        <v>324.5030423387571</v>
      </c>
      <c r="AO485" s="399">
        <v>1311.0122906998554</v>
      </c>
      <c r="AP485" s="399">
        <v>6993.5218933856968</v>
      </c>
      <c r="AQ485" s="399">
        <v>0</v>
      </c>
      <c r="AR485" s="399">
        <v>0</v>
      </c>
      <c r="AS485" s="399">
        <v>0</v>
      </c>
      <c r="AT485" s="399">
        <v>0</v>
      </c>
      <c r="AU485" s="399">
        <v>0</v>
      </c>
      <c r="AV485" s="399">
        <v>0</v>
      </c>
      <c r="AW485" s="399">
        <v>0</v>
      </c>
      <c r="AX485" s="399">
        <v>0</v>
      </c>
      <c r="AY485" s="399">
        <v>0</v>
      </c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>
        <v>0</v>
      </c>
      <c r="BG485" s="399">
        <v>5117.4331764995231</v>
      </c>
      <c r="BH485" s="399">
        <v>0</v>
      </c>
      <c r="BI485" s="399">
        <v>0</v>
      </c>
      <c r="BJ485" s="399">
        <v>0</v>
      </c>
      <c r="BK485" s="399">
        <v>31133.7</v>
      </c>
      <c r="BL485" s="399">
        <v>224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53435.667335175116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152006.7948</v>
      </c>
      <c r="CJ485" s="399">
        <v>-22135.088680000015</v>
      </c>
      <c r="CK485" s="399"/>
      <c r="CL485" s="399"/>
      <c r="CM485" s="399"/>
      <c r="CN485" s="399"/>
      <c r="CO485" s="399">
        <v>-24345.613450000004</v>
      </c>
      <c r="CP485" s="399">
        <v>2210.1517399999943</v>
      </c>
      <c r="CQ485" s="399">
        <v>31</v>
      </c>
      <c r="CR485" s="399">
        <v>543.53020706807729</v>
      </c>
      <c r="CS485" s="399">
        <v>95.698404262204122</v>
      </c>
      <c r="CT485" s="399">
        <v>510.49779633458729</v>
      </c>
      <c r="CU485" s="399">
        <v>0</v>
      </c>
      <c r="CV485" s="399">
        <v>0</v>
      </c>
      <c r="CW485" s="399">
        <v>0</v>
      </c>
      <c r="CX485" s="399">
        <v>0</v>
      </c>
      <c r="CY485" s="399">
        <v>0</v>
      </c>
      <c r="CZ485" s="399">
        <v>0</v>
      </c>
      <c r="DA485" s="399">
        <v>0</v>
      </c>
      <c r="DB485" s="399">
        <v>0</v>
      </c>
      <c r="DC485" s="399">
        <v>2209.9383651414173</v>
      </c>
      <c r="DD485" s="399">
        <v>0</v>
      </c>
      <c r="DE485" s="399">
        <v>0</v>
      </c>
      <c r="DF485" s="399">
        <v>0</v>
      </c>
      <c r="DG485" s="399">
        <v>234.05681322402233</v>
      </c>
      <c r="DH485" s="399">
        <v>0</v>
      </c>
      <c r="DI485" s="399">
        <v>-2183.9386623712271</v>
      </c>
      <c r="DJ485" s="399"/>
      <c r="DK485" s="399">
        <v>0</v>
      </c>
      <c r="DL485" s="399">
        <v>0</v>
      </c>
      <c r="DM485" s="399">
        <v>0</v>
      </c>
      <c r="DN485" s="399">
        <v>0</v>
      </c>
      <c r="DO485" s="399">
        <v>-284.70134946186636</v>
      </c>
      <c r="DP485" s="399">
        <v>-38.021160061059106</v>
      </c>
      <c r="DQ485" s="399">
        <v>0</v>
      </c>
      <c r="DR485" s="399">
        <v>0</v>
      </c>
      <c r="DS485" s="399"/>
      <c r="DT485" s="399"/>
      <c r="DU485" s="399"/>
      <c r="DV485" s="399">
        <v>73355.991641173052</v>
      </c>
      <c r="DW485" s="399">
        <v>0</v>
      </c>
      <c r="DX485" s="399">
        <v>0</v>
      </c>
      <c r="DY485" s="399">
        <v>-24345.613450000004</v>
      </c>
      <c r="DZ485" s="399">
        <v>2210.1517399999939</v>
      </c>
      <c r="EA485" s="399">
        <v>0</v>
      </c>
      <c r="EB485" s="399">
        <v>0</v>
      </c>
      <c r="EC485" s="399">
        <v>-22681.740463366565</v>
      </c>
      <c r="ED485" s="399">
        <v>0</v>
      </c>
      <c r="EE485" s="399">
        <v>0</v>
      </c>
      <c r="EF485" s="399">
        <v>0</v>
      </c>
      <c r="EG485" s="399">
        <v>0</v>
      </c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>
        <v>0</v>
      </c>
      <c r="EN485" s="399">
        <v>0</v>
      </c>
      <c r="EO485" s="399">
        <v>0</v>
      </c>
      <c r="EP485" s="399">
        <v>12068.527861457789</v>
      </c>
      <c r="EQ485" s="399">
        <v>0</v>
      </c>
      <c r="ER485" s="399">
        <v>0</v>
      </c>
      <c r="ES485" s="399">
        <v>0</v>
      </c>
      <c r="ET485" s="399">
        <v>0</v>
      </c>
      <c r="EU485" s="399">
        <v>0</v>
      </c>
      <c r="EV485" s="399">
        <v>230</v>
      </c>
      <c r="EW485" s="399">
        <v>0</v>
      </c>
      <c r="EX485" s="399">
        <v>0</v>
      </c>
      <c r="EY485" s="399">
        <v>0</v>
      </c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484</v>
      </c>
      <c r="B486" s="399" t="s">
        <v>2331</v>
      </c>
      <c r="C486" s="399" t="s">
        <v>2328</v>
      </c>
      <c r="D486" s="399" t="s">
        <v>1826</v>
      </c>
      <c r="E486" s="399" t="s">
        <v>890</v>
      </c>
      <c r="F486" s="399" t="s">
        <v>1239</v>
      </c>
      <c r="G486" s="399" t="s">
        <v>1239</v>
      </c>
      <c r="H486" s="399" t="s">
        <v>1239</v>
      </c>
      <c r="I486" s="399" t="s">
        <v>1239</v>
      </c>
      <c r="J486" s="399" t="s">
        <v>2329</v>
      </c>
      <c r="K486" s="789">
        <v>44743</v>
      </c>
      <c r="L486" s="399">
        <v>0</v>
      </c>
      <c r="M486" s="399">
        <v>0</v>
      </c>
      <c r="N486" s="399">
        <v>10.179</v>
      </c>
      <c r="O486" s="399">
        <v>10.179</v>
      </c>
      <c r="P486" s="399">
        <v>10.179</v>
      </c>
      <c r="Q486" s="399">
        <v>10.179</v>
      </c>
      <c r="R486" s="399"/>
      <c r="S486" s="399">
        <v>333.61</v>
      </c>
      <c r="T486" s="399">
        <v>128.11000000000001</v>
      </c>
      <c r="U486" s="399"/>
      <c r="V486" s="399">
        <v>4699.8478800000003</v>
      </c>
      <c r="W486" s="399">
        <v>4699.8478800000003</v>
      </c>
      <c r="X486" s="399">
        <v>4102.4423699999998</v>
      </c>
      <c r="Y486" s="399">
        <v>0</v>
      </c>
      <c r="Z486" s="399">
        <v>623.11817751407841</v>
      </c>
      <c r="AA486" s="399">
        <v>0</v>
      </c>
      <c r="AB486" s="399">
        <v>0</v>
      </c>
      <c r="AC486" s="399">
        <v>0</v>
      </c>
      <c r="AD486" s="399">
        <v>0</v>
      </c>
      <c r="AE486" s="399">
        <v>1979.7768021325237</v>
      </c>
      <c r="AF486" s="399">
        <v>1304.0423415619377</v>
      </c>
      <c r="AG486" s="399">
        <v>0</v>
      </c>
      <c r="AH486" s="399">
        <v>0</v>
      </c>
      <c r="AI486" s="399">
        <v>0</v>
      </c>
      <c r="AJ486" s="399">
        <v>0</v>
      </c>
      <c r="AK486" s="399">
        <v>0</v>
      </c>
      <c r="AL486" s="399">
        <v>96.230743355469841</v>
      </c>
      <c r="AM486" s="399"/>
      <c r="AN486" s="399">
        <v>8.7578884978648492</v>
      </c>
      <c r="AO486" s="399">
        <v>35.382409294313085</v>
      </c>
      <c r="AP486" s="399">
        <v>188.74548758686129</v>
      </c>
      <c r="AQ486" s="399">
        <v>0</v>
      </c>
      <c r="AR486" s="399">
        <v>0</v>
      </c>
      <c r="AS486" s="399">
        <v>0</v>
      </c>
      <c r="AT486" s="399">
        <v>0</v>
      </c>
      <c r="AU486" s="399">
        <v>0</v>
      </c>
      <c r="AV486" s="399">
        <v>0</v>
      </c>
      <c r="AW486" s="399">
        <v>0</v>
      </c>
      <c r="AX486" s="399">
        <v>0</v>
      </c>
      <c r="AY486" s="399">
        <v>0</v>
      </c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>
        <v>0</v>
      </c>
      <c r="BG486" s="399">
        <v>138.11244674948404</v>
      </c>
      <c r="BH486" s="399">
        <v>0</v>
      </c>
      <c r="BI486" s="399">
        <v>0</v>
      </c>
      <c r="BJ486" s="399">
        <v>0</v>
      </c>
      <c r="BK486" s="399">
        <v>1155.2</v>
      </c>
      <c r="BL486" s="399">
        <v>5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1442.1547883114217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4102.8454000000002</v>
      </c>
      <c r="CJ486" s="399">
        <v>-597.03248000000076</v>
      </c>
      <c r="CK486" s="399"/>
      <c r="CL486" s="399"/>
      <c r="CM486" s="399"/>
      <c r="CN486" s="399"/>
      <c r="CO486" s="399">
        <v>-657.05445000000009</v>
      </c>
      <c r="CP486" s="399">
        <v>59.648939999999854</v>
      </c>
      <c r="CQ486" s="399">
        <v>31</v>
      </c>
      <c r="CR486" s="399">
        <v>14.669128876007107</v>
      </c>
      <c r="CS486" s="399">
        <v>2.5827676311183794</v>
      </c>
      <c r="CT486" s="399">
        <v>13.777629776539243</v>
      </c>
      <c r="CU486" s="399">
        <v>0</v>
      </c>
      <c r="CV486" s="399">
        <v>0</v>
      </c>
      <c r="CW486" s="399">
        <v>0</v>
      </c>
      <c r="CX486" s="399">
        <v>0</v>
      </c>
      <c r="CY486" s="399">
        <v>0</v>
      </c>
      <c r="CZ486" s="399">
        <v>0</v>
      </c>
      <c r="DA486" s="399">
        <v>0</v>
      </c>
      <c r="DB486" s="399">
        <v>0</v>
      </c>
      <c r="DC486" s="399">
        <v>59.643181307550776</v>
      </c>
      <c r="DD486" s="399">
        <v>0</v>
      </c>
      <c r="DE486" s="399">
        <v>0</v>
      </c>
      <c r="DF486" s="399">
        <v>0</v>
      </c>
      <c r="DG486" s="399">
        <v>6.3168698130160692</v>
      </c>
      <c r="DH486" s="399">
        <v>0</v>
      </c>
      <c r="DI486" s="399">
        <v>-58.941485273523313</v>
      </c>
      <c r="DJ486" s="399"/>
      <c r="DK486" s="399">
        <v>0</v>
      </c>
      <c r="DL486" s="399">
        <v>0</v>
      </c>
      <c r="DM486" s="399">
        <v>0</v>
      </c>
      <c r="DN486" s="399">
        <v>0</v>
      </c>
      <c r="DO486" s="399">
        <v>-7.683695831658099</v>
      </c>
      <c r="DP486" s="399">
        <v>-1.0261385470359201</v>
      </c>
      <c r="DQ486" s="399">
        <v>0</v>
      </c>
      <c r="DR486" s="399">
        <v>0</v>
      </c>
      <c r="DS486" s="399"/>
      <c r="DT486" s="399"/>
      <c r="DU486" s="399"/>
      <c r="DV486" s="399">
        <v>1979.7768021325237</v>
      </c>
      <c r="DW486" s="399">
        <v>0</v>
      </c>
      <c r="DX486" s="399">
        <v>0</v>
      </c>
      <c r="DY486" s="399">
        <v>-657.05445000000009</v>
      </c>
      <c r="DZ486" s="399">
        <v>59.648939999999811</v>
      </c>
      <c r="EA486" s="399">
        <v>0</v>
      </c>
      <c r="EB486" s="399">
        <v>0</v>
      </c>
      <c r="EC486" s="399">
        <v>-612.1488183408278</v>
      </c>
      <c r="ED486" s="399">
        <v>0</v>
      </c>
      <c r="EE486" s="399">
        <v>0</v>
      </c>
      <c r="EF486" s="399">
        <v>0</v>
      </c>
      <c r="EG486" s="399">
        <v>0</v>
      </c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>
        <v>0</v>
      </c>
      <c r="EN486" s="399">
        <v>0</v>
      </c>
      <c r="EO486" s="399">
        <v>0</v>
      </c>
      <c r="EP486" s="399">
        <v>325.712882635119</v>
      </c>
      <c r="EQ486" s="399">
        <v>0</v>
      </c>
      <c r="ER486" s="399">
        <v>0</v>
      </c>
      <c r="ES486" s="399">
        <v>0</v>
      </c>
      <c r="ET486" s="399">
        <v>0</v>
      </c>
      <c r="EU486" s="399">
        <v>0</v>
      </c>
      <c r="EV486" s="399">
        <v>230</v>
      </c>
      <c r="EW486" s="399">
        <v>0</v>
      </c>
      <c r="EX486" s="399">
        <v>0</v>
      </c>
      <c r="EY486" s="399">
        <v>0</v>
      </c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485</v>
      </c>
      <c r="B487" s="399" t="s">
        <v>956</v>
      </c>
      <c r="C487" s="399" t="s">
        <v>2336</v>
      </c>
      <c r="D487" s="399" t="s">
        <v>535</v>
      </c>
      <c r="E487" s="399" t="s">
        <v>890</v>
      </c>
      <c r="F487" s="399" t="s">
        <v>1239</v>
      </c>
      <c r="G487" s="399" t="s">
        <v>1239</v>
      </c>
      <c r="H487" s="399" t="s">
        <v>1239</v>
      </c>
      <c r="I487" s="399" t="s">
        <v>893</v>
      </c>
      <c r="J487" s="399" t="s">
        <v>2329</v>
      </c>
      <c r="K487" s="789">
        <v>44743</v>
      </c>
      <c r="L487" s="399">
        <v>2437</v>
      </c>
      <c r="M487" s="399">
        <v>2437</v>
      </c>
      <c r="N487" s="399">
        <v>84.813999999999993</v>
      </c>
      <c r="O487" s="399">
        <v>84.813999999999993</v>
      </c>
      <c r="P487" s="399">
        <v>84.813999999999993</v>
      </c>
      <c r="Q487" s="399">
        <v>84.813999999999993</v>
      </c>
      <c r="R487" s="399">
        <v>28.46</v>
      </c>
      <c r="S487" s="399">
        <v>75.12</v>
      </c>
      <c r="T487" s="399">
        <v>128.11000000000001</v>
      </c>
      <c r="U487" s="399">
        <v>69357.02</v>
      </c>
      <c r="V487" s="399">
        <v>17236.749219999998</v>
      </c>
      <c r="W487" s="399">
        <v>86593.769220000002</v>
      </c>
      <c r="X487" s="399">
        <v>70354.30184</v>
      </c>
      <c r="Y487" s="399">
        <v>0</v>
      </c>
      <c r="Z487" s="399">
        <v>3478.6253288284652</v>
      </c>
      <c r="AA487" s="399">
        <v>0</v>
      </c>
      <c r="AB487" s="399">
        <v>0</v>
      </c>
      <c r="AC487" s="399">
        <v>0</v>
      </c>
      <c r="AD487" s="399">
        <v>0</v>
      </c>
      <c r="AE487" s="399">
        <v>56031.424671773952</v>
      </c>
      <c r="AF487" s="399">
        <v>10865.610291505469</v>
      </c>
      <c r="AG487" s="399">
        <v>0</v>
      </c>
      <c r="AH487" s="399">
        <v>0</v>
      </c>
      <c r="AI487" s="399">
        <v>0</v>
      </c>
      <c r="AJ487" s="399">
        <v>0</v>
      </c>
      <c r="AK487" s="399">
        <v>0</v>
      </c>
      <c r="AL487" s="399">
        <v>801.81886894103729</v>
      </c>
      <c r="AM487" s="399"/>
      <c r="AN487" s="399">
        <v>20.758735372083969</v>
      </c>
      <c r="AO487" s="399">
        <v>2006.3113306568996</v>
      </c>
      <c r="AP487" s="399">
        <v>11309.966336009065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251.67543947830933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11117.285730983778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70353.483600000007</v>
      </c>
      <c r="CJ487" s="399">
        <v>-16240.315619999979</v>
      </c>
      <c r="CK487" s="399"/>
      <c r="CL487" s="399"/>
      <c r="CM487" s="399"/>
      <c r="CN487" s="399"/>
      <c r="CO487" s="399">
        <v>-16736.477420000003</v>
      </c>
      <c r="CP487" s="399">
        <v>497.0100399999987</v>
      </c>
      <c r="CQ487" s="399">
        <v>31</v>
      </c>
      <c r="CR487" s="399">
        <v>1085.0034264305505</v>
      </c>
      <c r="CS487" s="399">
        <v>146.45232097293797</v>
      </c>
      <c r="CT487" s="399">
        <v>825.58015534508013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0</v>
      </c>
      <c r="DA487" s="399">
        <v>0</v>
      </c>
      <c r="DB487" s="399">
        <v>0</v>
      </c>
      <c r="DC487" s="399">
        <v>496.96205711942275</v>
      </c>
      <c r="DD487" s="399">
        <v>0</v>
      </c>
      <c r="DE487" s="399">
        <v>0</v>
      </c>
      <c r="DF487" s="399">
        <v>0</v>
      </c>
      <c r="DG487" s="399">
        <v>11.51091754389148</v>
      </c>
      <c r="DH487" s="399">
        <v>0</v>
      </c>
      <c r="DI487" s="399">
        <v>-329.04728346914362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-64.022495163203757</v>
      </c>
      <c r="DP487" s="399">
        <v>-2.4322459184318745</v>
      </c>
      <c r="DQ487" s="399">
        <v>0</v>
      </c>
      <c r="DR487" s="399">
        <v>0</v>
      </c>
      <c r="DS487" s="399"/>
      <c r="DT487" s="399"/>
      <c r="DU487" s="399">
        <v>56031.424671773952</v>
      </c>
      <c r="DV487" s="399">
        <v>0</v>
      </c>
      <c r="DW487" s="399">
        <v>0</v>
      </c>
      <c r="DX487" s="399">
        <v>0</v>
      </c>
      <c r="DY487" s="399">
        <v>-16736.477420000003</v>
      </c>
      <c r="DZ487" s="399">
        <v>497.01003999999921</v>
      </c>
      <c r="EA487" s="399">
        <v>0</v>
      </c>
      <c r="EB487" s="399">
        <v>0</v>
      </c>
      <c r="EC487" s="399">
        <v>-17324.968332709723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1818.3277656583232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230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486</v>
      </c>
      <c r="B488" s="399" t="s">
        <v>956</v>
      </c>
      <c r="C488" s="399" t="s">
        <v>2336</v>
      </c>
      <c r="D488" s="399" t="s">
        <v>535</v>
      </c>
      <c r="E488" s="399" t="s">
        <v>890</v>
      </c>
      <c r="F488" s="399" t="s">
        <v>1239</v>
      </c>
      <c r="G488" s="399" t="s">
        <v>1239</v>
      </c>
      <c r="H488" s="399" t="s">
        <v>1239</v>
      </c>
      <c r="I488" s="399" t="s">
        <v>2326</v>
      </c>
      <c r="J488" s="399" t="s">
        <v>2329</v>
      </c>
      <c r="K488" s="789">
        <v>44743</v>
      </c>
      <c r="L488" s="399">
        <v>2434</v>
      </c>
      <c r="M488" s="399">
        <v>2434</v>
      </c>
      <c r="N488" s="399">
        <v>869.30399999999997</v>
      </c>
      <c r="O488" s="399">
        <v>869.30399999999997</v>
      </c>
      <c r="P488" s="399">
        <v>869.30399999999997</v>
      </c>
      <c r="Q488" s="399">
        <v>869.30399999999997</v>
      </c>
      <c r="R488" s="399">
        <v>9.92</v>
      </c>
      <c r="S488" s="399">
        <v>75.12</v>
      </c>
      <c r="T488" s="399">
        <v>128.11000000000001</v>
      </c>
      <c r="U488" s="399">
        <v>24145.279999999999</v>
      </c>
      <c r="V488" s="399">
        <v>176668.65192</v>
      </c>
      <c r="W488" s="399">
        <v>200813.93192</v>
      </c>
      <c r="X488" s="399">
        <v>199146.66623999999</v>
      </c>
      <c r="Y488" s="399">
        <v>0</v>
      </c>
      <c r="Z488" s="399">
        <v>35654.28953771665</v>
      </c>
      <c r="AA488" s="399">
        <v>0</v>
      </c>
      <c r="AB488" s="399">
        <v>0</v>
      </c>
      <c r="AC488" s="399">
        <v>0</v>
      </c>
      <c r="AD488" s="399">
        <v>0</v>
      </c>
      <c r="AE488" s="399">
        <v>11975.811748997899</v>
      </c>
      <c r="AF488" s="399">
        <v>111367.44510159727</v>
      </c>
      <c r="AG488" s="399">
        <v>0</v>
      </c>
      <c r="AH488" s="399">
        <v>0</v>
      </c>
      <c r="AI488" s="399">
        <v>0</v>
      </c>
      <c r="AJ488" s="399">
        <v>0</v>
      </c>
      <c r="AK488" s="399">
        <v>0</v>
      </c>
      <c r="AL488" s="399">
        <v>8218.2699795543122</v>
      </c>
      <c r="AM488" s="399"/>
      <c r="AN488" s="399">
        <v>212.76736970186624</v>
      </c>
      <c r="AO488" s="399">
        <v>1809.0546886733002</v>
      </c>
      <c r="AP488" s="399">
        <v>10353.129393207488</v>
      </c>
      <c r="AQ488" s="399">
        <v>0</v>
      </c>
      <c r="AR488" s="399">
        <v>0</v>
      </c>
      <c r="AS488" s="399">
        <v>0</v>
      </c>
      <c r="AT488" s="399">
        <v>0</v>
      </c>
      <c r="AU488" s="399">
        <v>0</v>
      </c>
      <c r="AV488" s="399">
        <v>0</v>
      </c>
      <c r="AW488" s="399">
        <v>0</v>
      </c>
      <c r="AX488" s="399">
        <v>0</v>
      </c>
      <c r="AY488" s="399">
        <v>0</v>
      </c>
      <c r="AZ488" s="399">
        <v>0</v>
      </c>
      <c r="BA488" s="399"/>
      <c r="BB488" s="399">
        <v>0</v>
      </c>
      <c r="BC488" s="399">
        <v>0</v>
      </c>
      <c r="BD488" s="399">
        <v>0</v>
      </c>
      <c r="BE488" s="399">
        <v>0</v>
      </c>
      <c r="BF488" s="399">
        <v>0</v>
      </c>
      <c r="BG488" s="399">
        <v>2579.5560431090648</v>
      </c>
      <c r="BH488" s="399">
        <v>0</v>
      </c>
      <c r="BI488" s="399">
        <v>0</v>
      </c>
      <c r="BJ488" s="399">
        <v>0</v>
      </c>
      <c r="BK488" s="399">
        <v>0</v>
      </c>
      <c r="BL488" s="399">
        <v>0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>
        <v>113947.00114470634</v>
      </c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>
        <v>199145.848</v>
      </c>
      <c r="CJ488" s="399">
        <v>-1668.1139200000325</v>
      </c>
      <c r="CK488" s="399"/>
      <c r="CL488" s="399"/>
      <c r="CM488" s="399"/>
      <c r="CN488" s="399"/>
      <c r="CO488" s="399">
        <v>-6761.3871200000012</v>
      </c>
      <c r="CP488" s="399">
        <v>5094.1214399999872</v>
      </c>
      <c r="CQ488" s="399">
        <v>31</v>
      </c>
      <c r="CR488" s="399">
        <v>2045.6881053779798</v>
      </c>
      <c r="CS488" s="399">
        <v>132.05341258598787</v>
      </c>
      <c r="CT488" s="399">
        <v>755.73506753406946</v>
      </c>
      <c r="CU488" s="399">
        <v>0</v>
      </c>
      <c r="CV488" s="399">
        <v>0</v>
      </c>
      <c r="CW488" s="399">
        <v>0</v>
      </c>
      <c r="CX488" s="399">
        <v>0</v>
      </c>
      <c r="CY488" s="399">
        <v>0</v>
      </c>
      <c r="CZ488" s="399">
        <v>0</v>
      </c>
      <c r="DA488" s="399">
        <v>0</v>
      </c>
      <c r="DB488" s="399">
        <v>0</v>
      </c>
      <c r="DC488" s="399">
        <v>5093.6296378209081</v>
      </c>
      <c r="DD488" s="399">
        <v>0</v>
      </c>
      <c r="DE488" s="399">
        <v>0</v>
      </c>
      <c r="DF488" s="399">
        <v>0</v>
      </c>
      <c r="DG488" s="399">
        <v>117.9815439028348</v>
      </c>
      <c r="DH488" s="399">
        <v>0</v>
      </c>
      <c r="DI488" s="399">
        <v>-3372.5814100132084</v>
      </c>
      <c r="DJ488" s="399"/>
      <c r="DK488" s="399">
        <v>0</v>
      </c>
      <c r="DL488" s="399">
        <v>0</v>
      </c>
      <c r="DM488" s="399">
        <v>0</v>
      </c>
      <c r="DN488" s="399">
        <v>0</v>
      </c>
      <c r="DO488" s="399">
        <v>-656.20075854639072</v>
      </c>
      <c r="DP488" s="399">
        <v>-24.929387906200645</v>
      </c>
      <c r="DQ488" s="399">
        <v>0</v>
      </c>
      <c r="DR488" s="399">
        <v>0</v>
      </c>
      <c r="DS488" s="399"/>
      <c r="DT488" s="399"/>
      <c r="DU488" s="399">
        <v>11975.811748997899</v>
      </c>
      <c r="DV488" s="399">
        <v>0</v>
      </c>
      <c r="DW488" s="399">
        <v>0</v>
      </c>
      <c r="DX488" s="399">
        <v>0</v>
      </c>
      <c r="DY488" s="399">
        <v>-6761.3871199999994</v>
      </c>
      <c r="DZ488" s="399">
        <v>5094.1214399999881</v>
      </c>
      <c r="EA488" s="399">
        <v>0</v>
      </c>
      <c r="EB488" s="399">
        <v>0</v>
      </c>
      <c r="EC488" s="399">
        <v>-3702.9320693750196</v>
      </c>
      <c r="ED488" s="399">
        <v>0</v>
      </c>
      <c r="EE488" s="399">
        <v>0</v>
      </c>
      <c r="EF488" s="399">
        <v>0</v>
      </c>
      <c r="EG488" s="399">
        <v>0</v>
      </c>
      <c r="EH488" s="399">
        <v>0</v>
      </c>
      <c r="EI488" s="399">
        <v>0</v>
      </c>
      <c r="EJ488" s="399">
        <v>0</v>
      </c>
      <c r="EK488" s="399">
        <v>0</v>
      </c>
      <c r="EL488" s="399">
        <v>0</v>
      </c>
      <c r="EM488" s="399">
        <v>0</v>
      </c>
      <c r="EN488" s="399">
        <v>0</v>
      </c>
      <c r="EO488" s="399">
        <v>0</v>
      </c>
      <c r="EP488" s="399">
        <v>18637.012757302367</v>
      </c>
      <c r="EQ488" s="399">
        <v>0</v>
      </c>
      <c r="ER488" s="399">
        <v>0</v>
      </c>
      <c r="ES488" s="399">
        <v>0</v>
      </c>
      <c r="ET488" s="399">
        <v>0</v>
      </c>
      <c r="EU488" s="399">
        <v>0</v>
      </c>
      <c r="EV488" s="399">
        <v>230</v>
      </c>
      <c r="EW488" s="399">
        <v>0</v>
      </c>
      <c r="EX488" s="399">
        <v>0</v>
      </c>
      <c r="EY488" s="399">
        <v>0</v>
      </c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487</v>
      </c>
      <c r="B489" s="399" t="s">
        <v>956</v>
      </c>
      <c r="C489" s="399" t="s">
        <v>2336</v>
      </c>
      <c r="D489" s="399" t="s">
        <v>535</v>
      </c>
      <c r="E489" s="399" t="s">
        <v>890</v>
      </c>
      <c r="F489" s="399" t="s">
        <v>1239</v>
      </c>
      <c r="G489" s="399" t="s">
        <v>1239</v>
      </c>
      <c r="H489" s="399" t="s">
        <v>1239</v>
      </c>
      <c r="I489" s="399" t="s">
        <v>1239</v>
      </c>
      <c r="J489" s="399" t="s">
        <v>2329</v>
      </c>
      <c r="K489" s="789">
        <v>44743</v>
      </c>
      <c r="L489" s="399">
        <v>0</v>
      </c>
      <c r="M489" s="399">
        <v>0</v>
      </c>
      <c r="N489" s="399">
        <v>0</v>
      </c>
      <c r="O489" s="399">
        <v>0</v>
      </c>
      <c r="P489" s="399">
        <v>0</v>
      </c>
      <c r="Q489" s="399">
        <v>0</v>
      </c>
      <c r="R489" s="399"/>
      <c r="S489" s="399"/>
      <c r="T489" s="399"/>
      <c r="U489" s="399"/>
      <c r="V489" s="399"/>
      <c r="W489" s="399"/>
      <c r="X489" s="399"/>
      <c r="Y489" s="399"/>
      <c r="Z489" s="399"/>
      <c r="AA489" s="399">
        <v>0</v>
      </c>
      <c r="AB489" s="399"/>
      <c r="AC489" s="399"/>
      <c r="AD489" s="399"/>
      <c r="AE489" s="399"/>
      <c r="AF489" s="399"/>
      <c r="AG489" s="399"/>
      <c r="AH489" s="399"/>
      <c r="AI489" s="399"/>
      <c r="AJ489" s="399"/>
      <c r="AK489" s="399"/>
      <c r="AL489" s="399"/>
      <c r="AM489" s="399"/>
      <c r="AN489" s="399"/>
      <c r="AO489" s="399"/>
      <c r="AP489" s="399"/>
      <c r="AQ489" s="399"/>
      <c r="AR489" s="399"/>
      <c r="AS489" s="399"/>
      <c r="AT489" s="399"/>
      <c r="AU489" s="399"/>
      <c r="AV489" s="399"/>
      <c r="AW489" s="399"/>
      <c r="AX489" s="399"/>
      <c r="AY489" s="399"/>
      <c r="AZ489" s="399">
        <v>0</v>
      </c>
      <c r="BA489" s="399"/>
      <c r="BB489" s="399"/>
      <c r="BC489" s="399"/>
      <c r="BD489" s="399"/>
      <c r="BE489" s="399"/>
      <c r="BF489" s="399"/>
      <c r="BG489" s="399"/>
      <c r="BH489" s="399"/>
      <c r="BI489" s="399">
        <v>0</v>
      </c>
      <c r="BJ489" s="399">
        <v>0</v>
      </c>
      <c r="BK489" s="399">
        <v>26180.65</v>
      </c>
      <c r="BL489" s="399">
        <v>1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/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/>
      <c r="CJ489" s="399">
        <v>-0.03</v>
      </c>
      <c r="CK489" s="399"/>
      <c r="CL489" s="399"/>
      <c r="CM489" s="399"/>
      <c r="CN489" s="399"/>
      <c r="CO489" s="399">
        <v>0</v>
      </c>
      <c r="CP489" s="399">
        <v>0</v>
      </c>
      <c r="CQ489" s="399">
        <v>31</v>
      </c>
      <c r="CR489" s="399"/>
      <c r="CS489" s="399"/>
      <c r="CT489" s="399"/>
      <c r="CU489" s="399"/>
      <c r="CV489" s="399"/>
      <c r="CW489" s="399"/>
      <c r="CX489" s="399"/>
      <c r="CY489" s="399"/>
      <c r="CZ489" s="399"/>
      <c r="DA489" s="399"/>
      <c r="DB489" s="399"/>
      <c r="DC489" s="399"/>
      <c r="DD489" s="399"/>
      <c r="DE489" s="399"/>
      <c r="DF489" s="399"/>
      <c r="DG489" s="399"/>
      <c r="DH489" s="399"/>
      <c r="DI489" s="399"/>
      <c r="DJ489" s="399"/>
      <c r="DK489" s="399">
        <v>0</v>
      </c>
      <c r="DL489" s="399"/>
      <c r="DM489" s="399"/>
      <c r="DN489" s="399"/>
      <c r="DO489" s="399"/>
      <c r="DP489" s="399"/>
      <c r="DQ489" s="399"/>
      <c r="DR489" s="399"/>
      <c r="DS489" s="399"/>
      <c r="DT489" s="399"/>
      <c r="DU489" s="399"/>
      <c r="DV489" s="399"/>
      <c r="DW489" s="399"/>
      <c r="DX489" s="399"/>
      <c r="DY489" s="399"/>
      <c r="DZ489" s="399"/>
      <c r="EA489" s="399"/>
      <c r="EB489" s="399"/>
      <c r="EC489" s="399"/>
      <c r="ED489" s="399"/>
      <c r="EE489" s="399"/>
      <c r="EF489" s="399"/>
      <c r="EG489" s="399"/>
      <c r="EH489" s="399"/>
      <c r="EI489" s="399"/>
      <c r="EJ489" s="399"/>
      <c r="EK489" s="399"/>
      <c r="EL489" s="399"/>
      <c r="EM489" s="399"/>
      <c r="EN489" s="399"/>
      <c r="EO489" s="399"/>
      <c r="EP489" s="399"/>
      <c r="EQ489" s="399"/>
      <c r="ER489" s="399"/>
      <c r="ES489" s="399"/>
      <c r="ET489" s="399"/>
      <c r="EU489" s="399"/>
      <c r="EV489" s="399">
        <v>230</v>
      </c>
      <c r="EW489" s="399"/>
      <c r="EX489" s="399"/>
      <c r="EY489" s="399"/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488</v>
      </c>
      <c r="B490" s="399" t="s">
        <v>956</v>
      </c>
      <c r="C490" s="399" t="s">
        <v>2336</v>
      </c>
      <c r="D490" s="399" t="s">
        <v>533</v>
      </c>
      <c r="E490" s="399" t="s">
        <v>890</v>
      </c>
      <c r="F490" s="399" t="s">
        <v>1239</v>
      </c>
      <c r="G490" s="399" t="s">
        <v>1239</v>
      </c>
      <c r="H490" s="399" t="s">
        <v>1239</v>
      </c>
      <c r="I490" s="399" t="s">
        <v>893</v>
      </c>
      <c r="J490" s="399" t="s">
        <v>2329</v>
      </c>
      <c r="K490" s="789">
        <v>44743</v>
      </c>
      <c r="L490" s="399">
        <v>6156</v>
      </c>
      <c r="M490" s="399">
        <v>6156</v>
      </c>
      <c r="N490" s="399">
        <v>345.2</v>
      </c>
      <c r="O490" s="399">
        <v>345.2</v>
      </c>
      <c r="P490" s="399">
        <v>345.2</v>
      </c>
      <c r="Q490" s="399">
        <v>345.2</v>
      </c>
      <c r="R490" s="399">
        <v>52.19</v>
      </c>
      <c r="S490" s="399">
        <v>96.28</v>
      </c>
      <c r="T490" s="399">
        <v>128.11000000000001</v>
      </c>
      <c r="U490" s="399">
        <v>321281.64</v>
      </c>
      <c r="V490" s="399">
        <v>77459.428</v>
      </c>
      <c r="W490" s="399">
        <v>398741.06800000003</v>
      </c>
      <c r="X490" s="399">
        <v>312335.56800000003</v>
      </c>
      <c r="Y490" s="399">
        <v>0</v>
      </c>
      <c r="Z490" s="399">
        <v>18384.649134859828</v>
      </c>
      <c r="AA490" s="399">
        <v>0</v>
      </c>
      <c r="AB490" s="399">
        <v>0</v>
      </c>
      <c r="AC490" s="399">
        <v>0</v>
      </c>
      <c r="AD490" s="399">
        <v>0</v>
      </c>
      <c r="AE490" s="399">
        <v>287692.32802998344</v>
      </c>
      <c r="AF490" s="399">
        <v>44223.933225973167</v>
      </c>
      <c r="AG490" s="399">
        <v>0</v>
      </c>
      <c r="AH490" s="399">
        <v>0</v>
      </c>
      <c r="AI490" s="399">
        <v>0</v>
      </c>
      <c r="AJ490" s="399">
        <v>0</v>
      </c>
      <c r="AK490" s="399">
        <v>0</v>
      </c>
      <c r="AL490" s="399">
        <v>3263.4691626199219</v>
      </c>
      <c r="AM490" s="399"/>
      <c r="AN490" s="399">
        <v>169.70054530932464</v>
      </c>
      <c r="AO490" s="399">
        <v>5316.504030879606</v>
      </c>
      <c r="AP490" s="399">
        <v>28282.412705525283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1808.3700064674667</v>
      </c>
      <c r="BH490" s="399">
        <v>0</v>
      </c>
      <c r="BI490" s="399">
        <v>0</v>
      </c>
      <c r="BJ490" s="399">
        <v>0</v>
      </c>
      <c r="BK490" s="399">
        <v>0</v>
      </c>
      <c r="BL490" s="399">
        <v>0</v>
      </c>
      <c r="BM490" s="399"/>
      <c r="BN490" s="399"/>
      <c r="BO490" s="399"/>
      <c r="BP490" s="399"/>
      <c r="BQ490" s="399"/>
      <c r="BR490" s="399"/>
      <c r="BS490" s="399"/>
      <c r="BT490" s="399"/>
      <c r="BU490" s="399"/>
      <c r="BV490" s="399">
        <v>46032.303232440638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312335.56800000003</v>
      </c>
      <c r="CJ490" s="399">
        <v>-86405.530000000028</v>
      </c>
      <c r="CK490" s="399"/>
      <c r="CL490" s="399"/>
      <c r="CM490" s="399"/>
      <c r="CN490" s="399"/>
      <c r="CO490" s="399">
        <v>-88428.371999999988</v>
      </c>
      <c r="CP490" s="399">
        <v>2022.8719999999948</v>
      </c>
      <c r="CQ490" s="399">
        <v>31</v>
      </c>
      <c r="CR490" s="399">
        <v>2538.4806253944116</v>
      </c>
      <c r="CS490" s="399">
        <v>388.08251884285801</v>
      </c>
      <c r="CT490" s="399">
        <v>2064.4976281335585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0</v>
      </c>
      <c r="DA490" s="399">
        <v>0</v>
      </c>
      <c r="DB490" s="399">
        <v>0</v>
      </c>
      <c r="DC490" s="399">
        <v>2022.6767057045436</v>
      </c>
      <c r="DD490" s="399">
        <v>0</v>
      </c>
      <c r="DE490" s="399">
        <v>0</v>
      </c>
      <c r="DF490" s="399">
        <v>0</v>
      </c>
      <c r="DG490" s="399">
        <v>82.709691801632289</v>
      </c>
      <c r="DH490" s="399">
        <v>0</v>
      </c>
      <c r="DI490" s="399">
        <v>-1739.0257022581682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-260.57685441481226</v>
      </c>
      <c r="DP490" s="399">
        <v>-19.883362415194767</v>
      </c>
      <c r="DQ490" s="399">
        <v>0</v>
      </c>
      <c r="DR490" s="399">
        <v>0</v>
      </c>
      <c r="DS490" s="399"/>
      <c r="DT490" s="399"/>
      <c r="DU490" s="399">
        <v>287692.32802998344</v>
      </c>
      <c r="DV490" s="399">
        <v>0</v>
      </c>
      <c r="DW490" s="399">
        <v>0</v>
      </c>
      <c r="DX490" s="399">
        <v>0</v>
      </c>
      <c r="DY490" s="399">
        <v>-88428.372000000032</v>
      </c>
      <c r="DZ490" s="399">
        <v>2022.8719999999958</v>
      </c>
      <c r="EA490" s="399">
        <v>0</v>
      </c>
      <c r="EB490" s="399">
        <v>0</v>
      </c>
      <c r="EC490" s="399">
        <v>-88954.733917266625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9609.9219731318735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230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489</v>
      </c>
      <c r="B491" s="399" t="s">
        <v>956</v>
      </c>
      <c r="C491" s="399" t="s">
        <v>2336</v>
      </c>
      <c r="D491" s="399" t="s">
        <v>533</v>
      </c>
      <c r="E491" s="399" t="s">
        <v>890</v>
      </c>
      <c r="F491" s="399" t="s">
        <v>1239</v>
      </c>
      <c r="G491" s="399" t="s">
        <v>1239</v>
      </c>
      <c r="H491" s="399" t="s">
        <v>1239</v>
      </c>
      <c r="I491" s="399" t="s">
        <v>2326</v>
      </c>
      <c r="J491" s="399" t="s">
        <v>2329</v>
      </c>
      <c r="K491" s="789">
        <v>44743</v>
      </c>
      <c r="L491" s="399">
        <v>6209</v>
      </c>
      <c r="M491" s="399">
        <v>6209</v>
      </c>
      <c r="N491" s="399">
        <v>3121.3009999999999</v>
      </c>
      <c r="O491" s="399">
        <v>3121.3009999999999</v>
      </c>
      <c r="P491" s="399">
        <v>3121.3009999999999</v>
      </c>
      <c r="Q491" s="399">
        <v>3121.3009999999999</v>
      </c>
      <c r="R491" s="399">
        <v>18.12</v>
      </c>
      <c r="S491" s="399">
        <v>96.28</v>
      </c>
      <c r="T491" s="399">
        <v>128.11000000000001</v>
      </c>
      <c r="U491" s="399">
        <v>112507.08</v>
      </c>
      <c r="V491" s="399">
        <v>700388.73139000009</v>
      </c>
      <c r="W491" s="399">
        <v>812895.81139000005</v>
      </c>
      <c r="X491" s="399">
        <v>790889.10664000001</v>
      </c>
      <c r="Y491" s="399">
        <v>0</v>
      </c>
      <c r="Z491" s="399">
        <v>166234.13594810865</v>
      </c>
      <c r="AA491" s="399">
        <v>0</v>
      </c>
      <c r="AB491" s="399">
        <v>0</v>
      </c>
      <c r="AC491" s="399">
        <v>0</v>
      </c>
      <c r="AD491" s="399">
        <v>0</v>
      </c>
      <c r="AE491" s="399">
        <v>81082.948016380658</v>
      </c>
      <c r="AF491" s="399">
        <v>399873.1373179701</v>
      </c>
      <c r="AG491" s="399">
        <v>0</v>
      </c>
      <c r="AH491" s="399">
        <v>0</v>
      </c>
      <c r="AI491" s="399">
        <v>0</v>
      </c>
      <c r="AJ491" s="399">
        <v>0</v>
      </c>
      <c r="AK491" s="399">
        <v>0</v>
      </c>
      <c r="AL491" s="399">
        <v>29508.312748420409</v>
      </c>
      <c r="AM491" s="399"/>
      <c r="AN491" s="399">
        <v>1534.4336088486104</v>
      </c>
      <c r="AO491" s="399">
        <v>4935.3503879215805</v>
      </c>
      <c r="AP491" s="399">
        <v>26458.542336427592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16351.295218878651</v>
      </c>
      <c r="BH491" s="399">
        <v>0</v>
      </c>
      <c r="BI491" s="399">
        <v>0</v>
      </c>
      <c r="BJ491" s="399">
        <v>0</v>
      </c>
      <c r="BK491" s="399">
        <v>0</v>
      </c>
      <c r="BL491" s="399">
        <v>0</v>
      </c>
      <c r="BM491" s="399"/>
      <c r="BN491" s="399"/>
      <c r="BO491" s="399"/>
      <c r="BP491" s="399"/>
      <c r="BQ491" s="399"/>
      <c r="BR491" s="399"/>
      <c r="BS491" s="399"/>
      <c r="BT491" s="399"/>
      <c r="BU491" s="399"/>
      <c r="BV491" s="399">
        <v>416224.43253684876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790888.88199999998</v>
      </c>
      <c r="CJ491" s="399">
        <v>-22006.959389999975</v>
      </c>
      <c r="CK491" s="399"/>
      <c r="CL491" s="399"/>
      <c r="CM491" s="399"/>
      <c r="CN491" s="399"/>
      <c r="CO491" s="399">
        <v>-40297.528610000008</v>
      </c>
      <c r="CP491" s="399">
        <v>18290.823859999953</v>
      </c>
      <c r="CQ491" s="399">
        <v>31</v>
      </c>
      <c r="CR491" s="399">
        <v>3068.3354056861717</v>
      </c>
      <c r="CS491" s="399">
        <v>360.25989988759193</v>
      </c>
      <c r="CT491" s="399">
        <v>1931.3627329522387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0</v>
      </c>
      <c r="DA491" s="399">
        <v>0</v>
      </c>
      <c r="DB491" s="399">
        <v>0</v>
      </c>
      <c r="DC491" s="399">
        <v>18289.058007509506</v>
      </c>
      <c r="DD491" s="399">
        <v>0</v>
      </c>
      <c r="DE491" s="399">
        <v>0</v>
      </c>
      <c r="DF491" s="399">
        <v>0</v>
      </c>
      <c r="DG491" s="399">
        <v>747.86165622864064</v>
      </c>
      <c r="DH491" s="399">
        <v>0</v>
      </c>
      <c r="DI491" s="399">
        <v>-15724.283497926168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-2356.1378802485742</v>
      </c>
      <c r="DP491" s="399">
        <v>-179.78551271700417</v>
      </c>
      <c r="DQ491" s="399">
        <v>0</v>
      </c>
      <c r="DR491" s="399">
        <v>0</v>
      </c>
      <c r="DS491" s="399"/>
      <c r="DT491" s="399"/>
      <c r="DU491" s="399">
        <v>81082.948016380658</v>
      </c>
      <c r="DV491" s="399">
        <v>0</v>
      </c>
      <c r="DW491" s="399">
        <v>0</v>
      </c>
      <c r="DX491" s="399">
        <v>0</v>
      </c>
      <c r="DY491" s="399">
        <v>-40297.528610000038</v>
      </c>
      <c r="DZ491" s="399">
        <v>18290.823860000004</v>
      </c>
      <c r="EA491" s="399">
        <v>0</v>
      </c>
      <c r="EB491" s="399">
        <v>0</v>
      </c>
      <c r="EC491" s="399">
        <v>-25070.92252134376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86892.986861698984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230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490</v>
      </c>
      <c r="B492" s="399" t="s">
        <v>956</v>
      </c>
      <c r="C492" s="399" t="s">
        <v>2336</v>
      </c>
      <c r="D492" s="399" t="s">
        <v>533</v>
      </c>
      <c r="E492" s="399" t="s">
        <v>890</v>
      </c>
      <c r="F492" s="399" t="s">
        <v>1239</v>
      </c>
      <c r="G492" s="399" t="s">
        <v>1239</v>
      </c>
      <c r="H492" s="399" t="s">
        <v>1239</v>
      </c>
      <c r="I492" s="399" t="s">
        <v>1239</v>
      </c>
      <c r="J492" s="399" t="s">
        <v>2329</v>
      </c>
      <c r="K492" s="789">
        <v>44743</v>
      </c>
      <c r="L492" s="399">
        <v>0</v>
      </c>
      <c r="M492" s="399">
        <v>0</v>
      </c>
      <c r="N492" s="399">
        <v>0</v>
      </c>
      <c r="O492" s="399">
        <v>0</v>
      </c>
      <c r="P492" s="399">
        <v>0</v>
      </c>
      <c r="Q492" s="399">
        <v>0</v>
      </c>
      <c r="R492" s="399"/>
      <c r="S492" s="399"/>
      <c r="T492" s="399"/>
      <c r="U492" s="399"/>
      <c r="V492" s="399"/>
      <c r="W492" s="399"/>
      <c r="X492" s="399"/>
      <c r="Y492" s="399"/>
      <c r="Z492" s="399"/>
      <c r="AA492" s="399">
        <v>0</v>
      </c>
      <c r="AB492" s="399"/>
      <c r="AC492" s="399"/>
      <c r="AD492" s="399"/>
      <c r="AE492" s="399"/>
      <c r="AF492" s="399"/>
      <c r="AG492" s="399"/>
      <c r="AH492" s="399"/>
      <c r="AI492" s="399"/>
      <c r="AJ492" s="399"/>
      <c r="AK492" s="399"/>
      <c r="AL492" s="399"/>
      <c r="AM492" s="399"/>
      <c r="AN492" s="399"/>
      <c r="AO492" s="399"/>
      <c r="AP492" s="399"/>
      <c r="AQ492" s="399"/>
      <c r="AR492" s="399"/>
      <c r="AS492" s="399"/>
      <c r="AT492" s="399"/>
      <c r="AU492" s="399"/>
      <c r="AV492" s="399"/>
      <c r="AW492" s="399"/>
      <c r="AX492" s="399"/>
      <c r="AY492" s="399"/>
      <c r="AZ492" s="399">
        <v>0</v>
      </c>
      <c r="BA492" s="399"/>
      <c r="BB492" s="399"/>
      <c r="BC492" s="399"/>
      <c r="BD492" s="399"/>
      <c r="BE492" s="399"/>
      <c r="BF492" s="399"/>
      <c r="BG492" s="399"/>
      <c r="BH492" s="399"/>
      <c r="BI492" s="399">
        <v>0</v>
      </c>
      <c r="BJ492" s="399">
        <v>0</v>
      </c>
      <c r="BK492" s="399">
        <v>0</v>
      </c>
      <c r="BL492" s="399">
        <v>1</v>
      </c>
      <c r="BM492" s="399"/>
      <c r="BN492" s="399"/>
      <c r="BO492" s="399"/>
      <c r="BP492" s="399"/>
      <c r="BQ492" s="399"/>
      <c r="BR492" s="399"/>
      <c r="BS492" s="399"/>
      <c r="BT492" s="399"/>
      <c r="BU492" s="399"/>
      <c r="BV492" s="399"/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/>
      <c r="CJ492" s="399">
        <v>-0.03</v>
      </c>
      <c r="CK492" s="399"/>
      <c r="CL492" s="399"/>
      <c r="CM492" s="399"/>
      <c r="CN492" s="399"/>
      <c r="CO492" s="399">
        <v>0</v>
      </c>
      <c r="CP492" s="399">
        <v>0</v>
      </c>
      <c r="CQ492" s="399">
        <v>31</v>
      </c>
      <c r="CR492" s="399"/>
      <c r="CS492" s="399"/>
      <c r="CT492" s="399"/>
      <c r="CU492" s="399"/>
      <c r="CV492" s="399"/>
      <c r="CW492" s="399"/>
      <c r="CX492" s="399"/>
      <c r="CY492" s="399"/>
      <c r="CZ492" s="399"/>
      <c r="DA492" s="399"/>
      <c r="DB492" s="399"/>
      <c r="DC492" s="399"/>
      <c r="DD492" s="399"/>
      <c r="DE492" s="399"/>
      <c r="DF492" s="399"/>
      <c r="DG492" s="399"/>
      <c r="DH492" s="399"/>
      <c r="DI492" s="399"/>
      <c r="DJ492" s="399"/>
      <c r="DK492" s="399">
        <v>0</v>
      </c>
      <c r="DL492" s="399"/>
      <c r="DM492" s="399"/>
      <c r="DN492" s="399"/>
      <c r="DO492" s="399"/>
      <c r="DP492" s="399"/>
      <c r="DQ492" s="399"/>
      <c r="DR492" s="399"/>
      <c r="DS492" s="399"/>
      <c r="DT492" s="399"/>
      <c r="DU492" s="399"/>
      <c r="DV492" s="399"/>
      <c r="DW492" s="399"/>
      <c r="DX492" s="399"/>
      <c r="DY492" s="399"/>
      <c r="DZ492" s="399"/>
      <c r="EA492" s="399"/>
      <c r="EB492" s="399"/>
      <c r="EC492" s="399"/>
      <c r="ED492" s="399"/>
      <c r="EE492" s="399"/>
      <c r="EF492" s="399"/>
      <c r="EG492" s="399"/>
      <c r="EH492" s="399"/>
      <c r="EI492" s="399"/>
      <c r="EJ492" s="399"/>
      <c r="EK492" s="399"/>
      <c r="EL492" s="399"/>
      <c r="EM492" s="399"/>
      <c r="EN492" s="399"/>
      <c r="EO492" s="399"/>
      <c r="EP492" s="399"/>
      <c r="EQ492" s="399"/>
      <c r="ER492" s="399"/>
      <c r="ES492" s="399"/>
      <c r="ET492" s="399"/>
      <c r="EU492" s="399"/>
      <c r="EV492" s="399">
        <v>230</v>
      </c>
      <c r="EW492" s="399"/>
      <c r="EX492" s="399"/>
      <c r="EY492" s="399"/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491</v>
      </c>
      <c r="B493" s="399" t="s">
        <v>956</v>
      </c>
      <c r="C493" s="399" t="s">
        <v>2337</v>
      </c>
      <c r="D493" s="399" t="s">
        <v>533</v>
      </c>
      <c r="E493" s="399" t="s">
        <v>890</v>
      </c>
      <c r="F493" s="399" t="s">
        <v>1239</v>
      </c>
      <c r="G493" s="399" t="s">
        <v>1239</v>
      </c>
      <c r="H493" s="399" t="s">
        <v>1239</v>
      </c>
      <c r="I493" s="399" t="s">
        <v>893</v>
      </c>
      <c r="J493" s="399" t="s">
        <v>2329</v>
      </c>
      <c r="K493" s="789">
        <v>44743</v>
      </c>
      <c r="L493" s="399">
        <v>0</v>
      </c>
      <c r="M493" s="399">
        <v>0</v>
      </c>
      <c r="N493" s="399">
        <v>893.82100000000003</v>
      </c>
      <c r="O493" s="399">
        <v>893.82100000000003</v>
      </c>
      <c r="P493" s="399">
        <v>893.82100000000003</v>
      </c>
      <c r="Q493" s="399">
        <v>893.82100000000003</v>
      </c>
      <c r="R493" s="399"/>
      <c r="S493" s="399">
        <v>1351.49</v>
      </c>
      <c r="T493" s="399">
        <v>128.11000000000001</v>
      </c>
      <c r="U493" s="399"/>
      <c r="V493" s="399">
        <v>1322497.5516000001</v>
      </c>
      <c r="W493" s="399">
        <v>1322497.5516000001</v>
      </c>
      <c r="X493" s="399">
        <v>1020663.1381100002</v>
      </c>
      <c r="Y493" s="399">
        <v>0</v>
      </c>
      <c r="Z493" s="399">
        <v>47603.086542206103</v>
      </c>
      <c r="AA493" s="399">
        <v>0</v>
      </c>
      <c r="AB493" s="399">
        <v>0</v>
      </c>
      <c r="AC493" s="399">
        <v>0</v>
      </c>
      <c r="AD493" s="399">
        <v>0</v>
      </c>
      <c r="AE493" s="399">
        <v>1004605.3139729414</v>
      </c>
      <c r="AF493" s="399">
        <v>114508.34362680349</v>
      </c>
      <c r="AG493" s="399">
        <v>0</v>
      </c>
      <c r="AH493" s="399">
        <v>0</v>
      </c>
      <c r="AI493" s="399">
        <v>0</v>
      </c>
      <c r="AJ493" s="399">
        <v>0</v>
      </c>
      <c r="AK493" s="399">
        <v>0</v>
      </c>
      <c r="AL493" s="399">
        <v>8450.0500301335505</v>
      </c>
      <c r="AM493" s="399"/>
      <c r="AN493" s="399">
        <v>439.40298698993593</v>
      </c>
      <c r="AO493" s="399">
        <v>18566.922744041196</v>
      </c>
      <c r="AP493" s="399">
        <v>98760.139207549233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4682.384378768128</v>
      </c>
      <c r="BH493" s="399">
        <v>0</v>
      </c>
      <c r="BI493" s="399">
        <v>0</v>
      </c>
      <c r="BJ493" s="399">
        <v>0</v>
      </c>
      <c r="BK493" s="399">
        <v>0</v>
      </c>
      <c r="BL493" s="399">
        <v>0</v>
      </c>
      <c r="BM493" s="399"/>
      <c r="BN493" s="399"/>
      <c r="BO493" s="399"/>
      <c r="BP493" s="399"/>
      <c r="BQ493" s="399"/>
      <c r="BR493" s="399"/>
      <c r="BS493" s="399"/>
      <c r="BT493" s="399"/>
      <c r="BU493" s="399"/>
      <c r="BV493" s="399">
        <v>119190.72800557161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1020661.9962000001</v>
      </c>
      <c r="CJ493" s="399">
        <v>-301835.5854000001</v>
      </c>
      <c r="CK493" s="399"/>
      <c r="CL493" s="399"/>
      <c r="CM493" s="399"/>
      <c r="CN493" s="399"/>
      <c r="CO493" s="399">
        <v>-307072.20454999997</v>
      </c>
      <c r="CP493" s="399">
        <v>5237.7910599999868</v>
      </c>
      <c r="CQ493" s="399">
        <v>31</v>
      </c>
      <c r="CR493" s="399">
        <v>8786.8047133903601</v>
      </c>
      <c r="CS493" s="399">
        <v>1355.3075674948923</v>
      </c>
      <c r="CT493" s="399">
        <v>7209.0763709242747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0</v>
      </c>
      <c r="DA493" s="399">
        <v>0</v>
      </c>
      <c r="DB493" s="399">
        <v>0</v>
      </c>
      <c r="DC493" s="399">
        <v>5237.285387513155</v>
      </c>
      <c r="DD493" s="399">
        <v>0</v>
      </c>
      <c r="DE493" s="399">
        <v>0</v>
      </c>
      <c r="DF493" s="399">
        <v>0</v>
      </c>
      <c r="DG493" s="399">
        <v>214.1589207295101</v>
      </c>
      <c r="DH493" s="399">
        <v>0</v>
      </c>
      <c r="DI493" s="399">
        <v>-4502.8322486039906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-674.70760309936941</v>
      </c>
      <c r="DP493" s="399">
        <v>-51.48368156811074</v>
      </c>
      <c r="DQ493" s="399">
        <v>0</v>
      </c>
      <c r="DR493" s="399">
        <v>0</v>
      </c>
      <c r="DS493" s="399"/>
      <c r="DT493" s="399"/>
      <c r="DU493" s="399"/>
      <c r="DV493" s="399">
        <v>1004605.3139729414</v>
      </c>
      <c r="DW493" s="399">
        <v>0</v>
      </c>
      <c r="DX493" s="399">
        <v>0</v>
      </c>
      <c r="DY493" s="399">
        <v>-307072.20454999991</v>
      </c>
      <c r="DZ493" s="399">
        <v>5237.7910599999886</v>
      </c>
      <c r="EA493" s="399">
        <v>0</v>
      </c>
      <c r="EB493" s="399">
        <v>0</v>
      </c>
      <c r="EC493" s="399">
        <v>-310624.89225302241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24882.821749555926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230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492</v>
      </c>
      <c r="B494" s="399" t="s">
        <v>956</v>
      </c>
      <c r="C494" s="399" t="s">
        <v>2337</v>
      </c>
      <c r="D494" s="399" t="s">
        <v>533</v>
      </c>
      <c r="E494" s="399" t="s">
        <v>890</v>
      </c>
      <c r="F494" s="399" t="s">
        <v>1239</v>
      </c>
      <c r="G494" s="399" t="s">
        <v>1239</v>
      </c>
      <c r="H494" s="399" t="s">
        <v>1239</v>
      </c>
      <c r="I494" s="399" t="s">
        <v>2326</v>
      </c>
      <c r="J494" s="399" t="s">
        <v>2329</v>
      </c>
      <c r="K494" s="789">
        <v>44743</v>
      </c>
      <c r="L494" s="399">
        <v>0</v>
      </c>
      <c r="M494" s="399">
        <v>0</v>
      </c>
      <c r="N494" s="399">
        <v>12817.423000000001</v>
      </c>
      <c r="O494" s="399">
        <v>12817.423000000001</v>
      </c>
      <c r="P494" s="399">
        <v>12817.423000000001</v>
      </c>
      <c r="Q494" s="399">
        <v>12817.423000000001</v>
      </c>
      <c r="R494" s="399"/>
      <c r="S494" s="399">
        <v>96.28</v>
      </c>
      <c r="T494" s="399">
        <v>128.11000000000001</v>
      </c>
      <c r="U494" s="399"/>
      <c r="V494" s="399">
        <v>2876101.5469700005</v>
      </c>
      <c r="W494" s="399">
        <v>2876101.5469700005</v>
      </c>
      <c r="X494" s="399">
        <v>2879305.9027200001</v>
      </c>
      <c r="Y494" s="399">
        <v>0</v>
      </c>
      <c r="Z494" s="399">
        <v>682629.85129803722</v>
      </c>
      <c r="AA494" s="399">
        <v>0</v>
      </c>
      <c r="AB494" s="399">
        <v>0</v>
      </c>
      <c r="AC494" s="399">
        <v>0</v>
      </c>
      <c r="AD494" s="399">
        <v>0</v>
      </c>
      <c r="AE494" s="399">
        <v>0</v>
      </c>
      <c r="AF494" s="399">
        <v>1642053.4730042084</v>
      </c>
      <c r="AG494" s="399">
        <v>0</v>
      </c>
      <c r="AH494" s="399">
        <v>0</v>
      </c>
      <c r="AI494" s="399">
        <v>0</v>
      </c>
      <c r="AJ494" s="399">
        <v>0</v>
      </c>
      <c r="AK494" s="399">
        <v>0</v>
      </c>
      <c r="AL494" s="399">
        <v>121173.99972408845</v>
      </c>
      <c r="AM494" s="399"/>
      <c r="AN494" s="399">
        <v>6301.0535126311706</v>
      </c>
      <c r="AO494" s="399">
        <v>0</v>
      </c>
      <c r="AP494" s="399">
        <v>0</v>
      </c>
      <c r="AQ494" s="399">
        <v>0</v>
      </c>
      <c r="AR494" s="399">
        <v>0</v>
      </c>
      <c r="AS494" s="399">
        <v>0</v>
      </c>
      <c r="AT494" s="399">
        <v>0</v>
      </c>
      <c r="AU494" s="399">
        <v>0</v>
      </c>
      <c r="AV494" s="399">
        <v>0</v>
      </c>
      <c r="AW494" s="399">
        <v>0</v>
      </c>
      <c r="AX494" s="399">
        <v>0</v>
      </c>
      <c r="AY494" s="399">
        <v>0</v>
      </c>
      <c r="AZ494" s="399">
        <v>0</v>
      </c>
      <c r="BA494" s="399"/>
      <c r="BB494" s="399">
        <v>0</v>
      </c>
      <c r="BC494" s="399">
        <v>0</v>
      </c>
      <c r="BD494" s="399">
        <v>0</v>
      </c>
      <c r="BE494" s="399">
        <v>0</v>
      </c>
      <c r="BF494" s="399">
        <v>0</v>
      </c>
      <c r="BG494" s="399">
        <v>67145.548416588237</v>
      </c>
      <c r="BH494" s="399">
        <v>0</v>
      </c>
      <c r="BI494" s="399">
        <v>0</v>
      </c>
      <c r="BJ494" s="399">
        <v>0</v>
      </c>
      <c r="BK494" s="399">
        <v>0</v>
      </c>
      <c r="BL494" s="399">
        <v>0</v>
      </c>
      <c r="BM494" s="399"/>
      <c r="BN494" s="399"/>
      <c r="BO494" s="399"/>
      <c r="BP494" s="399"/>
      <c r="BQ494" s="399"/>
      <c r="BR494" s="399"/>
      <c r="BS494" s="399"/>
      <c r="BT494" s="399"/>
      <c r="BU494" s="399"/>
      <c r="BV494" s="399">
        <v>1709199.0214207966</v>
      </c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>
        <v>2879305.2287999997</v>
      </c>
      <c r="CJ494" s="399">
        <v>3203.6518299994059</v>
      </c>
      <c r="CK494" s="399"/>
      <c r="CL494" s="399"/>
      <c r="CM494" s="399"/>
      <c r="CN494" s="399"/>
      <c r="CO494" s="399">
        <v>-71905.743029999998</v>
      </c>
      <c r="CP494" s="399">
        <v>75110.098779999811</v>
      </c>
      <c r="CQ494" s="399">
        <v>31</v>
      </c>
      <c r="CR494" s="399">
        <v>3189.5213435282931</v>
      </c>
      <c r="CS494" s="399">
        <v>0</v>
      </c>
      <c r="CT494" s="399">
        <v>0</v>
      </c>
      <c r="CU494" s="399">
        <v>0</v>
      </c>
      <c r="CV494" s="399">
        <v>0</v>
      </c>
      <c r="CW494" s="399">
        <v>0</v>
      </c>
      <c r="CX494" s="399">
        <v>0</v>
      </c>
      <c r="CY494" s="399">
        <v>0</v>
      </c>
      <c r="CZ494" s="399">
        <v>0</v>
      </c>
      <c r="DA494" s="399">
        <v>0</v>
      </c>
      <c r="DB494" s="399">
        <v>0</v>
      </c>
      <c r="DC494" s="399">
        <v>75102.847419645404</v>
      </c>
      <c r="DD494" s="399">
        <v>0</v>
      </c>
      <c r="DE494" s="399">
        <v>0</v>
      </c>
      <c r="DF494" s="399">
        <v>0</v>
      </c>
      <c r="DG494" s="399">
        <v>3071.046077697436</v>
      </c>
      <c r="DH494" s="399">
        <v>0</v>
      </c>
      <c r="DI494" s="399">
        <v>-64570.764871711959</v>
      </c>
      <c r="DJ494" s="399"/>
      <c r="DK494" s="399">
        <v>0</v>
      </c>
      <c r="DL494" s="399">
        <v>0</v>
      </c>
      <c r="DM494" s="399">
        <v>0</v>
      </c>
      <c r="DN494" s="399">
        <v>0</v>
      </c>
      <c r="DO494" s="399">
        <v>-9675.3295684938348</v>
      </c>
      <c r="DP494" s="399">
        <v>-738.27771360907627</v>
      </c>
      <c r="DQ494" s="399">
        <v>0</v>
      </c>
      <c r="DR494" s="399">
        <v>0</v>
      </c>
      <c r="DS494" s="399"/>
      <c r="DT494" s="399"/>
      <c r="DU494" s="399"/>
      <c r="DV494" s="399">
        <v>0</v>
      </c>
      <c r="DW494" s="399">
        <v>0</v>
      </c>
      <c r="DX494" s="399">
        <v>0</v>
      </c>
      <c r="DY494" s="399">
        <v>-71905.743030000012</v>
      </c>
      <c r="DZ494" s="399">
        <v>75110.098779999651</v>
      </c>
      <c r="EA494" s="399">
        <v>0</v>
      </c>
      <c r="EB494" s="399">
        <v>0</v>
      </c>
      <c r="EC494" s="399">
        <v>0</v>
      </c>
      <c r="ED494" s="399">
        <v>0</v>
      </c>
      <c r="EE494" s="399">
        <v>0</v>
      </c>
      <c r="EF494" s="399">
        <v>0</v>
      </c>
      <c r="EG494" s="399">
        <v>0</v>
      </c>
      <c r="EH494" s="399">
        <v>0</v>
      </c>
      <c r="EI494" s="399">
        <v>0</v>
      </c>
      <c r="EJ494" s="399">
        <v>0</v>
      </c>
      <c r="EK494" s="399">
        <v>0</v>
      </c>
      <c r="EL494" s="399">
        <v>0</v>
      </c>
      <c r="EM494" s="399">
        <v>0</v>
      </c>
      <c r="EN494" s="399">
        <v>0</v>
      </c>
      <c r="EO494" s="399">
        <v>0</v>
      </c>
      <c r="EP494" s="399">
        <v>356820.4951524504</v>
      </c>
      <c r="EQ494" s="399">
        <v>0</v>
      </c>
      <c r="ER494" s="399">
        <v>0</v>
      </c>
      <c r="ES494" s="399">
        <v>0</v>
      </c>
      <c r="ET494" s="399">
        <v>0</v>
      </c>
      <c r="EU494" s="399">
        <v>0</v>
      </c>
      <c r="EV494" s="399">
        <v>230</v>
      </c>
      <c r="EW494" s="399">
        <v>0</v>
      </c>
      <c r="EX494" s="399">
        <v>0</v>
      </c>
      <c r="EY494" s="399">
        <v>0</v>
      </c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493</v>
      </c>
      <c r="B495" s="399" t="s">
        <v>956</v>
      </c>
      <c r="C495" s="399" t="s">
        <v>2337</v>
      </c>
      <c r="D495" s="399" t="s">
        <v>533</v>
      </c>
      <c r="E495" s="399" t="s">
        <v>890</v>
      </c>
      <c r="F495" s="399" t="s">
        <v>1239</v>
      </c>
      <c r="G495" s="399" t="s">
        <v>1239</v>
      </c>
      <c r="H495" s="399" t="s">
        <v>1239</v>
      </c>
      <c r="I495" s="399" t="s">
        <v>1239</v>
      </c>
      <c r="J495" s="399" t="s">
        <v>2329</v>
      </c>
      <c r="K495" s="789">
        <v>44743</v>
      </c>
      <c r="L495" s="399">
        <v>50687</v>
      </c>
      <c r="M495" s="399">
        <v>50687</v>
      </c>
      <c r="N495" s="399">
        <v>0</v>
      </c>
      <c r="O495" s="399">
        <v>0</v>
      </c>
      <c r="P495" s="399">
        <v>0</v>
      </c>
      <c r="Q495" s="399">
        <v>0</v>
      </c>
      <c r="R495" s="399">
        <v>18.12</v>
      </c>
      <c r="S495" s="399"/>
      <c r="T495" s="399"/>
      <c r="U495" s="399">
        <v>918448.44000000006</v>
      </c>
      <c r="V495" s="399"/>
      <c r="W495" s="399">
        <v>918448.44000000006</v>
      </c>
      <c r="X495" s="399">
        <v>732427.14999999991</v>
      </c>
      <c r="Y495" s="399">
        <v>0</v>
      </c>
      <c r="Z495" s="399">
        <v>0</v>
      </c>
      <c r="AA495" s="399">
        <v>0</v>
      </c>
      <c r="AB495" s="399">
        <v>0</v>
      </c>
      <c r="AC495" s="399">
        <v>0</v>
      </c>
      <c r="AD495" s="399">
        <v>0</v>
      </c>
      <c r="AE495" s="399">
        <v>661918.40652380197</v>
      </c>
      <c r="AF495" s="399"/>
      <c r="AG495" s="399"/>
      <c r="AH495" s="399"/>
      <c r="AI495" s="399">
        <v>0</v>
      </c>
      <c r="AJ495" s="399">
        <v>0</v>
      </c>
      <c r="AK495" s="399">
        <v>0</v>
      </c>
      <c r="AL495" s="399">
        <v>0</v>
      </c>
      <c r="AM495" s="399"/>
      <c r="AN495" s="399">
        <v>0</v>
      </c>
      <c r="AO495" s="399">
        <v>40289.596571522176</v>
      </c>
      <c r="AP495" s="399">
        <v>215993.57954686834</v>
      </c>
      <c r="AQ495" s="399">
        <v>0</v>
      </c>
      <c r="AR495" s="399">
        <v>0</v>
      </c>
      <c r="AS495" s="399"/>
      <c r="AT495" s="399"/>
      <c r="AU495" s="399">
        <v>0</v>
      </c>
      <c r="AV495" s="399">
        <v>0</v>
      </c>
      <c r="AW495" s="399">
        <v>0</v>
      </c>
      <c r="AX495" s="399"/>
      <c r="AY495" s="399"/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/>
      <c r="BG495" s="399">
        <v>0</v>
      </c>
      <c r="BH495" s="399">
        <v>0</v>
      </c>
      <c r="BI495" s="399">
        <v>0</v>
      </c>
      <c r="BJ495" s="399">
        <v>0</v>
      </c>
      <c r="BK495" s="399">
        <v>378285.22</v>
      </c>
      <c r="BL495" s="399">
        <v>97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0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732427.14999999991</v>
      </c>
      <c r="CJ495" s="399">
        <v>-186021.32000000018</v>
      </c>
      <c r="CK495" s="399"/>
      <c r="CL495" s="399"/>
      <c r="CM495" s="399"/>
      <c r="CN495" s="399"/>
      <c r="CO495" s="399">
        <v>-186021.2900000001</v>
      </c>
      <c r="CP495" s="399">
        <v>0</v>
      </c>
      <c r="CQ495" s="399">
        <v>31</v>
      </c>
      <c r="CR495" s="399">
        <v>18707.598065832222</v>
      </c>
      <c r="CS495" s="399">
        <v>2940.971741923393</v>
      </c>
      <c r="CT495" s="399">
        <v>15766.626323908829</v>
      </c>
      <c r="CU495" s="399">
        <v>0</v>
      </c>
      <c r="CV495" s="399">
        <v>0</v>
      </c>
      <c r="CW495" s="399"/>
      <c r="CX495" s="399"/>
      <c r="CY495" s="399"/>
      <c r="CZ495" s="399">
        <v>0</v>
      </c>
      <c r="DA495" s="399">
        <v>0</v>
      </c>
      <c r="DB495" s="399">
        <v>0</v>
      </c>
      <c r="DC495" s="399"/>
      <c r="DD495" s="399"/>
      <c r="DE495" s="399">
        <v>0</v>
      </c>
      <c r="DF495" s="399">
        <v>0</v>
      </c>
      <c r="DG495" s="399">
        <v>0</v>
      </c>
      <c r="DH495" s="399">
        <v>0</v>
      </c>
      <c r="DI495" s="399">
        <v>0</v>
      </c>
      <c r="DJ495" s="399"/>
      <c r="DK495" s="399">
        <v>0</v>
      </c>
      <c r="DL495" s="399">
        <v>0</v>
      </c>
      <c r="DM495" s="399"/>
      <c r="DN495" s="399">
        <v>0</v>
      </c>
      <c r="DO495" s="399">
        <v>0</v>
      </c>
      <c r="DP495" s="399">
        <v>0</v>
      </c>
      <c r="DQ495" s="399">
        <v>0</v>
      </c>
      <c r="DR495" s="399">
        <v>0</v>
      </c>
      <c r="DS495" s="399"/>
      <c r="DT495" s="399"/>
      <c r="DU495" s="399">
        <v>661918.40652380197</v>
      </c>
      <c r="DV495" s="399"/>
      <c r="DW495" s="399">
        <v>0</v>
      </c>
      <c r="DX495" s="399">
        <v>0</v>
      </c>
      <c r="DY495" s="399">
        <v>-186021.29000000015</v>
      </c>
      <c r="DZ495" s="399"/>
      <c r="EA495" s="399">
        <v>0</v>
      </c>
      <c r="EB495" s="399"/>
      <c r="EC495" s="399">
        <v>-204665.78351414902</v>
      </c>
      <c r="ED495" s="399"/>
      <c r="EE495" s="399">
        <v>0</v>
      </c>
      <c r="EF495" s="399">
        <v>0</v>
      </c>
      <c r="EG495" s="399"/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/>
      <c r="EN495" s="399"/>
      <c r="EO495" s="399">
        <v>0</v>
      </c>
      <c r="EP495" s="399">
        <v>0</v>
      </c>
      <c r="EQ495" s="399"/>
      <c r="ER495" s="399">
        <v>0</v>
      </c>
      <c r="ES495" s="399"/>
      <c r="ET495" s="399">
        <v>0</v>
      </c>
      <c r="EU495" s="399"/>
      <c r="EV495" s="399">
        <v>230</v>
      </c>
      <c r="EW495" s="399"/>
      <c r="EX495" s="399"/>
      <c r="EY495" s="399"/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494</v>
      </c>
      <c r="B496" s="399" t="s">
        <v>956</v>
      </c>
      <c r="C496" s="399" t="s">
        <v>2328</v>
      </c>
      <c r="D496" s="399" t="s">
        <v>1826</v>
      </c>
      <c r="E496" s="399" t="s">
        <v>918</v>
      </c>
      <c r="F496" s="399" t="s">
        <v>1239</v>
      </c>
      <c r="G496" s="399" t="s">
        <v>1239</v>
      </c>
      <c r="H496" s="399" t="s">
        <v>1239</v>
      </c>
      <c r="I496" s="399" t="s">
        <v>1239</v>
      </c>
      <c r="J496" s="399" t="s">
        <v>2329</v>
      </c>
      <c r="K496" s="789">
        <v>44743</v>
      </c>
      <c r="L496" s="399">
        <v>0</v>
      </c>
      <c r="M496" s="399">
        <v>0</v>
      </c>
      <c r="N496" s="399">
        <v>982.68499999999995</v>
      </c>
      <c r="O496" s="399">
        <v>982.68499999999995</v>
      </c>
      <c r="P496" s="399">
        <v>982.68499999999995</v>
      </c>
      <c r="Q496" s="399">
        <v>982.68499999999995</v>
      </c>
      <c r="R496" s="399"/>
      <c r="S496" s="399">
        <v>333.61</v>
      </c>
      <c r="T496" s="399">
        <v>128.11000000000001</v>
      </c>
      <c r="U496" s="399"/>
      <c r="V496" s="399">
        <v>453725.31819999998</v>
      </c>
      <c r="W496" s="399">
        <v>453725.31819999998</v>
      </c>
      <c r="X496" s="399">
        <v>396051.53554999997</v>
      </c>
      <c r="Y496" s="399">
        <v>0</v>
      </c>
      <c r="Z496" s="399">
        <v>60156.094534868069</v>
      </c>
      <c r="AA496" s="399">
        <v>0</v>
      </c>
      <c r="AB496" s="399">
        <v>0</v>
      </c>
      <c r="AC496" s="399">
        <v>0</v>
      </c>
      <c r="AD496" s="399">
        <v>0</v>
      </c>
      <c r="AE496" s="399">
        <v>191128.49659137428</v>
      </c>
      <c r="AF496" s="399">
        <v>125892.80365633094</v>
      </c>
      <c r="AG496" s="399">
        <v>0</v>
      </c>
      <c r="AH496" s="399">
        <v>0</v>
      </c>
      <c r="AI496" s="399">
        <v>0</v>
      </c>
      <c r="AJ496" s="399">
        <v>0</v>
      </c>
      <c r="AK496" s="399">
        <v>0</v>
      </c>
      <c r="AL496" s="399">
        <v>9290.1569932478506</v>
      </c>
      <c r="AM496" s="399"/>
      <c r="AN496" s="399">
        <v>845.4902896673857</v>
      </c>
      <c r="AO496" s="399">
        <v>3415.8328792005154</v>
      </c>
      <c r="AP496" s="399">
        <v>18221.56984667401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13333.434495924621</v>
      </c>
      <c r="BH496" s="399">
        <v>0</v>
      </c>
      <c r="BI496" s="399">
        <v>0</v>
      </c>
      <c r="BJ496" s="399">
        <v>0</v>
      </c>
      <c r="BK496" s="399">
        <v>80760.91</v>
      </c>
      <c r="BL496" s="399">
        <v>1676</v>
      </c>
      <c r="BM496" s="399"/>
      <c r="BN496" s="399"/>
      <c r="BO496" s="399"/>
      <c r="BP496" s="399"/>
      <c r="BQ496" s="399"/>
      <c r="BR496" s="399"/>
      <c r="BS496" s="399"/>
      <c r="BT496" s="399"/>
      <c r="BU496" s="399"/>
      <c r="BV496" s="399">
        <v>139226.23815225557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396053.55070000002</v>
      </c>
      <c r="CJ496" s="399">
        <v>-57671.797499999986</v>
      </c>
      <c r="CK496" s="399"/>
      <c r="CL496" s="399"/>
      <c r="CM496" s="399"/>
      <c r="CN496" s="399"/>
      <c r="CO496" s="399">
        <v>-63432.316750000005</v>
      </c>
      <c r="CP496" s="399">
        <v>5758.5340999999853</v>
      </c>
      <c r="CQ496" s="399">
        <v>31</v>
      </c>
      <c r="CR496" s="399">
        <v>1416.1639561370248</v>
      </c>
      <c r="CS496" s="399">
        <v>249.34148831767061</v>
      </c>
      <c r="CT496" s="399">
        <v>1330.098252967724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0</v>
      </c>
      <c r="DA496" s="399">
        <v>0</v>
      </c>
      <c r="DB496" s="399">
        <v>0</v>
      </c>
      <c r="DC496" s="399">
        <v>5757.9781533756177</v>
      </c>
      <c r="DD496" s="399">
        <v>0</v>
      </c>
      <c r="DE496" s="399">
        <v>0</v>
      </c>
      <c r="DF496" s="399">
        <v>0</v>
      </c>
      <c r="DG496" s="399">
        <v>609.83330505979757</v>
      </c>
      <c r="DH496" s="399">
        <v>0</v>
      </c>
      <c r="DI496" s="399">
        <v>-5690.2361190698721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-741.78727167039324</v>
      </c>
      <c r="DP496" s="399">
        <v>-99.06385284350074</v>
      </c>
      <c r="DQ496" s="399">
        <v>0</v>
      </c>
      <c r="DR496" s="399">
        <v>0</v>
      </c>
      <c r="DS496" s="399"/>
      <c r="DT496" s="399"/>
      <c r="DU496" s="399"/>
      <c r="DV496" s="399">
        <v>191128.49659137428</v>
      </c>
      <c r="DW496" s="399">
        <v>0</v>
      </c>
      <c r="DX496" s="399">
        <v>0</v>
      </c>
      <c r="DY496" s="399">
        <v>-63432.316749999998</v>
      </c>
      <c r="DZ496" s="399">
        <v>5758.5340999999898</v>
      </c>
      <c r="EA496" s="399">
        <v>0</v>
      </c>
      <c r="EB496" s="399">
        <v>0</v>
      </c>
      <c r="EC496" s="399">
        <v>-59097.107923298579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31444.460563148827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230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495</v>
      </c>
      <c r="B497" s="399" t="s">
        <v>2331</v>
      </c>
      <c r="C497" s="399" t="s">
        <v>2328</v>
      </c>
      <c r="D497" s="399" t="s">
        <v>1826</v>
      </c>
      <c r="E497" s="399" t="s">
        <v>918</v>
      </c>
      <c r="F497" s="399" t="s">
        <v>1239</v>
      </c>
      <c r="G497" s="399" t="s">
        <v>1239</v>
      </c>
      <c r="H497" s="399" t="s">
        <v>1239</v>
      </c>
      <c r="I497" s="399" t="s">
        <v>1239</v>
      </c>
      <c r="J497" s="399" t="s">
        <v>2329</v>
      </c>
      <c r="K497" s="789">
        <v>44743</v>
      </c>
      <c r="L497" s="399">
        <v>0</v>
      </c>
      <c r="M497" s="399">
        <v>0</v>
      </c>
      <c r="N497" s="399">
        <v>8.9160000000000004</v>
      </c>
      <c r="O497" s="399">
        <v>8.9160000000000004</v>
      </c>
      <c r="P497" s="399">
        <v>8.9160000000000004</v>
      </c>
      <c r="Q497" s="399">
        <v>8.9160000000000004</v>
      </c>
      <c r="R497" s="399"/>
      <c r="S497" s="399">
        <v>333.61</v>
      </c>
      <c r="T497" s="399">
        <v>128.11000000000001</v>
      </c>
      <c r="U497" s="399"/>
      <c r="V497" s="399">
        <v>4116.6955200000002</v>
      </c>
      <c r="W497" s="399">
        <v>4116.6955200000002</v>
      </c>
      <c r="X497" s="399">
        <v>3593.4154799999997</v>
      </c>
      <c r="Y497" s="399">
        <v>0</v>
      </c>
      <c r="Z497" s="399">
        <v>545.80230579777219</v>
      </c>
      <c r="AA497" s="399">
        <v>0</v>
      </c>
      <c r="AB497" s="399">
        <v>0</v>
      </c>
      <c r="AC497" s="399">
        <v>0</v>
      </c>
      <c r="AD497" s="399">
        <v>0</v>
      </c>
      <c r="AE497" s="399">
        <v>1734.1281037246863</v>
      </c>
      <c r="AF497" s="399">
        <v>1142.2380899269317</v>
      </c>
      <c r="AG497" s="399">
        <v>0</v>
      </c>
      <c r="AH497" s="399">
        <v>0</v>
      </c>
      <c r="AI497" s="399">
        <v>0</v>
      </c>
      <c r="AJ497" s="399">
        <v>0</v>
      </c>
      <c r="AK497" s="399">
        <v>0</v>
      </c>
      <c r="AL497" s="399">
        <v>84.290530283659407</v>
      </c>
      <c r="AM497" s="399"/>
      <c r="AN497" s="399">
        <v>7.6712185722529718</v>
      </c>
      <c r="AO497" s="399">
        <v>30.992195821602852</v>
      </c>
      <c r="AP497" s="399">
        <v>165.32613884708275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120.9755943823951</v>
      </c>
      <c r="BH497" s="399">
        <v>0</v>
      </c>
      <c r="BI497" s="399">
        <v>0</v>
      </c>
      <c r="BJ497" s="399">
        <v>0</v>
      </c>
      <c r="BK497" s="399">
        <v>1840.04</v>
      </c>
      <c r="BL497" s="399">
        <v>17</v>
      </c>
      <c r="BM497" s="399"/>
      <c r="BN497" s="399"/>
      <c r="BO497" s="399"/>
      <c r="BP497" s="399"/>
      <c r="BQ497" s="399"/>
      <c r="BR497" s="399"/>
      <c r="BS497" s="399"/>
      <c r="BT497" s="399"/>
      <c r="BU497" s="399"/>
      <c r="BV497" s="399">
        <v>1263.2136843093267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3595.0275999999999</v>
      </c>
      <c r="CJ497" s="399">
        <v>-521.69792000000098</v>
      </c>
      <c r="CK497" s="399"/>
      <c r="CL497" s="399"/>
      <c r="CM497" s="399"/>
      <c r="CN497" s="399"/>
      <c r="CO497" s="399">
        <v>-575.52780000000007</v>
      </c>
      <c r="CP497" s="399">
        <v>52.247759999999872</v>
      </c>
      <c r="CQ497" s="399">
        <v>31</v>
      </c>
      <c r="CR497" s="399">
        <v>12.848998237398519</v>
      </c>
      <c r="CS497" s="399">
        <v>2.2623004419934638</v>
      </c>
      <c r="CT497" s="399">
        <v>12.068115442344407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0</v>
      </c>
      <c r="DA497" s="399">
        <v>0</v>
      </c>
      <c r="DB497" s="399">
        <v>0</v>
      </c>
      <c r="DC497" s="399">
        <v>52.24271584027133</v>
      </c>
      <c r="DD497" s="399">
        <v>0</v>
      </c>
      <c r="DE497" s="399">
        <v>0</v>
      </c>
      <c r="DF497" s="399">
        <v>0</v>
      </c>
      <c r="DG497" s="399">
        <v>5.5330790109884163</v>
      </c>
      <c r="DH497" s="399">
        <v>0</v>
      </c>
      <c r="DI497" s="399">
        <v>-51.62808553873009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-6.7303106429967272</v>
      </c>
      <c r="DP497" s="399">
        <v>-0.89881631647237104</v>
      </c>
      <c r="DQ497" s="399">
        <v>0</v>
      </c>
      <c r="DR497" s="399">
        <v>0</v>
      </c>
      <c r="DS497" s="399"/>
      <c r="DT497" s="399"/>
      <c r="DU497" s="399"/>
      <c r="DV497" s="399">
        <v>1734.1281037246863</v>
      </c>
      <c r="DW497" s="399">
        <v>0</v>
      </c>
      <c r="DX497" s="399">
        <v>0</v>
      </c>
      <c r="DY497" s="399">
        <v>-575.5278000000003</v>
      </c>
      <c r="DZ497" s="399">
        <v>52.247759999999744</v>
      </c>
      <c r="EA497" s="399">
        <v>0</v>
      </c>
      <c r="EB497" s="399">
        <v>0</v>
      </c>
      <c r="EC497" s="399">
        <v>-536.19401358943128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285.29875838242668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230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496</v>
      </c>
      <c r="B498" s="399" t="s">
        <v>956</v>
      </c>
      <c r="C498" s="399" t="s">
        <v>2337</v>
      </c>
      <c r="D498" s="399" t="s">
        <v>533</v>
      </c>
      <c r="E498" s="399" t="s">
        <v>918</v>
      </c>
      <c r="F498" s="399" t="s">
        <v>1239</v>
      </c>
      <c r="G498" s="399" t="s">
        <v>1239</v>
      </c>
      <c r="H498" s="399" t="s">
        <v>1239</v>
      </c>
      <c r="I498" s="399" t="s">
        <v>893</v>
      </c>
      <c r="J498" s="399" t="s">
        <v>2329</v>
      </c>
      <c r="K498" s="789">
        <v>44743</v>
      </c>
      <c r="L498" s="399">
        <v>0</v>
      </c>
      <c r="M498" s="399">
        <v>0</v>
      </c>
      <c r="N498" s="399">
        <v>35.9</v>
      </c>
      <c r="O498" s="399">
        <v>35.9</v>
      </c>
      <c r="P498" s="399">
        <v>35.9</v>
      </c>
      <c r="Q498" s="399">
        <v>35.9</v>
      </c>
      <c r="R498" s="399"/>
      <c r="S498" s="399">
        <v>1351.49</v>
      </c>
      <c r="T498" s="399">
        <v>128.11000000000001</v>
      </c>
      <c r="U498" s="399"/>
      <c r="V498" s="399">
        <v>53117.64</v>
      </c>
      <c r="W498" s="399">
        <v>53117.64</v>
      </c>
      <c r="X498" s="399">
        <v>40994.569000000003</v>
      </c>
      <c r="Y498" s="399">
        <v>0</v>
      </c>
      <c r="Z498" s="399">
        <v>1911.96090365431</v>
      </c>
      <c r="AA498" s="399">
        <v>0</v>
      </c>
      <c r="AB498" s="399">
        <v>0</v>
      </c>
      <c r="AC498" s="399">
        <v>0</v>
      </c>
      <c r="AD498" s="399">
        <v>0</v>
      </c>
      <c r="AE498" s="399">
        <v>40349.612250807033</v>
      </c>
      <c r="AF498" s="399">
        <v>4599.1865666640688</v>
      </c>
      <c r="AG498" s="399">
        <v>0</v>
      </c>
      <c r="AH498" s="399">
        <v>0</v>
      </c>
      <c r="AI498" s="399">
        <v>0</v>
      </c>
      <c r="AJ498" s="399">
        <v>0</v>
      </c>
      <c r="AK498" s="399">
        <v>0</v>
      </c>
      <c r="AL498" s="399">
        <v>339.3932298321414</v>
      </c>
      <c r="AM498" s="399"/>
      <c r="AN498" s="399">
        <v>17.64846343164761</v>
      </c>
      <c r="AO498" s="399">
        <v>745.73379514587259</v>
      </c>
      <c r="AP498" s="399">
        <v>3966.6655824275972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188.06628978036517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/>
      <c r="BR498" s="399"/>
      <c r="BS498" s="399"/>
      <c r="BT498" s="399"/>
      <c r="BU498" s="399"/>
      <c r="BV498" s="399">
        <v>4787.2528564444337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40994.569000000003</v>
      </c>
      <c r="CJ498" s="399">
        <v>-12123.101000000002</v>
      </c>
      <c r="CK498" s="399"/>
      <c r="CL498" s="399"/>
      <c r="CM498" s="399"/>
      <c r="CN498" s="399"/>
      <c r="CO498" s="399">
        <v>-12333.444999999998</v>
      </c>
      <c r="CP498" s="399">
        <v>210.37399999999946</v>
      </c>
      <c r="CQ498" s="399">
        <v>31</v>
      </c>
      <c r="CR498" s="399">
        <v>352.91886094723122</v>
      </c>
      <c r="CS498" s="399">
        <v>54.435442524919949</v>
      </c>
      <c r="CT498" s="399">
        <v>289.54996774094752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0</v>
      </c>
      <c r="DA498" s="399">
        <v>0</v>
      </c>
      <c r="DB498" s="399">
        <v>0</v>
      </c>
      <c r="DC498" s="399">
        <v>210.35368984586694</v>
      </c>
      <c r="DD498" s="399">
        <v>0</v>
      </c>
      <c r="DE498" s="399">
        <v>0</v>
      </c>
      <c r="DF498" s="399">
        <v>0</v>
      </c>
      <c r="DG498" s="399">
        <v>8.6016162678986063</v>
      </c>
      <c r="DH498" s="399">
        <v>0</v>
      </c>
      <c r="DI498" s="399">
        <v>-180.85464284782233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-27.099388973035275</v>
      </c>
      <c r="DP498" s="399">
        <v>-2.0678236115454602</v>
      </c>
      <c r="DQ498" s="399">
        <v>0</v>
      </c>
      <c r="DR498" s="399">
        <v>0</v>
      </c>
      <c r="DS498" s="399"/>
      <c r="DT498" s="399"/>
      <c r="DU498" s="399"/>
      <c r="DV498" s="399">
        <v>40349.612250807033</v>
      </c>
      <c r="DW498" s="399">
        <v>0</v>
      </c>
      <c r="DX498" s="399">
        <v>0</v>
      </c>
      <c r="DY498" s="399">
        <v>-12333.445</v>
      </c>
      <c r="DZ498" s="399">
        <v>210.3739999999998</v>
      </c>
      <c r="EA498" s="399">
        <v>0</v>
      </c>
      <c r="EB498" s="399">
        <v>0</v>
      </c>
      <c r="EC498" s="399">
        <v>-12476.13742783343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999.40961423938086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230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497</v>
      </c>
      <c r="B499" s="399" t="s">
        <v>956</v>
      </c>
      <c r="C499" s="399" t="s">
        <v>2337</v>
      </c>
      <c r="D499" s="399" t="s">
        <v>533</v>
      </c>
      <c r="E499" s="399" t="s">
        <v>918</v>
      </c>
      <c r="F499" s="399" t="s">
        <v>1239</v>
      </c>
      <c r="G499" s="399" t="s">
        <v>1239</v>
      </c>
      <c r="H499" s="399" t="s">
        <v>1239</v>
      </c>
      <c r="I499" s="399" t="s">
        <v>2326</v>
      </c>
      <c r="J499" s="399" t="s">
        <v>2329</v>
      </c>
      <c r="K499" s="789">
        <v>44743</v>
      </c>
      <c r="L499" s="399">
        <v>0</v>
      </c>
      <c r="M499" s="399">
        <v>0</v>
      </c>
      <c r="N499" s="399">
        <v>421.21100000000001</v>
      </c>
      <c r="O499" s="399">
        <v>421.21100000000001</v>
      </c>
      <c r="P499" s="399">
        <v>421.21100000000001</v>
      </c>
      <c r="Q499" s="399">
        <v>421.21100000000001</v>
      </c>
      <c r="R499" s="399"/>
      <c r="S499" s="399">
        <v>96.28</v>
      </c>
      <c r="T499" s="399">
        <v>128.11000000000001</v>
      </c>
      <c r="U499" s="399"/>
      <c r="V499" s="399">
        <v>94515.536290000018</v>
      </c>
      <c r="W499" s="399">
        <v>94515.536290000018</v>
      </c>
      <c r="X499" s="399">
        <v>94620.839040000006</v>
      </c>
      <c r="Y499" s="399">
        <v>0</v>
      </c>
      <c r="Z499" s="399">
        <v>22432.840228109628</v>
      </c>
      <c r="AA499" s="399">
        <v>0</v>
      </c>
      <c r="AB499" s="399">
        <v>0</v>
      </c>
      <c r="AC499" s="399">
        <v>0</v>
      </c>
      <c r="AD499" s="399">
        <v>0</v>
      </c>
      <c r="AE499" s="399">
        <v>0</v>
      </c>
      <c r="AF499" s="399">
        <v>53961.781975797756</v>
      </c>
      <c r="AG499" s="399">
        <v>0</v>
      </c>
      <c r="AH499" s="399">
        <v>0</v>
      </c>
      <c r="AI499" s="399">
        <v>0</v>
      </c>
      <c r="AJ499" s="399">
        <v>0</v>
      </c>
      <c r="AK499" s="399">
        <v>0</v>
      </c>
      <c r="AL499" s="399">
        <v>3982.0657863739866</v>
      </c>
      <c r="AM499" s="399"/>
      <c r="AN499" s="399">
        <v>207.06760252110647</v>
      </c>
      <c r="AO499" s="399">
        <v>0</v>
      </c>
      <c r="AP499" s="399">
        <v>0</v>
      </c>
      <c r="AQ499" s="399">
        <v>0</v>
      </c>
      <c r="AR499" s="399">
        <v>0</v>
      </c>
      <c r="AS499" s="399">
        <v>0</v>
      </c>
      <c r="AT499" s="399">
        <v>0</v>
      </c>
      <c r="AU499" s="399">
        <v>0</v>
      </c>
      <c r="AV499" s="399">
        <v>0</v>
      </c>
      <c r="AW499" s="399">
        <v>0</v>
      </c>
      <c r="AX499" s="399">
        <v>0</v>
      </c>
      <c r="AY499" s="399">
        <v>0</v>
      </c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>
        <v>0</v>
      </c>
      <c r="BG499" s="399">
        <v>2206.562395116362</v>
      </c>
      <c r="BH499" s="399">
        <v>0</v>
      </c>
      <c r="BI499" s="399">
        <v>0</v>
      </c>
      <c r="BJ499" s="399">
        <v>0</v>
      </c>
      <c r="BK499" s="399">
        <v>0</v>
      </c>
      <c r="BL499" s="399">
        <v>0</v>
      </c>
      <c r="BM499" s="399"/>
      <c r="BN499" s="399"/>
      <c r="BO499" s="399"/>
      <c r="BP499" s="399"/>
      <c r="BQ499" s="399"/>
      <c r="BR499" s="399"/>
      <c r="BS499" s="399"/>
      <c r="BT499" s="399"/>
      <c r="BU499" s="399"/>
      <c r="BV499" s="399">
        <v>56168.344370914121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94620.614399999991</v>
      </c>
      <c r="CJ499" s="399">
        <v>105.04810999998881</v>
      </c>
      <c r="CK499" s="399"/>
      <c r="CL499" s="399"/>
      <c r="CM499" s="399"/>
      <c r="CN499" s="399"/>
      <c r="CO499" s="399">
        <v>-2362.9937099999997</v>
      </c>
      <c r="CP499" s="399">
        <v>2468.2964599999937</v>
      </c>
      <c r="CQ499" s="399">
        <v>31</v>
      </c>
      <c r="CR499" s="399">
        <v>104.8152561266761</v>
      </c>
      <c r="CS499" s="399">
        <v>0</v>
      </c>
      <c r="CT499" s="399">
        <v>0</v>
      </c>
      <c r="CU499" s="399">
        <v>0</v>
      </c>
      <c r="CV499" s="399">
        <v>0</v>
      </c>
      <c r="CW499" s="399">
        <v>0</v>
      </c>
      <c r="CX499" s="399">
        <v>0</v>
      </c>
      <c r="CY499" s="399">
        <v>0</v>
      </c>
      <c r="CZ499" s="399">
        <v>0</v>
      </c>
      <c r="DA499" s="399">
        <v>0</v>
      </c>
      <c r="DB499" s="399">
        <v>0</v>
      </c>
      <c r="DC499" s="399">
        <v>2468.0581630547968</v>
      </c>
      <c r="DD499" s="399">
        <v>0</v>
      </c>
      <c r="DE499" s="399">
        <v>0</v>
      </c>
      <c r="DF499" s="399">
        <v>0</v>
      </c>
      <c r="DG499" s="399">
        <v>100.92187715370028</v>
      </c>
      <c r="DH499" s="399">
        <v>0</v>
      </c>
      <c r="DI499" s="399">
        <v>-2121.9488849185</v>
      </c>
      <c r="DJ499" s="399"/>
      <c r="DK499" s="399">
        <v>0</v>
      </c>
      <c r="DL499" s="399">
        <v>0</v>
      </c>
      <c r="DM499" s="399">
        <v>0</v>
      </c>
      <c r="DN499" s="399">
        <v>0</v>
      </c>
      <c r="DO499" s="399">
        <v>-317.95433784738589</v>
      </c>
      <c r="DP499" s="399">
        <v>-24.261561315951951</v>
      </c>
      <c r="DQ499" s="399">
        <v>0</v>
      </c>
      <c r="DR499" s="399">
        <v>0</v>
      </c>
      <c r="DS499" s="399"/>
      <c r="DT499" s="399"/>
      <c r="DU499" s="399"/>
      <c r="DV499" s="399">
        <v>0</v>
      </c>
      <c r="DW499" s="399">
        <v>0</v>
      </c>
      <c r="DX499" s="399">
        <v>0</v>
      </c>
      <c r="DY499" s="399">
        <v>-2362.9937100000025</v>
      </c>
      <c r="DZ499" s="399">
        <v>2468.2964599999978</v>
      </c>
      <c r="EA499" s="399">
        <v>0</v>
      </c>
      <c r="EB499" s="399">
        <v>0</v>
      </c>
      <c r="EC499" s="399">
        <v>0</v>
      </c>
      <c r="ED499" s="399">
        <v>0</v>
      </c>
      <c r="EE499" s="399">
        <v>0</v>
      </c>
      <c r="EF499" s="399">
        <v>0</v>
      </c>
      <c r="EG499" s="399">
        <v>0</v>
      </c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>
        <v>0</v>
      </c>
      <c r="EN499" s="399">
        <v>0</v>
      </c>
      <c r="EO499" s="399">
        <v>0</v>
      </c>
      <c r="EP499" s="399">
        <v>11725.970000651361</v>
      </c>
      <c r="EQ499" s="399">
        <v>0</v>
      </c>
      <c r="ER499" s="399">
        <v>0</v>
      </c>
      <c r="ES499" s="399">
        <v>0</v>
      </c>
      <c r="ET499" s="399">
        <v>0</v>
      </c>
      <c r="EU499" s="399">
        <v>0</v>
      </c>
      <c r="EV499" s="399">
        <v>230</v>
      </c>
      <c r="EW499" s="399">
        <v>0</v>
      </c>
      <c r="EX499" s="399">
        <v>0</v>
      </c>
      <c r="EY499" s="399">
        <v>0</v>
      </c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498</v>
      </c>
      <c r="B500" s="399" t="s">
        <v>956</v>
      </c>
      <c r="C500" s="399" t="s">
        <v>2337</v>
      </c>
      <c r="D500" s="399" t="s">
        <v>533</v>
      </c>
      <c r="E500" s="399" t="s">
        <v>918</v>
      </c>
      <c r="F500" s="399" t="s">
        <v>1239</v>
      </c>
      <c r="G500" s="399" t="s">
        <v>1239</v>
      </c>
      <c r="H500" s="399" t="s">
        <v>1239</v>
      </c>
      <c r="I500" s="399" t="s">
        <v>1239</v>
      </c>
      <c r="J500" s="399" t="s">
        <v>2329</v>
      </c>
      <c r="K500" s="789">
        <v>44743</v>
      </c>
      <c r="L500" s="399">
        <v>1684</v>
      </c>
      <c r="M500" s="399">
        <v>1684</v>
      </c>
      <c r="N500" s="399">
        <v>0</v>
      </c>
      <c r="O500" s="399">
        <v>0</v>
      </c>
      <c r="P500" s="399">
        <v>0</v>
      </c>
      <c r="Q500" s="399">
        <v>0</v>
      </c>
      <c r="R500" s="399">
        <v>18.12</v>
      </c>
      <c r="S500" s="399"/>
      <c r="T500" s="399"/>
      <c r="U500" s="399">
        <v>30514.080000000002</v>
      </c>
      <c r="V500" s="399"/>
      <c r="W500" s="399">
        <v>30514.080000000002</v>
      </c>
      <c r="X500" s="399">
        <v>24333.8</v>
      </c>
      <c r="Y500" s="399">
        <v>0</v>
      </c>
      <c r="Z500" s="399">
        <v>0</v>
      </c>
      <c r="AA500" s="399">
        <v>0</v>
      </c>
      <c r="AB500" s="399">
        <v>0</v>
      </c>
      <c r="AC500" s="399">
        <v>0</v>
      </c>
      <c r="AD500" s="399">
        <v>0</v>
      </c>
      <c r="AE500" s="399">
        <v>21991.252127489941</v>
      </c>
      <c r="AF500" s="399"/>
      <c r="AG500" s="399"/>
      <c r="AH500" s="399"/>
      <c r="AI500" s="399">
        <v>0</v>
      </c>
      <c r="AJ500" s="399">
        <v>0</v>
      </c>
      <c r="AK500" s="399">
        <v>0</v>
      </c>
      <c r="AL500" s="399">
        <v>0</v>
      </c>
      <c r="AM500" s="399"/>
      <c r="AN500" s="399">
        <v>0</v>
      </c>
      <c r="AO500" s="399">
        <v>1338.5617737574396</v>
      </c>
      <c r="AP500" s="399">
        <v>7176.0646311071132</v>
      </c>
      <c r="AQ500" s="399">
        <v>0</v>
      </c>
      <c r="AR500" s="399">
        <v>0</v>
      </c>
      <c r="AS500" s="399"/>
      <c r="AT500" s="399"/>
      <c r="AU500" s="399">
        <v>0</v>
      </c>
      <c r="AV500" s="399">
        <v>0</v>
      </c>
      <c r="AW500" s="399">
        <v>0</v>
      </c>
      <c r="AX500" s="399"/>
      <c r="AY500" s="399"/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/>
      <c r="BG500" s="399">
        <v>0</v>
      </c>
      <c r="BH500" s="399">
        <v>0</v>
      </c>
      <c r="BI500" s="399">
        <v>0</v>
      </c>
      <c r="BJ500" s="399">
        <v>0</v>
      </c>
      <c r="BK500" s="399">
        <v>12566.65</v>
      </c>
      <c r="BL500" s="399">
        <v>17</v>
      </c>
      <c r="BM500" s="399"/>
      <c r="BN500" s="399"/>
      <c r="BO500" s="399"/>
      <c r="BP500" s="399"/>
      <c r="BQ500" s="399"/>
      <c r="BR500" s="399"/>
      <c r="BS500" s="399"/>
      <c r="BT500" s="399"/>
      <c r="BU500" s="399"/>
      <c r="BV500" s="399">
        <v>0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24333.8</v>
      </c>
      <c r="CJ500" s="399">
        <v>-6180.3099999999977</v>
      </c>
      <c r="CK500" s="399"/>
      <c r="CL500" s="399"/>
      <c r="CM500" s="399"/>
      <c r="CN500" s="399"/>
      <c r="CO500" s="399">
        <v>-6180.2800000000025</v>
      </c>
      <c r="CP500" s="399">
        <v>0</v>
      </c>
      <c r="CQ500" s="399">
        <v>31</v>
      </c>
      <c r="CR500" s="399">
        <v>621.53205245647769</v>
      </c>
      <c r="CS500" s="399">
        <v>97.709401096908323</v>
      </c>
      <c r="CT500" s="399">
        <v>523.82265135957005</v>
      </c>
      <c r="CU500" s="399">
        <v>0</v>
      </c>
      <c r="CV500" s="399">
        <v>0</v>
      </c>
      <c r="CW500" s="399"/>
      <c r="CX500" s="399"/>
      <c r="CY500" s="399"/>
      <c r="CZ500" s="399">
        <v>0</v>
      </c>
      <c r="DA500" s="399">
        <v>0</v>
      </c>
      <c r="DB500" s="399">
        <v>0</v>
      </c>
      <c r="DC500" s="399"/>
      <c r="DD500" s="399"/>
      <c r="DE500" s="399">
        <v>0</v>
      </c>
      <c r="DF500" s="399">
        <v>0</v>
      </c>
      <c r="DG500" s="399">
        <v>0</v>
      </c>
      <c r="DH500" s="399">
        <v>0</v>
      </c>
      <c r="DI500" s="399">
        <v>0</v>
      </c>
      <c r="DJ500" s="399"/>
      <c r="DK500" s="399">
        <v>0</v>
      </c>
      <c r="DL500" s="399">
        <v>0</v>
      </c>
      <c r="DM500" s="399"/>
      <c r="DN500" s="399">
        <v>0</v>
      </c>
      <c r="DO500" s="399">
        <v>0</v>
      </c>
      <c r="DP500" s="399">
        <v>0</v>
      </c>
      <c r="DQ500" s="399">
        <v>0</v>
      </c>
      <c r="DR500" s="399">
        <v>0</v>
      </c>
      <c r="DS500" s="399"/>
      <c r="DT500" s="399"/>
      <c r="DU500" s="399">
        <v>21991.252127489941</v>
      </c>
      <c r="DV500" s="399"/>
      <c r="DW500" s="399">
        <v>0</v>
      </c>
      <c r="DX500" s="399">
        <v>0</v>
      </c>
      <c r="DY500" s="399">
        <v>-6180.2800000000025</v>
      </c>
      <c r="DZ500" s="399"/>
      <c r="EA500" s="399">
        <v>0</v>
      </c>
      <c r="EB500" s="399"/>
      <c r="EC500" s="399">
        <v>-6799.7154978165418</v>
      </c>
      <c r="ED500" s="399"/>
      <c r="EE500" s="399">
        <v>0</v>
      </c>
      <c r="EF500" s="399">
        <v>0</v>
      </c>
      <c r="EG500" s="399"/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/>
      <c r="EN500" s="399"/>
      <c r="EO500" s="399">
        <v>0</v>
      </c>
      <c r="EP500" s="399">
        <v>0</v>
      </c>
      <c r="EQ500" s="399"/>
      <c r="ER500" s="399">
        <v>0</v>
      </c>
      <c r="ES500" s="399"/>
      <c r="ET500" s="399">
        <v>0</v>
      </c>
      <c r="EU500" s="399"/>
      <c r="EV500" s="399">
        <v>230</v>
      </c>
      <c r="EW500" s="399"/>
      <c r="EX500" s="399"/>
      <c r="EY500" s="399"/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499</v>
      </c>
      <c r="B501" s="399" t="s">
        <v>956</v>
      </c>
      <c r="C501" s="399" t="s">
        <v>2328</v>
      </c>
      <c r="D501" s="399" t="s">
        <v>2340</v>
      </c>
      <c r="E501" s="399" t="s">
        <v>894</v>
      </c>
      <c r="F501" s="399" t="s">
        <v>1239</v>
      </c>
      <c r="G501" s="399" t="s">
        <v>1239</v>
      </c>
      <c r="H501" s="399" t="s">
        <v>1239</v>
      </c>
      <c r="I501" s="399" t="s">
        <v>1239</v>
      </c>
      <c r="J501" s="399" t="s">
        <v>2329</v>
      </c>
      <c r="K501" s="789">
        <v>44743</v>
      </c>
      <c r="L501" s="399">
        <v>0</v>
      </c>
      <c r="M501" s="399">
        <v>0</v>
      </c>
      <c r="N501" s="399">
        <v>938.06500000000005</v>
      </c>
      <c r="O501" s="399">
        <v>938.06500000000005</v>
      </c>
      <c r="P501" s="399">
        <v>938.06500000000005</v>
      </c>
      <c r="Q501" s="399">
        <v>938.06500000000005</v>
      </c>
      <c r="R501" s="399"/>
      <c r="S501" s="399">
        <v>333.61</v>
      </c>
      <c r="T501" s="399">
        <v>128.11000000000001</v>
      </c>
      <c r="U501" s="399"/>
      <c r="V501" s="399">
        <v>433123.37180000002</v>
      </c>
      <c r="W501" s="399">
        <v>433123.37180000002</v>
      </c>
      <c r="X501" s="399">
        <v>378068.33695000003</v>
      </c>
      <c r="Y501" s="399">
        <v>0</v>
      </c>
      <c r="Z501" s="399">
        <v>57424.634363861274</v>
      </c>
      <c r="AA501" s="399">
        <v>0</v>
      </c>
      <c r="AB501" s="399">
        <v>0</v>
      </c>
      <c r="AC501" s="399">
        <v>0</v>
      </c>
      <c r="AD501" s="399">
        <v>0</v>
      </c>
      <c r="AE501" s="399">
        <v>182450.07622482031</v>
      </c>
      <c r="AF501" s="399">
        <v>120176.48876483929</v>
      </c>
      <c r="AG501" s="399">
        <v>0</v>
      </c>
      <c r="AH501" s="399">
        <v>0</v>
      </c>
      <c r="AI501" s="399">
        <v>0</v>
      </c>
      <c r="AJ501" s="399">
        <v>0</v>
      </c>
      <c r="AK501" s="399">
        <v>0</v>
      </c>
      <c r="AL501" s="399">
        <v>8868.3261878130288</v>
      </c>
      <c r="AM501" s="399"/>
      <c r="AN501" s="399">
        <v>807.09978128987041</v>
      </c>
      <c r="AO501" s="399">
        <v>3260.7328592857652</v>
      </c>
      <c r="AP501" s="399">
        <v>17394.197447015329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12728.013789179169</v>
      </c>
      <c r="BH501" s="399">
        <v>0</v>
      </c>
      <c r="BI501" s="399">
        <v>0</v>
      </c>
      <c r="BJ501" s="399">
        <v>0</v>
      </c>
      <c r="BK501" s="399">
        <v>52693.08</v>
      </c>
      <c r="BL501" s="399">
        <v>2303</v>
      </c>
      <c r="BM501" s="399"/>
      <c r="BN501" s="399"/>
      <c r="BO501" s="399"/>
      <c r="BP501" s="399"/>
      <c r="BQ501" s="399"/>
      <c r="BR501" s="399">
        <v>45374.204049999993</v>
      </c>
      <c r="BS501" s="399"/>
      <c r="BT501" s="399"/>
      <c r="BU501" s="399"/>
      <c r="BV501" s="399">
        <v>132904.50255401846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332695.90620000003</v>
      </c>
      <c r="CJ501" s="399">
        <v>-48458.694599999988</v>
      </c>
      <c r="CK501" s="399"/>
      <c r="CL501" s="399"/>
      <c r="CM501" s="399"/>
      <c r="CN501" s="399"/>
      <c r="CO501" s="399">
        <v>-60552.095750000015</v>
      </c>
      <c r="CP501" s="399">
        <v>5497.0608999999868</v>
      </c>
      <c r="CQ501" s="399">
        <v>31</v>
      </c>
      <c r="CR501" s="399">
        <v>1351.8613202742708</v>
      </c>
      <c r="CS501" s="399">
        <v>238.01983671137259</v>
      </c>
      <c r="CT501" s="399">
        <v>1269.7035343677453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0</v>
      </c>
      <c r="DA501" s="399">
        <v>0</v>
      </c>
      <c r="DB501" s="399">
        <v>0</v>
      </c>
      <c r="DC501" s="399">
        <v>5496.5301968039712</v>
      </c>
      <c r="DD501" s="399">
        <v>0</v>
      </c>
      <c r="DE501" s="399">
        <v>0</v>
      </c>
      <c r="DF501" s="399">
        <v>0</v>
      </c>
      <c r="DG501" s="399">
        <v>582.14308685989636</v>
      </c>
      <c r="DH501" s="399">
        <v>0</v>
      </c>
      <c r="DI501" s="399">
        <v>-5431.8640714321155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-708.10552415014809</v>
      </c>
      <c r="DP501" s="399">
        <v>-94.565738886457552</v>
      </c>
      <c r="DQ501" s="399">
        <v>0</v>
      </c>
      <c r="DR501" s="399">
        <v>0</v>
      </c>
      <c r="DS501" s="399"/>
      <c r="DT501" s="399"/>
      <c r="DU501" s="399"/>
      <c r="DV501" s="399">
        <v>182450.07622482031</v>
      </c>
      <c r="DW501" s="399">
        <v>0</v>
      </c>
      <c r="DX501" s="399">
        <v>0</v>
      </c>
      <c r="DY501" s="399">
        <v>-60552.095749999979</v>
      </c>
      <c r="DZ501" s="399">
        <v>5497.0608999999822</v>
      </c>
      <c r="EA501" s="399">
        <v>0</v>
      </c>
      <c r="EB501" s="399">
        <v>0</v>
      </c>
      <c r="EC501" s="399">
        <v>-56413.73231917563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30016.686830642786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230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500</v>
      </c>
      <c r="B502" s="399" t="s">
        <v>2330</v>
      </c>
      <c r="C502" s="399" t="s">
        <v>2328</v>
      </c>
      <c r="D502" s="399" t="s">
        <v>2340</v>
      </c>
      <c r="E502" s="399" t="s">
        <v>894</v>
      </c>
      <c r="F502" s="399" t="s">
        <v>1239</v>
      </c>
      <c r="G502" s="399" t="s">
        <v>1239</v>
      </c>
      <c r="H502" s="399" t="s">
        <v>1239</v>
      </c>
      <c r="I502" s="399" t="s">
        <v>1239</v>
      </c>
      <c r="J502" s="399" t="s">
        <v>2329</v>
      </c>
      <c r="K502" s="789">
        <v>44743</v>
      </c>
      <c r="L502" s="399">
        <v>0</v>
      </c>
      <c r="M502" s="399">
        <v>0</v>
      </c>
      <c r="N502" s="399">
        <v>-0.17199999999999999</v>
      </c>
      <c r="O502" s="399">
        <v>-0.17199999999999999</v>
      </c>
      <c r="P502" s="399">
        <v>-0.17199999999999999</v>
      </c>
      <c r="Q502" s="399">
        <v>-0.17199999999999999</v>
      </c>
      <c r="R502" s="399"/>
      <c r="S502" s="399">
        <v>333.61</v>
      </c>
      <c r="T502" s="399">
        <v>128.11000000000001</v>
      </c>
      <c r="U502" s="399"/>
      <c r="V502" s="399">
        <v>-79.415840000000003</v>
      </c>
      <c r="W502" s="399">
        <v>-79.415840000000003</v>
      </c>
      <c r="X502" s="399">
        <v>-69.321159999999992</v>
      </c>
      <c r="Y502" s="399">
        <v>0</v>
      </c>
      <c r="Z502" s="399">
        <v>-10.529160677121668</v>
      </c>
      <c r="AA502" s="399">
        <v>0</v>
      </c>
      <c r="AB502" s="399">
        <v>0</v>
      </c>
      <c r="AC502" s="399">
        <v>0</v>
      </c>
      <c r="AD502" s="399">
        <v>0</v>
      </c>
      <c r="AE502" s="399">
        <v>-33.453346101463211</v>
      </c>
      <c r="AF502" s="399">
        <v>-22.035099985131474</v>
      </c>
      <c r="AG502" s="399">
        <v>0</v>
      </c>
      <c r="AH502" s="399">
        <v>0</v>
      </c>
      <c r="AI502" s="399">
        <v>0</v>
      </c>
      <c r="AJ502" s="399">
        <v>0</v>
      </c>
      <c r="AK502" s="399">
        <v>0</v>
      </c>
      <c r="AL502" s="399">
        <v>-1.62606227106207</v>
      </c>
      <c r="AM502" s="399"/>
      <c r="AN502" s="399">
        <v>-0.1479867198774687</v>
      </c>
      <c r="AO502" s="399">
        <v>-0.59787546896766375</v>
      </c>
      <c r="AP502" s="399">
        <v>-3.1893333200648528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-2.3337597839582722</v>
      </c>
      <c r="BH502" s="399">
        <v>0</v>
      </c>
      <c r="BI502" s="399">
        <v>0</v>
      </c>
      <c r="BJ502" s="399">
        <v>0</v>
      </c>
      <c r="BK502" s="399">
        <v>-8.31</v>
      </c>
      <c r="BL502" s="399">
        <v>0</v>
      </c>
      <c r="BM502" s="399"/>
      <c r="BN502" s="399"/>
      <c r="BO502" s="399"/>
      <c r="BP502" s="399"/>
      <c r="BQ502" s="399"/>
      <c r="BR502" s="399">
        <v>-8.3196399999999979</v>
      </c>
      <c r="BS502" s="399"/>
      <c r="BT502" s="399"/>
      <c r="BU502" s="399"/>
      <c r="BV502" s="399">
        <v>-24.368859769089745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-60.292200000000008</v>
      </c>
      <c r="CJ502" s="399">
        <v>9.5648399999999754</v>
      </c>
      <c r="CK502" s="399"/>
      <c r="CL502" s="399"/>
      <c r="CM502" s="399"/>
      <c r="CN502" s="399"/>
      <c r="CO502" s="399">
        <v>11.102600000000001</v>
      </c>
      <c r="CP502" s="399">
        <v>-1.0079199999999975</v>
      </c>
      <c r="CQ502" s="399">
        <v>31</v>
      </c>
      <c r="CR502" s="399">
        <v>-0.24787210597045828</v>
      </c>
      <c r="CS502" s="399">
        <v>-4.3642404219703446E-2</v>
      </c>
      <c r="CT502" s="399">
        <v>-0.23280796950238214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0</v>
      </c>
      <c r="DA502" s="399">
        <v>0</v>
      </c>
      <c r="DB502" s="399">
        <v>0</v>
      </c>
      <c r="DC502" s="399">
        <v>-1.0078226922977436</v>
      </c>
      <c r="DD502" s="399">
        <v>0</v>
      </c>
      <c r="DE502" s="399">
        <v>0</v>
      </c>
      <c r="DF502" s="399">
        <v>0</v>
      </c>
      <c r="DG502" s="399">
        <v>-0.10673952331651027</v>
      </c>
      <c r="DH502" s="399">
        <v>0</v>
      </c>
      <c r="DI502" s="399">
        <v>0.99596575960762301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0.1298355126284696</v>
      </c>
      <c r="DP502" s="399">
        <v>1.7339211129794502E-2</v>
      </c>
      <c r="DQ502" s="399">
        <v>0</v>
      </c>
      <c r="DR502" s="399">
        <v>0</v>
      </c>
      <c r="DS502" s="399"/>
      <c r="DT502" s="399"/>
      <c r="DU502" s="399"/>
      <c r="DV502" s="399">
        <v>-33.453346101463211</v>
      </c>
      <c r="DW502" s="399">
        <v>0</v>
      </c>
      <c r="DX502" s="399">
        <v>0</v>
      </c>
      <c r="DY502" s="399">
        <v>11.102600000000002</v>
      </c>
      <c r="DZ502" s="399">
        <v>-1.0079199999999986</v>
      </c>
      <c r="EA502" s="399">
        <v>0</v>
      </c>
      <c r="EB502" s="399">
        <v>0</v>
      </c>
      <c r="EC502" s="399">
        <v>10.343805556009663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-5.5037445538108321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230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501</v>
      </c>
      <c r="B503" s="399" t="s">
        <v>2331</v>
      </c>
      <c r="C503" s="399" t="s">
        <v>2328</v>
      </c>
      <c r="D503" s="399" t="s">
        <v>2340</v>
      </c>
      <c r="E503" s="399" t="s">
        <v>894</v>
      </c>
      <c r="F503" s="399" t="s">
        <v>1239</v>
      </c>
      <c r="G503" s="399" t="s">
        <v>1239</v>
      </c>
      <c r="H503" s="399" t="s">
        <v>1239</v>
      </c>
      <c r="I503" s="399" t="s">
        <v>1239</v>
      </c>
      <c r="J503" s="399" t="s">
        <v>2329</v>
      </c>
      <c r="K503" s="789">
        <v>44743</v>
      </c>
      <c r="L503" s="399">
        <v>0</v>
      </c>
      <c r="M503" s="399">
        <v>0</v>
      </c>
      <c r="N503" s="399">
        <v>35.591999999999999</v>
      </c>
      <c r="O503" s="399">
        <v>35.591999999999999</v>
      </c>
      <c r="P503" s="399">
        <v>35.591999999999999</v>
      </c>
      <c r="Q503" s="399">
        <v>35.591999999999999</v>
      </c>
      <c r="R503" s="399"/>
      <c r="S503" s="399">
        <v>333.61</v>
      </c>
      <c r="T503" s="399">
        <v>128.11000000000001</v>
      </c>
      <c r="U503" s="399"/>
      <c r="V503" s="399">
        <v>16433.538240000002</v>
      </c>
      <c r="W503" s="399">
        <v>16433.538240000002</v>
      </c>
      <c r="X503" s="399">
        <v>14344.643759999999</v>
      </c>
      <c r="Y503" s="399">
        <v>0</v>
      </c>
      <c r="Z503" s="399">
        <v>2178.8016675588051</v>
      </c>
      <c r="AA503" s="399">
        <v>0</v>
      </c>
      <c r="AB503" s="399">
        <v>0</v>
      </c>
      <c r="AC503" s="399">
        <v>0</v>
      </c>
      <c r="AD503" s="399">
        <v>0</v>
      </c>
      <c r="AE503" s="399">
        <v>6922.5086886237132</v>
      </c>
      <c r="AF503" s="399">
        <v>4559.7283643651126</v>
      </c>
      <c r="AG503" s="399">
        <v>0</v>
      </c>
      <c r="AH503" s="399">
        <v>0</v>
      </c>
      <c r="AI503" s="399">
        <v>0</v>
      </c>
      <c r="AJ503" s="399">
        <v>0</v>
      </c>
      <c r="AK503" s="399">
        <v>0</v>
      </c>
      <c r="AL503" s="399">
        <v>336.48144390489068</v>
      </c>
      <c r="AM503" s="399"/>
      <c r="AN503" s="399">
        <v>30.62292635976085</v>
      </c>
      <c r="AO503" s="399">
        <v>123.7185098342854</v>
      </c>
      <c r="AP503" s="399">
        <v>659.96948562644332</v>
      </c>
      <c r="AQ503" s="399">
        <v>0</v>
      </c>
      <c r="AR503" s="399">
        <v>0</v>
      </c>
      <c r="AS503" s="399">
        <v>0</v>
      </c>
      <c r="AT503" s="399">
        <v>0</v>
      </c>
      <c r="AU503" s="399">
        <v>0</v>
      </c>
      <c r="AV503" s="399">
        <v>0</v>
      </c>
      <c r="AW503" s="399">
        <v>0</v>
      </c>
      <c r="AX503" s="399">
        <v>0</v>
      </c>
      <c r="AY503" s="399">
        <v>0</v>
      </c>
      <c r="AZ503" s="399">
        <v>0</v>
      </c>
      <c r="BA503" s="399"/>
      <c r="BB503" s="399">
        <v>0</v>
      </c>
      <c r="BC503" s="399">
        <v>0</v>
      </c>
      <c r="BD503" s="399">
        <v>0</v>
      </c>
      <c r="BE503" s="399">
        <v>0</v>
      </c>
      <c r="BF503" s="399">
        <v>0</v>
      </c>
      <c r="BG503" s="399">
        <v>482.92545482931877</v>
      </c>
      <c r="BH503" s="399">
        <v>0</v>
      </c>
      <c r="BI503" s="399">
        <v>0</v>
      </c>
      <c r="BJ503" s="399">
        <v>0</v>
      </c>
      <c r="BK503" s="399">
        <v>4776.16</v>
      </c>
      <c r="BL503" s="399">
        <v>49</v>
      </c>
      <c r="BM503" s="399"/>
      <c r="BN503" s="399"/>
      <c r="BO503" s="399"/>
      <c r="BP503" s="399"/>
      <c r="BQ503" s="399"/>
      <c r="BR503" s="399">
        <v>1721.5850399999997</v>
      </c>
      <c r="BS503" s="399"/>
      <c r="BT503" s="399"/>
      <c r="BU503" s="399"/>
      <c r="BV503" s="399">
        <v>5042.653819194431</v>
      </c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>
        <v>12622.349400000003</v>
      </c>
      <c r="CJ503" s="399">
        <v>-1839.4220399999958</v>
      </c>
      <c r="CK503" s="399"/>
      <c r="CL503" s="399"/>
      <c r="CM503" s="399"/>
      <c r="CN503" s="399"/>
      <c r="CO503" s="399">
        <v>-2297.4636000000005</v>
      </c>
      <c r="CP503" s="399">
        <v>208.56911999999946</v>
      </c>
      <c r="CQ503" s="399">
        <v>31</v>
      </c>
      <c r="CR503" s="399">
        <v>51.292232533141942</v>
      </c>
      <c r="CS503" s="399">
        <v>9.0309328545795751</v>
      </c>
      <c r="CT503" s="399">
        <v>48.175007270516176</v>
      </c>
      <c r="CU503" s="399">
        <v>0</v>
      </c>
      <c r="CV503" s="399">
        <v>0</v>
      </c>
      <c r="CW503" s="399">
        <v>0</v>
      </c>
      <c r="CX503" s="399">
        <v>0</v>
      </c>
      <c r="CY503" s="399">
        <v>0</v>
      </c>
      <c r="CZ503" s="399">
        <v>0</v>
      </c>
      <c r="DA503" s="399">
        <v>0</v>
      </c>
      <c r="DB503" s="399">
        <v>0</v>
      </c>
      <c r="DC503" s="399">
        <v>208.5489840945429</v>
      </c>
      <c r="DD503" s="399">
        <v>0</v>
      </c>
      <c r="DE503" s="399">
        <v>0</v>
      </c>
      <c r="DF503" s="399">
        <v>0</v>
      </c>
      <c r="DG503" s="399">
        <v>22.08763438303049</v>
      </c>
      <c r="DH503" s="399">
        <v>0</v>
      </c>
      <c r="DI503" s="399">
        <v>-206.09542625554968</v>
      </c>
      <c r="DJ503" s="399"/>
      <c r="DK503" s="399">
        <v>0</v>
      </c>
      <c r="DL503" s="399">
        <v>0</v>
      </c>
      <c r="DM503" s="399">
        <v>0</v>
      </c>
      <c r="DN503" s="399">
        <v>0</v>
      </c>
      <c r="DO503" s="399">
        <v>-26.866892822514501</v>
      </c>
      <c r="DP503" s="399">
        <v>-3.5880069914630575</v>
      </c>
      <c r="DQ503" s="399">
        <v>0</v>
      </c>
      <c r="DR503" s="399">
        <v>0</v>
      </c>
      <c r="DS503" s="399"/>
      <c r="DT503" s="399"/>
      <c r="DU503" s="399"/>
      <c r="DV503" s="399">
        <v>6922.5086886237132</v>
      </c>
      <c r="DW503" s="399">
        <v>0</v>
      </c>
      <c r="DX503" s="399">
        <v>0</v>
      </c>
      <c r="DY503" s="399">
        <v>-2297.463600000001</v>
      </c>
      <c r="DZ503" s="399">
        <v>208.5691199999992</v>
      </c>
      <c r="EA503" s="399">
        <v>0</v>
      </c>
      <c r="EB503" s="399">
        <v>0</v>
      </c>
      <c r="EC503" s="399">
        <v>-2140.4460892412553</v>
      </c>
      <c r="ED503" s="399">
        <v>0</v>
      </c>
      <c r="EE503" s="399">
        <v>0</v>
      </c>
      <c r="EF503" s="399">
        <v>0</v>
      </c>
      <c r="EG503" s="399">
        <v>0</v>
      </c>
      <c r="EH503" s="399">
        <v>0</v>
      </c>
      <c r="EI503" s="399">
        <v>0</v>
      </c>
      <c r="EJ503" s="399">
        <v>0</v>
      </c>
      <c r="EK503" s="399">
        <v>0</v>
      </c>
      <c r="EL503" s="399">
        <v>0</v>
      </c>
      <c r="EM503" s="399">
        <v>0</v>
      </c>
      <c r="EN503" s="399">
        <v>0</v>
      </c>
      <c r="EO503" s="399">
        <v>0</v>
      </c>
      <c r="EP503" s="399">
        <v>1138.8911404606695</v>
      </c>
      <c r="EQ503" s="399">
        <v>0</v>
      </c>
      <c r="ER503" s="399">
        <v>0</v>
      </c>
      <c r="ES503" s="399">
        <v>0</v>
      </c>
      <c r="ET503" s="399">
        <v>0</v>
      </c>
      <c r="EU503" s="399">
        <v>0</v>
      </c>
      <c r="EV503" s="399">
        <v>230</v>
      </c>
      <c r="EW503" s="399">
        <v>0</v>
      </c>
      <c r="EX503" s="399">
        <v>0</v>
      </c>
      <c r="EY503" s="399">
        <v>0</v>
      </c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502</v>
      </c>
      <c r="B504" s="399" t="s">
        <v>956</v>
      </c>
      <c r="C504" s="399" t="s">
        <v>2328</v>
      </c>
      <c r="D504" s="399" t="s">
        <v>1826</v>
      </c>
      <c r="E504" s="399" t="s">
        <v>2341</v>
      </c>
      <c r="F504" s="399" t="s">
        <v>1239</v>
      </c>
      <c r="G504" s="399" t="s">
        <v>1239</v>
      </c>
      <c r="H504" s="399" t="s">
        <v>1239</v>
      </c>
      <c r="I504" s="399" t="s">
        <v>1239</v>
      </c>
      <c r="J504" s="399" t="s">
        <v>2329</v>
      </c>
      <c r="K504" s="789">
        <v>44743</v>
      </c>
      <c r="L504" s="399">
        <v>0</v>
      </c>
      <c r="M504" s="399">
        <v>0</v>
      </c>
      <c r="N504" s="399">
        <v>155.661</v>
      </c>
      <c r="O504" s="399">
        <v>155.661</v>
      </c>
      <c r="P504" s="399">
        <v>155.661</v>
      </c>
      <c r="Q504" s="399">
        <v>155.661</v>
      </c>
      <c r="R504" s="399"/>
      <c r="S504" s="399">
        <v>333.61</v>
      </c>
      <c r="T504" s="399">
        <v>128.11000000000001</v>
      </c>
      <c r="U504" s="399"/>
      <c r="V504" s="399">
        <v>71871.796920000008</v>
      </c>
      <c r="W504" s="399">
        <v>71871.796920000008</v>
      </c>
      <c r="X504" s="399">
        <v>62736.052830000001</v>
      </c>
      <c r="Y504" s="399">
        <v>0</v>
      </c>
      <c r="Z504" s="399">
        <v>9528.9516288455598</v>
      </c>
      <c r="AA504" s="399">
        <v>0</v>
      </c>
      <c r="AB504" s="399">
        <v>0</v>
      </c>
      <c r="AC504" s="399">
        <v>0</v>
      </c>
      <c r="AD504" s="399">
        <v>0</v>
      </c>
      <c r="AE504" s="399">
        <v>30275.472718022473</v>
      </c>
      <c r="AF504" s="399">
        <v>19941.89359759041</v>
      </c>
      <c r="AG504" s="399">
        <v>0</v>
      </c>
      <c r="AH504" s="399">
        <v>0</v>
      </c>
      <c r="AI504" s="399">
        <v>0</v>
      </c>
      <c r="AJ504" s="399">
        <v>0</v>
      </c>
      <c r="AK504" s="399">
        <v>0</v>
      </c>
      <c r="AL504" s="399">
        <v>1471.5958091615867</v>
      </c>
      <c r="AM504" s="399"/>
      <c r="AN504" s="399">
        <v>133.92884187701546</v>
      </c>
      <c r="AO504" s="399">
        <v>541.08077543590412</v>
      </c>
      <c r="AP504" s="399">
        <v>2886.3651972942739</v>
      </c>
      <c r="AQ504" s="399">
        <v>0</v>
      </c>
      <c r="AR504" s="399">
        <v>0</v>
      </c>
      <c r="AS504" s="399">
        <v>0</v>
      </c>
      <c r="AT504" s="399">
        <v>0</v>
      </c>
      <c r="AU504" s="399">
        <v>0</v>
      </c>
      <c r="AV504" s="399">
        <v>0</v>
      </c>
      <c r="AW504" s="399">
        <v>0</v>
      </c>
      <c r="AX504" s="399">
        <v>0</v>
      </c>
      <c r="AY504" s="399">
        <v>0</v>
      </c>
      <c r="AZ504" s="399">
        <v>0</v>
      </c>
      <c r="BA504" s="399"/>
      <c r="BB504" s="399">
        <v>0</v>
      </c>
      <c r="BC504" s="399">
        <v>0</v>
      </c>
      <c r="BD504" s="399">
        <v>0</v>
      </c>
      <c r="BE504" s="399">
        <v>0</v>
      </c>
      <c r="BF504" s="399">
        <v>0</v>
      </c>
      <c r="BG504" s="399">
        <v>2112.0661728530736</v>
      </c>
      <c r="BH504" s="399">
        <v>0</v>
      </c>
      <c r="BI504" s="399">
        <v>0</v>
      </c>
      <c r="BJ504" s="399">
        <v>0</v>
      </c>
      <c r="BK504" s="399">
        <v>10826.33</v>
      </c>
      <c r="BL504" s="399">
        <v>217</v>
      </c>
      <c r="BM504" s="399"/>
      <c r="BN504" s="399"/>
      <c r="BO504" s="399"/>
      <c r="BP504" s="399"/>
      <c r="BQ504" s="399"/>
      <c r="BR504" s="399"/>
      <c r="BS504" s="399"/>
      <c r="BT504" s="399"/>
      <c r="BU504" s="399"/>
      <c r="BV504" s="399">
        <v>22053.959770443482</v>
      </c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>
        <v>62735.649799999999</v>
      </c>
      <c r="CJ504" s="399">
        <v>-9136.1771200000076</v>
      </c>
      <c r="CK504" s="399"/>
      <c r="CL504" s="399"/>
      <c r="CM504" s="399"/>
      <c r="CN504" s="399"/>
      <c r="CO504" s="399">
        <v>-10047.917550000002</v>
      </c>
      <c r="CP504" s="399">
        <v>912.1734599999977</v>
      </c>
      <c r="CQ504" s="399">
        <v>31</v>
      </c>
      <c r="CR504" s="399">
        <v>224.32569702015462</v>
      </c>
      <c r="CS504" s="399">
        <v>39.496629553739922</v>
      </c>
      <c r="CT504" s="399">
        <v>210.69256593436239</v>
      </c>
      <c r="CU504" s="399">
        <v>0</v>
      </c>
      <c r="CV504" s="399">
        <v>0</v>
      </c>
      <c r="CW504" s="399">
        <v>0</v>
      </c>
      <c r="CX504" s="399">
        <v>0</v>
      </c>
      <c r="CY504" s="399">
        <v>0</v>
      </c>
      <c r="CZ504" s="399">
        <v>0</v>
      </c>
      <c r="DA504" s="399">
        <v>0</v>
      </c>
      <c r="DB504" s="399">
        <v>0</v>
      </c>
      <c r="DC504" s="399">
        <v>912.08539596371702</v>
      </c>
      <c r="DD504" s="399">
        <v>0</v>
      </c>
      <c r="DE504" s="399">
        <v>0</v>
      </c>
      <c r="DF504" s="399">
        <v>0</v>
      </c>
      <c r="DG504" s="399">
        <v>96.599889180065929</v>
      </c>
      <c r="DH504" s="399">
        <v>0</v>
      </c>
      <c r="DI504" s="399">
        <v>-901.35480294350054</v>
      </c>
      <c r="DJ504" s="399"/>
      <c r="DK504" s="399">
        <v>0</v>
      </c>
      <c r="DL504" s="399">
        <v>0</v>
      </c>
      <c r="DM504" s="399">
        <v>0</v>
      </c>
      <c r="DN504" s="399">
        <v>0</v>
      </c>
      <c r="DO504" s="399">
        <v>-117.50189378639675</v>
      </c>
      <c r="DP504" s="399">
        <v>-15.692086881831074</v>
      </c>
      <c r="DQ504" s="399">
        <v>0</v>
      </c>
      <c r="DR504" s="399">
        <v>0</v>
      </c>
      <c r="DS504" s="399"/>
      <c r="DT504" s="399"/>
      <c r="DU504" s="399"/>
      <c r="DV504" s="399">
        <v>30275.472718022473</v>
      </c>
      <c r="DW504" s="399">
        <v>0</v>
      </c>
      <c r="DX504" s="399">
        <v>0</v>
      </c>
      <c r="DY504" s="399">
        <v>-10047.917550000006</v>
      </c>
      <c r="DZ504" s="399">
        <v>912.17345999999816</v>
      </c>
      <c r="EA504" s="399">
        <v>0</v>
      </c>
      <c r="EB504" s="399">
        <v>0</v>
      </c>
      <c r="EC504" s="399">
        <v>-9361.2041665931392</v>
      </c>
      <c r="ED504" s="399">
        <v>0</v>
      </c>
      <c r="EE504" s="399">
        <v>0</v>
      </c>
      <c r="EF504" s="399">
        <v>0</v>
      </c>
      <c r="EG504" s="399">
        <v>0</v>
      </c>
      <c r="EH504" s="399">
        <v>0</v>
      </c>
      <c r="EI504" s="399">
        <v>0</v>
      </c>
      <c r="EJ504" s="399">
        <v>0</v>
      </c>
      <c r="EK504" s="399">
        <v>0</v>
      </c>
      <c r="EL504" s="399">
        <v>0</v>
      </c>
      <c r="EM504" s="399">
        <v>0</v>
      </c>
      <c r="EN504" s="399">
        <v>0</v>
      </c>
      <c r="EO504" s="399">
        <v>0</v>
      </c>
      <c r="EP504" s="399">
        <v>4980.9208197136513</v>
      </c>
      <c r="EQ504" s="399">
        <v>0</v>
      </c>
      <c r="ER504" s="399">
        <v>0</v>
      </c>
      <c r="ES504" s="399">
        <v>0</v>
      </c>
      <c r="ET504" s="399">
        <v>0</v>
      </c>
      <c r="EU504" s="399">
        <v>0</v>
      </c>
      <c r="EV504" s="399">
        <v>230</v>
      </c>
      <c r="EW504" s="399">
        <v>0</v>
      </c>
      <c r="EX504" s="399">
        <v>0</v>
      </c>
      <c r="EY504" s="399">
        <v>0</v>
      </c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503</v>
      </c>
      <c r="B505" s="399" t="s">
        <v>2331</v>
      </c>
      <c r="C505" s="399" t="s">
        <v>2328</v>
      </c>
      <c r="D505" s="399" t="s">
        <v>1826</v>
      </c>
      <c r="E505" s="399" t="s">
        <v>2341</v>
      </c>
      <c r="F505" s="399" t="s">
        <v>1239</v>
      </c>
      <c r="G505" s="399" t="s">
        <v>1239</v>
      </c>
      <c r="H505" s="399" t="s">
        <v>1239</v>
      </c>
      <c r="I505" s="399" t="s">
        <v>1239</v>
      </c>
      <c r="J505" s="399" t="s">
        <v>2329</v>
      </c>
      <c r="K505" s="789">
        <v>44743</v>
      </c>
      <c r="L505" s="399">
        <v>0</v>
      </c>
      <c r="M505" s="399">
        <v>0</v>
      </c>
      <c r="N505" s="399">
        <v>0.2</v>
      </c>
      <c r="O505" s="399">
        <v>0.2</v>
      </c>
      <c r="P505" s="399">
        <v>0.2</v>
      </c>
      <c r="Q505" s="399">
        <v>0.2</v>
      </c>
      <c r="R505" s="399"/>
      <c r="S505" s="399">
        <v>333.61</v>
      </c>
      <c r="T505" s="399">
        <v>128.11000000000001</v>
      </c>
      <c r="U505" s="399"/>
      <c r="V505" s="399">
        <v>92.344000000000008</v>
      </c>
      <c r="W505" s="399">
        <v>92.344000000000008</v>
      </c>
      <c r="X505" s="399">
        <v>80.606000000000009</v>
      </c>
      <c r="Y505" s="399">
        <v>0</v>
      </c>
      <c r="Z505" s="399">
        <v>12.24321008967636</v>
      </c>
      <c r="AA505" s="399">
        <v>0</v>
      </c>
      <c r="AB505" s="399">
        <v>0</v>
      </c>
      <c r="AC505" s="399">
        <v>0</v>
      </c>
      <c r="AD505" s="399">
        <v>0</v>
      </c>
      <c r="AE505" s="399">
        <v>38.899239652864203</v>
      </c>
      <c r="AF505" s="399">
        <v>25.6222092850366</v>
      </c>
      <c r="AG505" s="399">
        <v>0</v>
      </c>
      <c r="AH505" s="399">
        <v>0</v>
      </c>
      <c r="AI505" s="399">
        <v>0</v>
      </c>
      <c r="AJ505" s="399">
        <v>0</v>
      </c>
      <c r="AK505" s="399">
        <v>0</v>
      </c>
      <c r="AL505" s="399">
        <v>1.8907700826303142</v>
      </c>
      <c r="AM505" s="399"/>
      <c r="AN505" s="399">
        <v>0.17207758125287062</v>
      </c>
      <c r="AO505" s="399">
        <v>0.69520403368333006</v>
      </c>
      <c r="AP505" s="399">
        <v>3.7085271163544804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2.7136741673933402</v>
      </c>
      <c r="BH505" s="399">
        <v>0</v>
      </c>
      <c r="BI505" s="399">
        <v>0</v>
      </c>
      <c r="BJ505" s="399">
        <v>0</v>
      </c>
      <c r="BK505" s="399">
        <v>66.56</v>
      </c>
      <c r="BL505" s="399">
        <v>2</v>
      </c>
      <c r="BM505" s="399"/>
      <c r="BN505" s="399"/>
      <c r="BO505" s="399"/>
      <c r="BP505" s="399"/>
      <c r="BQ505" s="399"/>
      <c r="BR505" s="399"/>
      <c r="BS505" s="399"/>
      <c r="BT505" s="399"/>
      <c r="BU505" s="399"/>
      <c r="BV505" s="399">
        <v>28.33588345242994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80.606000000000009</v>
      </c>
      <c r="CJ505" s="399">
        <v>-11.768000000000015</v>
      </c>
      <c r="CK505" s="399"/>
      <c r="CL505" s="399"/>
      <c r="CM505" s="399"/>
      <c r="CN505" s="399"/>
      <c r="CO505" s="399">
        <v>-12.910000000000004</v>
      </c>
      <c r="CP505" s="399">
        <v>1.171999999999997</v>
      </c>
      <c r="CQ505" s="399">
        <v>31</v>
      </c>
      <c r="CR505" s="399">
        <v>0.28822337903542916</v>
      </c>
      <c r="CS505" s="399">
        <v>5.0746981650817924E-2</v>
      </c>
      <c r="CT505" s="399">
        <v>0.27070694128184014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0</v>
      </c>
      <c r="DA505" s="399">
        <v>0</v>
      </c>
      <c r="DB505" s="399">
        <v>0</v>
      </c>
      <c r="DC505" s="399">
        <v>1.1718868515090044</v>
      </c>
      <c r="DD505" s="399">
        <v>0</v>
      </c>
      <c r="DE505" s="399">
        <v>0</v>
      </c>
      <c r="DF505" s="399">
        <v>0</v>
      </c>
      <c r="DG505" s="399">
        <v>0.12411572478664024</v>
      </c>
      <c r="DH505" s="399">
        <v>0</v>
      </c>
      <c r="DI505" s="399">
        <v>-1.1580997204739791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-0.15097152631217403</v>
      </c>
      <c r="DP505" s="399">
        <v>-2.0161873406737807E-2</v>
      </c>
      <c r="DQ505" s="399">
        <v>0</v>
      </c>
      <c r="DR505" s="399">
        <v>0</v>
      </c>
      <c r="DS505" s="399"/>
      <c r="DT505" s="399"/>
      <c r="DU505" s="399"/>
      <c r="DV505" s="399">
        <v>38.899239652864203</v>
      </c>
      <c r="DW505" s="399">
        <v>0</v>
      </c>
      <c r="DX505" s="399">
        <v>0</v>
      </c>
      <c r="DY505" s="399">
        <v>-12.910000000000004</v>
      </c>
      <c r="DZ505" s="399">
        <v>1.171999999999997</v>
      </c>
      <c r="EA505" s="399">
        <v>0</v>
      </c>
      <c r="EB505" s="399">
        <v>0</v>
      </c>
      <c r="EC505" s="399">
        <v>-12.027680879081004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6.3997029695474801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230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504</v>
      </c>
      <c r="B506" s="399" t="s">
        <v>956</v>
      </c>
      <c r="C506" s="399" t="s">
        <v>2337</v>
      </c>
      <c r="D506" s="399" t="s">
        <v>533</v>
      </c>
      <c r="E506" s="399" t="s">
        <v>2341</v>
      </c>
      <c r="F506" s="399" t="s">
        <v>1239</v>
      </c>
      <c r="G506" s="399" t="s">
        <v>1239</v>
      </c>
      <c r="H506" s="399" t="s">
        <v>1239</v>
      </c>
      <c r="I506" s="399" t="s">
        <v>893</v>
      </c>
      <c r="J506" s="399" t="s">
        <v>2329</v>
      </c>
      <c r="K506" s="789">
        <v>44743</v>
      </c>
      <c r="L506" s="399">
        <v>0</v>
      </c>
      <c r="M506" s="399">
        <v>0</v>
      </c>
      <c r="N506" s="399">
        <v>1.8120000000000001</v>
      </c>
      <c r="O506" s="399">
        <v>1.8120000000000001</v>
      </c>
      <c r="P506" s="399">
        <v>1.8120000000000001</v>
      </c>
      <c r="Q506" s="399">
        <v>1.8120000000000001</v>
      </c>
      <c r="R506" s="399"/>
      <c r="S506" s="399">
        <v>1351.49</v>
      </c>
      <c r="T506" s="399">
        <v>128.11000000000001</v>
      </c>
      <c r="U506" s="399"/>
      <c r="V506" s="399">
        <v>2681.0351999999998</v>
      </c>
      <c r="W506" s="399">
        <v>2681.0351999999998</v>
      </c>
      <c r="X506" s="399">
        <v>2069.1409200000003</v>
      </c>
      <c r="Y506" s="399">
        <v>0</v>
      </c>
      <c r="Z506" s="399">
        <v>96.503430568847065</v>
      </c>
      <c r="AA506" s="399">
        <v>0</v>
      </c>
      <c r="AB506" s="399">
        <v>0</v>
      </c>
      <c r="AC506" s="399">
        <v>0</v>
      </c>
      <c r="AD506" s="399">
        <v>0</v>
      </c>
      <c r="AE506" s="399">
        <v>2036.5876712663605</v>
      </c>
      <c r="AF506" s="399">
        <v>232.1372161224316</v>
      </c>
      <c r="AG506" s="399">
        <v>0</v>
      </c>
      <c r="AH506" s="399">
        <v>0</v>
      </c>
      <c r="AI506" s="399">
        <v>0</v>
      </c>
      <c r="AJ506" s="399">
        <v>0</v>
      </c>
      <c r="AK506" s="399">
        <v>0</v>
      </c>
      <c r="AL506" s="399">
        <v>17.130376948630648</v>
      </c>
      <c r="AM506" s="399"/>
      <c r="AN506" s="399">
        <v>0.89078038267814685</v>
      </c>
      <c r="AO506" s="399">
        <v>37.639822752209504</v>
      </c>
      <c r="AP506" s="399">
        <v>200.21164443896399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9.4923709493599358</v>
      </c>
      <c r="BH506" s="399">
        <v>0</v>
      </c>
      <c r="BI506" s="399">
        <v>0</v>
      </c>
      <c r="BJ506" s="399">
        <v>0</v>
      </c>
      <c r="BK506" s="399">
        <v>0</v>
      </c>
      <c r="BL506" s="399">
        <v>0</v>
      </c>
      <c r="BM506" s="399"/>
      <c r="BN506" s="399"/>
      <c r="BO506" s="399"/>
      <c r="BP506" s="399"/>
      <c r="BQ506" s="399"/>
      <c r="BR506" s="399"/>
      <c r="BS506" s="399"/>
      <c r="BT506" s="399"/>
      <c r="BU506" s="399"/>
      <c r="BV506" s="399">
        <v>241.62958707179152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2066.8571000000002</v>
      </c>
      <c r="CJ506" s="399">
        <v>-614.20810000000029</v>
      </c>
      <c r="CK506" s="399"/>
      <c r="CL506" s="399"/>
      <c r="CM506" s="399"/>
      <c r="CN506" s="399"/>
      <c r="CO506" s="399">
        <v>-622.51259999999991</v>
      </c>
      <c r="CP506" s="399">
        <v>10.618319999999974</v>
      </c>
      <c r="CQ506" s="399">
        <v>31</v>
      </c>
      <c r="CR506" s="399">
        <v>17.8130633993419</v>
      </c>
      <c r="CS506" s="399">
        <v>2.7475493552967976</v>
      </c>
      <c r="CT506" s="399">
        <v>14.614611185141939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0</v>
      </c>
      <c r="DA506" s="399">
        <v>0</v>
      </c>
      <c r="DB506" s="399">
        <v>0</v>
      </c>
      <c r="DC506" s="399">
        <v>10.617294874671558</v>
      </c>
      <c r="DD506" s="399">
        <v>0</v>
      </c>
      <c r="DE506" s="399">
        <v>0</v>
      </c>
      <c r="DF506" s="399">
        <v>0</v>
      </c>
      <c r="DG506" s="399">
        <v>0.43415400215688926</v>
      </c>
      <c r="DH506" s="399">
        <v>0</v>
      </c>
      <c r="DI506" s="399">
        <v>-9.1283736167201539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-1.367802028388299</v>
      </c>
      <c r="DP506" s="399">
        <v>-0.10437037281672357</v>
      </c>
      <c r="DQ506" s="399">
        <v>0</v>
      </c>
      <c r="DR506" s="399">
        <v>0</v>
      </c>
      <c r="DS506" s="399"/>
      <c r="DT506" s="399"/>
      <c r="DU506" s="399"/>
      <c r="DV506" s="399">
        <v>2036.5876712663605</v>
      </c>
      <c r="DW506" s="399">
        <v>0</v>
      </c>
      <c r="DX506" s="399">
        <v>0</v>
      </c>
      <c r="DY506" s="399">
        <v>-622.51259999999979</v>
      </c>
      <c r="DZ506" s="399">
        <v>10.618319999999983</v>
      </c>
      <c r="EA506" s="399">
        <v>0</v>
      </c>
      <c r="EB506" s="399">
        <v>0</v>
      </c>
      <c r="EC506" s="399">
        <v>-629.71479162212177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50.443738746567078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230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505</v>
      </c>
      <c r="B507" s="399" t="s">
        <v>956</v>
      </c>
      <c r="C507" s="399" t="s">
        <v>2337</v>
      </c>
      <c r="D507" s="399" t="s">
        <v>533</v>
      </c>
      <c r="E507" s="399" t="s">
        <v>2341</v>
      </c>
      <c r="F507" s="399" t="s">
        <v>1239</v>
      </c>
      <c r="G507" s="399" t="s">
        <v>1239</v>
      </c>
      <c r="H507" s="399" t="s">
        <v>1239</v>
      </c>
      <c r="I507" s="399" t="s">
        <v>2326</v>
      </c>
      <c r="J507" s="399" t="s">
        <v>2329</v>
      </c>
      <c r="K507" s="789">
        <v>44743</v>
      </c>
      <c r="L507" s="399">
        <v>0</v>
      </c>
      <c r="M507" s="399">
        <v>0</v>
      </c>
      <c r="N507" s="399">
        <v>20.71</v>
      </c>
      <c r="O507" s="399">
        <v>20.71</v>
      </c>
      <c r="P507" s="399">
        <v>20.71</v>
      </c>
      <c r="Q507" s="399">
        <v>20.71</v>
      </c>
      <c r="R507" s="399"/>
      <c r="S507" s="399">
        <v>96.28</v>
      </c>
      <c r="T507" s="399">
        <v>128.11000000000001</v>
      </c>
      <c r="U507" s="399"/>
      <c r="V507" s="399">
        <v>4647.1169000000009</v>
      </c>
      <c r="W507" s="399">
        <v>4647.1169000000009</v>
      </c>
      <c r="X507" s="399">
        <v>4652.2944000000007</v>
      </c>
      <c r="Y507" s="399">
        <v>0</v>
      </c>
      <c r="Z507" s="399">
        <v>1102.9724321638096</v>
      </c>
      <c r="AA507" s="399">
        <v>0</v>
      </c>
      <c r="AB507" s="399">
        <v>0</v>
      </c>
      <c r="AC507" s="399">
        <v>0</v>
      </c>
      <c r="AD507" s="399">
        <v>0</v>
      </c>
      <c r="AE507" s="399">
        <v>0</v>
      </c>
      <c r="AF507" s="399">
        <v>2653.1797714655399</v>
      </c>
      <c r="AG507" s="399">
        <v>0</v>
      </c>
      <c r="AH507" s="399">
        <v>0</v>
      </c>
      <c r="AI507" s="399">
        <v>0</v>
      </c>
      <c r="AJ507" s="399">
        <v>0</v>
      </c>
      <c r="AK507" s="399">
        <v>0</v>
      </c>
      <c r="AL507" s="399">
        <v>195.78924205636903</v>
      </c>
      <c r="AM507" s="399"/>
      <c r="AN507" s="399">
        <v>10.181049517254095</v>
      </c>
      <c r="AO507" s="399">
        <v>0</v>
      </c>
      <c r="AP507" s="399">
        <v>0</v>
      </c>
      <c r="AQ507" s="399">
        <v>0</v>
      </c>
      <c r="AR507" s="399">
        <v>0</v>
      </c>
      <c r="AS507" s="399">
        <v>0</v>
      </c>
      <c r="AT507" s="399">
        <v>0</v>
      </c>
      <c r="AU507" s="399">
        <v>0</v>
      </c>
      <c r="AV507" s="399">
        <v>0</v>
      </c>
      <c r="AW507" s="399">
        <v>0</v>
      </c>
      <c r="AX507" s="399">
        <v>0</v>
      </c>
      <c r="AY507" s="399">
        <v>0</v>
      </c>
      <c r="AZ507" s="399">
        <v>0</v>
      </c>
      <c r="BA507" s="399"/>
      <c r="BB507" s="399">
        <v>0</v>
      </c>
      <c r="BC507" s="399">
        <v>0</v>
      </c>
      <c r="BD507" s="399">
        <v>0</v>
      </c>
      <c r="BE507" s="399">
        <v>0</v>
      </c>
      <c r="BF507" s="399">
        <v>0</v>
      </c>
      <c r="BG507" s="399">
        <v>108.49172315741959</v>
      </c>
      <c r="BH507" s="399">
        <v>0</v>
      </c>
      <c r="BI507" s="399">
        <v>0</v>
      </c>
      <c r="BJ507" s="399">
        <v>0</v>
      </c>
      <c r="BK507" s="399">
        <v>0</v>
      </c>
      <c r="BL507" s="399">
        <v>0</v>
      </c>
      <c r="BM507" s="399"/>
      <c r="BN507" s="399"/>
      <c r="BO507" s="399"/>
      <c r="BP507" s="399"/>
      <c r="BQ507" s="399"/>
      <c r="BR507" s="399"/>
      <c r="BS507" s="399"/>
      <c r="BT507" s="399"/>
      <c r="BU507" s="399"/>
      <c r="BV507" s="399">
        <v>2761.6714946229595</v>
      </c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>
        <v>4652.2944000000007</v>
      </c>
      <c r="CJ507" s="399">
        <v>5.1475000000000364</v>
      </c>
      <c r="CK507" s="399"/>
      <c r="CL507" s="399"/>
      <c r="CM507" s="399"/>
      <c r="CN507" s="399"/>
      <c r="CO507" s="399">
        <v>-116.1831</v>
      </c>
      <c r="CP507" s="399">
        <v>121.36059999999969</v>
      </c>
      <c r="CQ507" s="399">
        <v>31</v>
      </c>
      <c r="CR507" s="399">
        <v>5.1535310198050865</v>
      </c>
      <c r="CS507" s="399">
        <v>0</v>
      </c>
      <c r="CT507" s="399">
        <v>0</v>
      </c>
      <c r="CU507" s="399">
        <v>0</v>
      </c>
      <c r="CV507" s="399">
        <v>0</v>
      </c>
      <c r="CW507" s="399">
        <v>0</v>
      </c>
      <c r="CX507" s="399">
        <v>0</v>
      </c>
      <c r="CY507" s="399">
        <v>0</v>
      </c>
      <c r="CZ507" s="399">
        <v>0</v>
      </c>
      <c r="DA507" s="399">
        <v>0</v>
      </c>
      <c r="DB507" s="399">
        <v>0</v>
      </c>
      <c r="DC507" s="399">
        <v>121.34888347375727</v>
      </c>
      <c r="DD507" s="399">
        <v>0</v>
      </c>
      <c r="DE507" s="399">
        <v>0</v>
      </c>
      <c r="DF507" s="399">
        <v>0</v>
      </c>
      <c r="DG507" s="399">
        <v>4.9621023094200609</v>
      </c>
      <c r="DH507" s="399">
        <v>0</v>
      </c>
      <c r="DI507" s="399">
        <v>-104.33146666792197</v>
      </c>
      <c r="DJ507" s="399"/>
      <c r="DK507" s="399">
        <v>0</v>
      </c>
      <c r="DL507" s="399">
        <v>0</v>
      </c>
      <c r="DM507" s="399">
        <v>0</v>
      </c>
      <c r="DN507" s="399">
        <v>0</v>
      </c>
      <c r="DO507" s="399">
        <v>-15.633101549625621</v>
      </c>
      <c r="DP507" s="399">
        <v>-1.1928865458246936</v>
      </c>
      <c r="DQ507" s="399">
        <v>0</v>
      </c>
      <c r="DR507" s="399">
        <v>0</v>
      </c>
      <c r="DS507" s="399"/>
      <c r="DT507" s="399"/>
      <c r="DU507" s="399"/>
      <c r="DV507" s="399">
        <v>0</v>
      </c>
      <c r="DW507" s="399">
        <v>0</v>
      </c>
      <c r="DX507" s="399">
        <v>0</v>
      </c>
      <c r="DY507" s="399">
        <v>-116.18309999999997</v>
      </c>
      <c r="DZ507" s="399">
        <v>121.36059999999952</v>
      </c>
      <c r="EA507" s="399">
        <v>0</v>
      </c>
      <c r="EB507" s="399">
        <v>0</v>
      </c>
      <c r="EC507" s="399">
        <v>0</v>
      </c>
      <c r="ED507" s="399">
        <v>0</v>
      </c>
      <c r="EE507" s="399">
        <v>0</v>
      </c>
      <c r="EF507" s="399">
        <v>0</v>
      </c>
      <c r="EG507" s="399">
        <v>0</v>
      </c>
      <c r="EH507" s="399">
        <v>0</v>
      </c>
      <c r="EI507" s="399">
        <v>0</v>
      </c>
      <c r="EJ507" s="399">
        <v>0</v>
      </c>
      <c r="EK507" s="399">
        <v>0</v>
      </c>
      <c r="EL507" s="399">
        <v>0</v>
      </c>
      <c r="EM507" s="399">
        <v>0</v>
      </c>
      <c r="EN507" s="399">
        <v>0</v>
      </c>
      <c r="EO507" s="399">
        <v>0</v>
      </c>
      <c r="EP507" s="399">
        <v>576.53964097207745</v>
      </c>
      <c r="EQ507" s="399">
        <v>0</v>
      </c>
      <c r="ER507" s="399">
        <v>0</v>
      </c>
      <c r="ES507" s="399">
        <v>0</v>
      </c>
      <c r="ET507" s="399">
        <v>0</v>
      </c>
      <c r="EU507" s="399">
        <v>0</v>
      </c>
      <c r="EV507" s="399">
        <v>230</v>
      </c>
      <c r="EW507" s="399">
        <v>0</v>
      </c>
      <c r="EX507" s="399">
        <v>0</v>
      </c>
      <c r="EY507" s="399">
        <v>0</v>
      </c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506</v>
      </c>
      <c r="B508" s="399" t="s">
        <v>956</v>
      </c>
      <c r="C508" s="399" t="s">
        <v>2337</v>
      </c>
      <c r="D508" s="399" t="s">
        <v>533</v>
      </c>
      <c r="E508" s="399" t="s">
        <v>2341</v>
      </c>
      <c r="F508" s="399" t="s">
        <v>1239</v>
      </c>
      <c r="G508" s="399" t="s">
        <v>1239</v>
      </c>
      <c r="H508" s="399" t="s">
        <v>1239</v>
      </c>
      <c r="I508" s="399" t="s">
        <v>1239</v>
      </c>
      <c r="J508" s="399" t="s">
        <v>2329</v>
      </c>
      <c r="K508" s="789">
        <v>44743</v>
      </c>
      <c r="L508" s="399">
        <v>320</v>
      </c>
      <c r="M508" s="399">
        <v>320</v>
      </c>
      <c r="N508" s="399">
        <v>0</v>
      </c>
      <c r="O508" s="399">
        <v>0</v>
      </c>
      <c r="P508" s="399">
        <v>0</v>
      </c>
      <c r="Q508" s="399">
        <v>0</v>
      </c>
      <c r="R508" s="399">
        <v>18.12</v>
      </c>
      <c r="S508" s="399"/>
      <c r="T508" s="399"/>
      <c r="U508" s="399">
        <v>5798.4000000000005</v>
      </c>
      <c r="V508" s="399"/>
      <c r="W508" s="399">
        <v>5798.4000000000005</v>
      </c>
      <c r="X508" s="399">
        <v>4624</v>
      </c>
      <c r="Y508" s="399">
        <v>0</v>
      </c>
      <c r="Z508" s="399">
        <v>0</v>
      </c>
      <c r="AA508" s="399">
        <v>0</v>
      </c>
      <c r="AB508" s="399">
        <v>0</v>
      </c>
      <c r="AC508" s="399">
        <v>0</v>
      </c>
      <c r="AD508" s="399">
        <v>0</v>
      </c>
      <c r="AE508" s="399">
        <v>4178.8602617558081</v>
      </c>
      <c r="AF508" s="399"/>
      <c r="AG508" s="399"/>
      <c r="AH508" s="399"/>
      <c r="AI508" s="399">
        <v>0</v>
      </c>
      <c r="AJ508" s="399">
        <v>0</v>
      </c>
      <c r="AK508" s="399">
        <v>0</v>
      </c>
      <c r="AL508" s="399">
        <v>0</v>
      </c>
      <c r="AM508" s="399"/>
      <c r="AN508" s="399">
        <v>0</v>
      </c>
      <c r="AO508" s="399">
        <v>254.35853183039231</v>
      </c>
      <c r="AP508" s="399">
        <v>1363.6227327519455</v>
      </c>
      <c r="AQ508" s="399">
        <v>0</v>
      </c>
      <c r="AR508" s="399">
        <v>0</v>
      </c>
      <c r="AS508" s="399"/>
      <c r="AT508" s="399"/>
      <c r="AU508" s="399">
        <v>0</v>
      </c>
      <c r="AV508" s="399">
        <v>0</v>
      </c>
      <c r="AW508" s="399">
        <v>0</v>
      </c>
      <c r="AX508" s="399"/>
      <c r="AY508" s="399"/>
      <c r="AZ508" s="399">
        <v>0</v>
      </c>
      <c r="BA508" s="399"/>
      <c r="BB508" s="399">
        <v>0</v>
      </c>
      <c r="BC508" s="399">
        <v>0</v>
      </c>
      <c r="BD508" s="399">
        <v>0</v>
      </c>
      <c r="BE508" s="399">
        <v>0</v>
      </c>
      <c r="BF508" s="399"/>
      <c r="BG508" s="399">
        <v>0</v>
      </c>
      <c r="BH508" s="399">
        <v>0</v>
      </c>
      <c r="BI508" s="399">
        <v>0</v>
      </c>
      <c r="BJ508" s="399">
        <v>0</v>
      </c>
      <c r="BK508" s="399">
        <v>617.99</v>
      </c>
      <c r="BL508" s="399">
        <v>3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>
        <v>0</v>
      </c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>
        <v>4624</v>
      </c>
      <c r="CJ508" s="399">
        <v>-1174.4300000000012</v>
      </c>
      <c r="CK508" s="399"/>
      <c r="CL508" s="399"/>
      <c r="CM508" s="399"/>
      <c r="CN508" s="399"/>
      <c r="CO508" s="399">
        <v>-1174.4000000000005</v>
      </c>
      <c r="CP508" s="399">
        <v>0</v>
      </c>
      <c r="CQ508" s="399">
        <v>31</v>
      </c>
      <c r="CR508" s="399">
        <v>118.1058531983806</v>
      </c>
      <c r="CS508" s="399">
        <v>18.567107096799731</v>
      </c>
      <c r="CT508" s="399">
        <v>99.538746101580955</v>
      </c>
      <c r="CU508" s="399">
        <v>0</v>
      </c>
      <c r="CV508" s="399">
        <v>0</v>
      </c>
      <c r="CW508" s="399"/>
      <c r="CX508" s="399"/>
      <c r="CY508" s="399"/>
      <c r="CZ508" s="399">
        <v>0</v>
      </c>
      <c r="DA508" s="399">
        <v>0</v>
      </c>
      <c r="DB508" s="399">
        <v>0</v>
      </c>
      <c r="DC508" s="399"/>
      <c r="DD508" s="399"/>
      <c r="DE508" s="399">
        <v>0</v>
      </c>
      <c r="DF508" s="399">
        <v>0</v>
      </c>
      <c r="DG508" s="399">
        <v>0</v>
      </c>
      <c r="DH508" s="399">
        <v>0</v>
      </c>
      <c r="DI508" s="399">
        <v>0</v>
      </c>
      <c r="DJ508" s="399"/>
      <c r="DK508" s="399">
        <v>0</v>
      </c>
      <c r="DL508" s="399">
        <v>0</v>
      </c>
      <c r="DM508" s="399"/>
      <c r="DN508" s="399">
        <v>0</v>
      </c>
      <c r="DO508" s="399">
        <v>0</v>
      </c>
      <c r="DP508" s="399">
        <v>0</v>
      </c>
      <c r="DQ508" s="399">
        <v>0</v>
      </c>
      <c r="DR508" s="399">
        <v>0</v>
      </c>
      <c r="DS508" s="399"/>
      <c r="DT508" s="399"/>
      <c r="DU508" s="399">
        <v>4178.8602617558081</v>
      </c>
      <c r="DV508" s="399"/>
      <c r="DW508" s="399">
        <v>0</v>
      </c>
      <c r="DX508" s="399">
        <v>0</v>
      </c>
      <c r="DY508" s="399">
        <v>-1174.4000000000005</v>
      </c>
      <c r="DZ508" s="399"/>
      <c r="EA508" s="399">
        <v>0</v>
      </c>
      <c r="EB508" s="399"/>
      <c r="EC508" s="399">
        <v>-1292.1074580173949</v>
      </c>
      <c r="ED508" s="399"/>
      <c r="EE508" s="399">
        <v>0</v>
      </c>
      <c r="EF508" s="399">
        <v>0</v>
      </c>
      <c r="EG508" s="399"/>
      <c r="EH508" s="399">
        <v>0</v>
      </c>
      <c r="EI508" s="399">
        <v>0</v>
      </c>
      <c r="EJ508" s="399">
        <v>0</v>
      </c>
      <c r="EK508" s="399">
        <v>0</v>
      </c>
      <c r="EL508" s="399">
        <v>0</v>
      </c>
      <c r="EM508" s="399"/>
      <c r="EN508" s="399"/>
      <c r="EO508" s="399">
        <v>0</v>
      </c>
      <c r="EP508" s="399">
        <v>0</v>
      </c>
      <c r="EQ508" s="399"/>
      <c r="ER508" s="399">
        <v>0</v>
      </c>
      <c r="ES508" s="399"/>
      <c r="ET508" s="399">
        <v>0</v>
      </c>
      <c r="EU508" s="399"/>
      <c r="EV508" s="399">
        <v>230</v>
      </c>
      <c r="EW508" s="399"/>
      <c r="EX508" s="399"/>
      <c r="EY508" s="399"/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507</v>
      </c>
      <c r="B509" s="399" t="s">
        <v>956</v>
      </c>
      <c r="C509" s="399" t="s">
        <v>2328</v>
      </c>
      <c r="D509" s="399" t="s">
        <v>2342</v>
      </c>
      <c r="E509" s="399" t="s">
        <v>2343</v>
      </c>
      <c r="F509" s="399" t="s">
        <v>2344</v>
      </c>
      <c r="G509" s="399" t="s">
        <v>1239</v>
      </c>
      <c r="H509" s="399" t="s">
        <v>1239</v>
      </c>
      <c r="I509" s="399" t="s">
        <v>1239</v>
      </c>
      <c r="J509" s="399" t="s">
        <v>2329</v>
      </c>
      <c r="K509" s="789">
        <v>44743</v>
      </c>
      <c r="L509" s="399">
        <v>0</v>
      </c>
      <c r="M509" s="399">
        <v>0</v>
      </c>
      <c r="N509" s="399">
        <v>1011.848</v>
      </c>
      <c r="O509" s="399">
        <v>1011.848</v>
      </c>
      <c r="P509" s="399">
        <v>1011.848</v>
      </c>
      <c r="Q509" s="399">
        <v>1011.848</v>
      </c>
      <c r="R509" s="399"/>
      <c r="S509" s="399">
        <v>183.49</v>
      </c>
      <c r="T509" s="399">
        <v>70.459999999999994</v>
      </c>
      <c r="U509" s="399"/>
      <c r="V509" s="399">
        <v>256958.7996</v>
      </c>
      <c r="W509" s="399">
        <v>256958.7996</v>
      </c>
      <c r="X509" s="399">
        <v>224286.22767999998</v>
      </c>
      <c r="Y509" s="399">
        <v>0</v>
      </c>
      <c r="Z509" s="399">
        <v>34067.736017751835</v>
      </c>
      <c r="AA509" s="399">
        <v>0</v>
      </c>
      <c r="AB509" s="399">
        <v>0</v>
      </c>
      <c r="AC509" s="399">
        <v>0</v>
      </c>
      <c r="AD509" s="399">
        <v>0</v>
      </c>
      <c r="AE509" s="399">
        <v>108240.32407174661</v>
      </c>
      <c r="AF509" s="399">
        <v>71295.898356775971</v>
      </c>
      <c r="AG509" s="399">
        <v>0</v>
      </c>
      <c r="AH509" s="399">
        <v>0</v>
      </c>
      <c r="AI509" s="399">
        <v>0</v>
      </c>
      <c r="AJ509" s="399">
        <v>0</v>
      </c>
      <c r="AK509" s="399">
        <v>0</v>
      </c>
      <c r="AL509" s="399">
        <v>5261.2227980656207</v>
      </c>
      <c r="AM509" s="399"/>
      <c r="AN509" s="399">
        <v>478.81998019777501</v>
      </c>
      <c r="AO509" s="399">
        <v>1934.4622304546303</v>
      </c>
      <c r="AP509" s="399">
        <v>10319.280800479861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7551.0208920536688</v>
      </c>
      <c r="BH509" s="399">
        <v>0</v>
      </c>
      <c r="BI509" s="399">
        <v>0</v>
      </c>
      <c r="BJ509" s="399">
        <v>0</v>
      </c>
      <c r="BK509" s="399">
        <v>45938.14</v>
      </c>
      <c r="BL509" s="399">
        <v>5</v>
      </c>
      <c r="BM509" s="399"/>
      <c r="BN509" s="399"/>
      <c r="BO509" s="399"/>
      <c r="BP509" s="399"/>
      <c r="BQ509" s="399"/>
      <c r="BR509" s="399"/>
      <c r="BS509" s="399"/>
      <c r="BT509" s="399"/>
      <c r="BU509" s="399"/>
      <c r="BV509" s="399">
        <v>78846.919248829639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224286.671</v>
      </c>
      <c r="CJ509" s="399">
        <v>-32672.158600000024</v>
      </c>
      <c r="CK509" s="399"/>
      <c r="CL509" s="399"/>
      <c r="CM509" s="399"/>
      <c r="CN509" s="399"/>
      <c r="CO509" s="399">
        <v>-35930.722480000019</v>
      </c>
      <c r="CP509" s="399">
        <v>3258.1505600000132</v>
      </c>
      <c r="CQ509" s="399">
        <v>31</v>
      </c>
      <c r="CR509" s="399">
        <v>802.00518648294383</v>
      </c>
      <c r="CS509" s="399">
        <v>141.20763769589689</v>
      </c>
      <c r="CT509" s="399">
        <v>753.26426208594603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0</v>
      </c>
      <c r="DA509" s="399">
        <v>0</v>
      </c>
      <c r="DB509" s="399">
        <v>0</v>
      </c>
      <c r="DC509" s="399">
        <v>3260.8712590454525</v>
      </c>
      <c r="DD509" s="399">
        <v>0</v>
      </c>
      <c r="DE509" s="399">
        <v>0</v>
      </c>
      <c r="DF509" s="399">
        <v>0</v>
      </c>
      <c r="DG509" s="399">
        <v>345.36218170830944</v>
      </c>
      <c r="DH509" s="399">
        <v>0</v>
      </c>
      <c r="DI509" s="399">
        <v>-3222.5074363959866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-420.09065162877323</v>
      </c>
      <c r="DP509" s="399">
        <v>-56.102066027867352</v>
      </c>
      <c r="DQ509" s="399">
        <v>0</v>
      </c>
      <c r="DR509" s="399">
        <v>0</v>
      </c>
      <c r="DS509" s="399"/>
      <c r="DT509" s="399"/>
      <c r="DU509" s="399"/>
      <c r="DV509" s="399">
        <v>108240.32407174661</v>
      </c>
      <c r="DW509" s="399">
        <v>0</v>
      </c>
      <c r="DX509" s="399">
        <v>0</v>
      </c>
      <c r="DY509" s="399">
        <v>-35930.722480000026</v>
      </c>
      <c r="DZ509" s="399">
        <v>3258.1505600000091</v>
      </c>
      <c r="EA509" s="399">
        <v>0</v>
      </c>
      <c r="EB509" s="399">
        <v>0</v>
      </c>
      <c r="EC509" s="399">
        <v>-33468.008315875195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17807.698288409396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230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508</v>
      </c>
      <c r="B510" s="399" t="s">
        <v>956</v>
      </c>
      <c r="C510" s="399" t="s">
        <v>2328</v>
      </c>
      <c r="D510" s="399" t="s">
        <v>1826</v>
      </c>
      <c r="E510" s="399" t="s">
        <v>921</v>
      </c>
      <c r="F510" s="399" t="s">
        <v>2345</v>
      </c>
      <c r="G510" s="399" t="s">
        <v>1239</v>
      </c>
      <c r="H510" s="399" t="s">
        <v>1239</v>
      </c>
      <c r="I510" s="399" t="s">
        <v>1239</v>
      </c>
      <c r="J510" s="399" t="s">
        <v>2329</v>
      </c>
      <c r="K510" s="789">
        <v>44743</v>
      </c>
      <c r="L510" s="399">
        <v>0</v>
      </c>
      <c r="M510" s="399">
        <v>0</v>
      </c>
      <c r="N510" s="399">
        <v>71.58</v>
      </c>
      <c r="O510" s="399">
        <v>67.285200000000003</v>
      </c>
      <c r="P510" s="399">
        <v>71.58</v>
      </c>
      <c r="Q510" s="399">
        <v>67.285200000000003</v>
      </c>
      <c r="R510" s="399"/>
      <c r="S510" s="399">
        <v>333.61</v>
      </c>
      <c r="T510" s="399">
        <v>128.11000000000001</v>
      </c>
      <c r="U510" s="399"/>
      <c r="V510" s="399">
        <v>33049.917600000001</v>
      </c>
      <c r="W510" s="399">
        <v>33049.917600000001</v>
      </c>
      <c r="X510" s="399">
        <v>28848.8874</v>
      </c>
      <c r="Y510" s="399">
        <v>0</v>
      </c>
      <c r="Z510" s="399">
        <v>4381.8448910951693</v>
      </c>
      <c r="AA510" s="399">
        <v>0</v>
      </c>
      <c r="AB510" s="399">
        <v>0</v>
      </c>
      <c r="AC510" s="399">
        <v>0</v>
      </c>
      <c r="AD510" s="399">
        <v>0</v>
      </c>
      <c r="AE510" s="399">
        <v>13922.037871760098</v>
      </c>
      <c r="AF510" s="399">
        <v>9170.188703114598</v>
      </c>
      <c r="AG510" s="399">
        <v>0</v>
      </c>
      <c r="AH510" s="399">
        <v>0</v>
      </c>
      <c r="AI510" s="399">
        <v>0</v>
      </c>
      <c r="AJ510" s="399">
        <v>0</v>
      </c>
      <c r="AK510" s="399">
        <v>0</v>
      </c>
      <c r="AL510" s="399">
        <v>676.70661257338941</v>
      </c>
      <c r="AM510" s="399"/>
      <c r="AN510" s="399">
        <v>61.586566330402391</v>
      </c>
      <c r="AO510" s="399">
        <v>248.81352365526379</v>
      </c>
      <c r="AP510" s="399">
        <v>1327.2818549432684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971.22398451007643</v>
      </c>
      <c r="BH510" s="399">
        <v>0</v>
      </c>
      <c r="BI510" s="399">
        <v>0</v>
      </c>
      <c r="BJ510" s="399">
        <v>0</v>
      </c>
      <c r="BK510" s="399">
        <v>5554.32</v>
      </c>
      <c r="BL510" s="399">
        <v>27</v>
      </c>
      <c r="BM510" s="399"/>
      <c r="BN510" s="399"/>
      <c r="BO510" s="399"/>
      <c r="BP510" s="399"/>
      <c r="BQ510" s="399">
        <v>1730.933243999998</v>
      </c>
      <c r="BR510" s="399"/>
      <c r="BS510" s="399"/>
      <c r="BT510" s="399"/>
      <c r="BU510" s="399"/>
      <c r="BV510" s="399">
        <v>10141.412687624674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27119.888700000003</v>
      </c>
      <c r="CJ510" s="399">
        <v>-3947.063843999993</v>
      </c>
      <c r="CK510" s="399"/>
      <c r="CL510" s="399"/>
      <c r="CM510" s="399"/>
      <c r="CN510" s="399"/>
      <c r="CO510" s="399">
        <v>-4620.4890000000005</v>
      </c>
      <c r="CP510" s="399">
        <v>419.45879999999892</v>
      </c>
      <c r="CQ510" s="399">
        <v>31</v>
      </c>
      <c r="CR510" s="399">
        <v>103.15514735677425</v>
      </c>
      <c r="CS510" s="399">
        <v>18.162344732827762</v>
      </c>
      <c r="CT510" s="399">
        <v>96.886014284770454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0</v>
      </c>
      <c r="DA510" s="399">
        <v>0</v>
      </c>
      <c r="DB510" s="399">
        <v>0</v>
      </c>
      <c r="DC510" s="399">
        <v>419.4183041550732</v>
      </c>
      <c r="DD510" s="399">
        <v>0</v>
      </c>
      <c r="DE510" s="399">
        <v>0</v>
      </c>
      <c r="DF510" s="399">
        <v>0</v>
      </c>
      <c r="DG510" s="399">
        <v>44.421017901138384</v>
      </c>
      <c r="DH510" s="399">
        <v>0</v>
      </c>
      <c r="DI510" s="399">
        <v>-414.48388995763753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-54.032709267127075</v>
      </c>
      <c r="DP510" s="399">
        <v>-7.2159344922714652</v>
      </c>
      <c r="DQ510" s="399">
        <v>0</v>
      </c>
      <c r="DR510" s="399">
        <v>0</v>
      </c>
      <c r="DS510" s="399"/>
      <c r="DT510" s="399"/>
      <c r="DU510" s="399"/>
      <c r="DV510" s="399">
        <v>13922.037871760098</v>
      </c>
      <c r="DW510" s="399">
        <v>0</v>
      </c>
      <c r="DX510" s="399">
        <v>0</v>
      </c>
      <c r="DY510" s="399">
        <v>-4620.4890000000014</v>
      </c>
      <c r="DZ510" s="399">
        <v>419.45879999999852</v>
      </c>
      <c r="EA510" s="399">
        <v>0</v>
      </c>
      <c r="EB510" s="399">
        <v>0</v>
      </c>
      <c r="EC510" s="399">
        <v>-4304.7069866230922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2290.453692801043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230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509</v>
      </c>
      <c r="B511" s="399" t="s">
        <v>956</v>
      </c>
      <c r="C511" s="399" t="s">
        <v>2336</v>
      </c>
      <c r="D511" s="399" t="s">
        <v>533</v>
      </c>
      <c r="E511" s="399" t="s">
        <v>921</v>
      </c>
      <c r="F511" s="399" t="s">
        <v>2345</v>
      </c>
      <c r="G511" s="399" t="s">
        <v>1239</v>
      </c>
      <c r="H511" s="399" t="s">
        <v>1239</v>
      </c>
      <c r="I511" s="399" t="s">
        <v>893</v>
      </c>
      <c r="J511" s="399" t="s">
        <v>2329</v>
      </c>
      <c r="K511" s="789">
        <v>44743</v>
      </c>
      <c r="L511" s="399">
        <v>497</v>
      </c>
      <c r="M511" s="399">
        <v>467.18</v>
      </c>
      <c r="N511" s="399">
        <v>20.617999999999999</v>
      </c>
      <c r="O511" s="399">
        <v>19.38092</v>
      </c>
      <c r="P511" s="399">
        <v>20.617999999999999</v>
      </c>
      <c r="Q511" s="399">
        <v>19.38092</v>
      </c>
      <c r="R511" s="399">
        <v>52.19</v>
      </c>
      <c r="S511" s="399">
        <v>96.28</v>
      </c>
      <c r="T511" s="399">
        <v>128.11000000000001</v>
      </c>
      <c r="U511" s="399">
        <v>25938.43</v>
      </c>
      <c r="V511" s="399">
        <v>4626.4730199999995</v>
      </c>
      <c r="W511" s="399">
        <v>30564.903020000002</v>
      </c>
      <c r="X511" s="399">
        <v>23587.20752</v>
      </c>
      <c r="Y511" s="399">
        <v>0</v>
      </c>
      <c r="Z511" s="399">
        <v>1098.0726994859208</v>
      </c>
      <c r="AA511" s="399">
        <v>0</v>
      </c>
      <c r="AB511" s="399">
        <v>0</v>
      </c>
      <c r="AC511" s="399">
        <v>0</v>
      </c>
      <c r="AD511" s="399">
        <v>0</v>
      </c>
      <c r="AE511" s="399">
        <v>23226.622324707889</v>
      </c>
      <c r="AF511" s="399">
        <v>2641.3935551944228</v>
      </c>
      <c r="AG511" s="399">
        <v>0</v>
      </c>
      <c r="AH511" s="399">
        <v>0</v>
      </c>
      <c r="AI511" s="399">
        <v>0</v>
      </c>
      <c r="AJ511" s="399">
        <v>0</v>
      </c>
      <c r="AK511" s="399">
        <v>0</v>
      </c>
      <c r="AL511" s="399">
        <v>194.91948781835907</v>
      </c>
      <c r="AM511" s="399"/>
      <c r="AN511" s="399">
        <v>10.135822257206417</v>
      </c>
      <c r="AO511" s="399">
        <v>429.22392841896755</v>
      </c>
      <c r="AP511" s="399">
        <v>2283.35918041684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108.00977054851167</v>
      </c>
      <c r="BH511" s="399">
        <v>0</v>
      </c>
      <c r="BI511" s="399">
        <v>0</v>
      </c>
      <c r="BJ511" s="399">
        <v>0</v>
      </c>
      <c r="BK511" s="399">
        <v>0</v>
      </c>
      <c r="BL511" s="399">
        <v>0</v>
      </c>
      <c r="BM511" s="399"/>
      <c r="BN511" s="399"/>
      <c r="BO511" s="399"/>
      <c r="BP511" s="399"/>
      <c r="BQ511" s="399">
        <v>1415.2324511999998</v>
      </c>
      <c r="BR511" s="399"/>
      <c r="BS511" s="399"/>
      <c r="BT511" s="399"/>
      <c r="BU511" s="399"/>
      <c r="BV511" s="399">
        <v>2749.4033257429346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22171.768400000001</v>
      </c>
      <c r="CJ511" s="399">
        <v>-6559.2704387999911</v>
      </c>
      <c r="CK511" s="399"/>
      <c r="CL511" s="399"/>
      <c r="CM511" s="399"/>
      <c r="CN511" s="399"/>
      <c r="CO511" s="399">
        <v>-7098.5169799999985</v>
      </c>
      <c r="CP511" s="399">
        <v>120.82147999999968</v>
      </c>
      <c r="CQ511" s="399">
        <v>31</v>
      </c>
      <c r="CR511" s="399">
        <v>203.13783909678932</v>
      </c>
      <c r="CS511" s="399">
        <v>31.331548386111194</v>
      </c>
      <c r="CT511" s="399">
        <v>166.6756532135114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0</v>
      </c>
      <c r="DA511" s="399">
        <v>0</v>
      </c>
      <c r="DB511" s="399">
        <v>0</v>
      </c>
      <c r="DC511" s="399">
        <v>120.80981552206322</v>
      </c>
      <c r="DD511" s="399">
        <v>0</v>
      </c>
      <c r="DE511" s="399">
        <v>0</v>
      </c>
      <c r="DF511" s="399">
        <v>0</v>
      </c>
      <c r="DG511" s="399">
        <v>4.9400591702377028</v>
      </c>
      <c r="DH511" s="399">
        <v>0</v>
      </c>
      <c r="DI511" s="399">
        <v>-103.86799515978817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-15.563654647522043</v>
      </c>
      <c r="DP511" s="399">
        <v>-1.1875873878229601</v>
      </c>
      <c r="DQ511" s="399">
        <v>0</v>
      </c>
      <c r="DR511" s="399">
        <v>0</v>
      </c>
      <c r="DS511" s="399"/>
      <c r="DT511" s="399"/>
      <c r="DU511" s="399">
        <v>23226.622324707889</v>
      </c>
      <c r="DV511" s="399">
        <v>0</v>
      </c>
      <c r="DW511" s="399">
        <v>0</v>
      </c>
      <c r="DX511" s="399">
        <v>0</v>
      </c>
      <c r="DY511" s="399">
        <v>-7098.5169800000003</v>
      </c>
      <c r="DZ511" s="399">
        <v>120.82148000000007</v>
      </c>
      <c r="EA511" s="399">
        <v>0</v>
      </c>
      <c r="EB511" s="399">
        <v>0</v>
      </c>
      <c r="EC511" s="399">
        <v>-7181.6931054063516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573.97847984366445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230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510</v>
      </c>
      <c r="B512" s="399" t="s">
        <v>956</v>
      </c>
      <c r="C512" s="399" t="s">
        <v>2336</v>
      </c>
      <c r="D512" s="399" t="s">
        <v>533</v>
      </c>
      <c r="E512" s="399" t="s">
        <v>921</v>
      </c>
      <c r="F512" s="399" t="s">
        <v>2345</v>
      </c>
      <c r="G512" s="399" t="s">
        <v>1239</v>
      </c>
      <c r="H512" s="399" t="s">
        <v>1239</v>
      </c>
      <c r="I512" s="399" t="s">
        <v>2326</v>
      </c>
      <c r="J512" s="399" t="s">
        <v>2329</v>
      </c>
      <c r="K512" s="789">
        <v>44743</v>
      </c>
      <c r="L512" s="399">
        <v>497</v>
      </c>
      <c r="M512" s="399">
        <v>467.18</v>
      </c>
      <c r="N512" s="399">
        <v>162.51599999999999</v>
      </c>
      <c r="O512" s="399">
        <v>152.76504</v>
      </c>
      <c r="P512" s="399">
        <v>162.51599999999999</v>
      </c>
      <c r="Q512" s="399">
        <v>152.76504</v>
      </c>
      <c r="R512" s="399">
        <v>18.12</v>
      </c>
      <c r="S512" s="399">
        <v>96.28</v>
      </c>
      <c r="T512" s="399">
        <v>128.11000000000001</v>
      </c>
      <c r="U512" s="399">
        <v>9005.6400000000012</v>
      </c>
      <c r="V512" s="399">
        <v>36466.965240000005</v>
      </c>
      <c r="W512" s="399">
        <v>45472.605240000004</v>
      </c>
      <c r="X512" s="399">
        <v>43689.24424</v>
      </c>
      <c r="Y512" s="399">
        <v>0</v>
      </c>
      <c r="Z512" s="399">
        <v>8655.2712595622233</v>
      </c>
      <c r="AA512" s="399">
        <v>0</v>
      </c>
      <c r="AB512" s="399">
        <v>0</v>
      </c>
      <c r="AC512" s="399">
        <v>0</v>
      </c>
      <c r="AD512" s="399">
        <v>0</v>
      </c>
      <c r="AE512" s="399">
        <v>6490.2923440394898</v>
      </c>
      <c r="AF512" s="399">
        <v>20820.094820835038</v>
      </c>
      <c r="AG512" s="399">
        <v>0</v>
      </c>
      <c r="AH512" s="399">
        <v>0</v>
      </c>
      <c r="AI512" s="399">
        <v>0</v>
      </c>
      <c r="AJ512" s="399">
        <v>0</v>
      </c>
      <c r="AK512" s="399">
        <v>0</v>
      </c>
      <c r="AL512" s="399">
        <v>1536.4019537437407</v>
      </c>
      <c r="AM512" s="399"/>
      <c r="AN512" s="399">
        <v>79.89297167291484</v>
      </c>
      <c r="AO512" s="399">
        <v>395.05059474907807</v>
      </c>
      <c r="AP512" s="399">
        <v>2117.8765568053655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851.35880640517621</v>
      </c>
      <c r="BH512" s="399">
        <v>0</v>
      </c>
      <c r="BI512" s="399">
        <v>0</v>
      </c>
      <c r="BJ512" s="399">
        <v>0</v>
      </c>
      <c r="BK512" s="399">
        <v>0</v>
      </c>
      <c r="BL512" s="399">
        <v>0</v>
      </c>
      <c r="BM512" s="399"/>
      <c r="BN512" s="399"/>
      <c r="BO512" s="399"/>
      <c r="BP512" s="399"/>
      <c r="BQ512" s="399">
        <v>2621.3546543999983</v>
      </c>
      <c r="BR512" s="399"/>
      <c r="BS512" s="399"/>
      <c r="BT512" s="399"/>
      <c r="BU512" s="399"/>
      <c r="BV512" s="399">
        <v>21671.453627240215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41069.003800000006</v>
      </c>
      <c r="CJ512" s="399">
        <v>-1675.2751255999974</v>
      </c>
      <c r="CK512" s="399"/>
      <c r="CL512" s="399"/>
      <c r="CM512" s="399"/>
      <c r="CN512" s="399"/>
      <c r="CO512" s="399">
        <v>-2735.7047600000005</v>
      </c>
      <c r="CP512" s="399">
        <v>952.34375999999759</v>
      </c>
      <c r="CQ512" s="399">
        <v>31</v>
      </c>
      <c r="CR512" s="399">
        <v>223.8740633025518</v>
      </c>
      <c r="CS512" s="399">
        <v>28.837038209717036</v>
      </c>
      <c r="CT512" s="399">
        <v>154.59611503901806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0</v>
      </c>
      <c r="DA512" s="399">
        <v>0</v>
      </c>
      <c r="DB512" s="399">
        <v>0</v>
      </c>
      <c r="DC512" s="399">
        <v>952.25181779918421</v>
      </c>
      <c r="DD512" s="399">
        <v>0</v>
      </c>
      <c r="DE512" s="399">
        <v>0</v>
      </c>
      <c r="DF512" s="399">
        <v>0</v>
      </c>
      <c r="DG512" s="399">
        <v>38.938726166958531</v>
      </c>
      <c r="DH512" s="399">
        <v>0</v>
      </c>
      <c r="DI512" s="399">
        <v>-818.71234365060354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-122.67644285074653</v>
      </c>
      <c r="DP512" s="399">
        <v>-9.3608474109727524</v>
      </c>
      <c r="DQ512" s="399">
        <v>0</v>
      </c>
      <c r="DR512" s="399">
        <v>0</v>
      </c>
      <c r="DS512" s="399"/>
      <c r="DT512" s="399"/>
      <c r="DU512" s="399">
        <v>6490.2923440394898</v>
      </c>
      <c r="DV512" s="399">
        <v>0</v>
      </c>
      <c r="DW512" s="399">
        <v>0</v>
      </c>
      <c r="DX512" s="399">
        <v>0</v>
      </c>
      <c r="DY512" s="399">
        <v>-2735.7047600000042</v>
      </c>
      <c r="DZ512" s="399">
        <v>952.34375999999611</v>
      </c>
      <c r="EA512" s="399">
        <v>0</v>
      </c>
      <c r="EB512" s="399">
        <v>0</v>
      </c>
      <c r="EC512" s="399">
        <v>-2006.8043957332666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4524.2354559255491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230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511</v>
      </c>
      <c r="B513" s="399" t="s">
        <v>956</v>
      </c>
      <c r="C513" s="399" t="s">
        <v>2336</v>
      </c>
      <c r="D513" s="399" t="s">
        <v>533</v>
      </c>
      <c r="E513" s="399" t="s">
        <v>921</v>
      </c>
      <c r="F513" s="399" t="s">
        <v>2345</v>
      </c>
      <c r="G513" s="399" t="s">
        <v>1239</v>
      </c>
      <c r="H513" s="399" t="s">
        <v>1239</v>
      </c>
      <c r="I513" s="399" t="s">
        <v>1239</v>
      </c>
      <c r="J513" s="399" t="s">
        <v>2329</v>
      </c>
      <c r="K513" s="789">
        <v>44743</v>
      </c>
      <c r="L513" s="399">
        <v>0</v>
      </c>
      <c r="M513" s="399">
        <v>0</v>
      </c>
      <c r="N513" s="399">
        <v>0</v>
      </c>
      <c r="O513" s="399">
        <v>0</v>
      </c>
      <c r="P513" s="399">
        <v>0</v>
      </c>
      <c r="Q513" s="399">
        <v>0</v>
      </c>
      <c r="R513" s="399"/>
      <c r="S513" s="399"/>
      <c r="T513" s="399"/>
      <c r="U513" s="399"/>
      <c r="V513" s="399"/>
      <c r="W513" s="399"/>
      <c r="X513" s="399"/>
      <c r="Y513" s="399"/>
      <c r="Z513" s="399"/>
      <c r="AA513" s="399">
        <v>0</v>
      </c>
      <c r="AB513" s="399"/>
      <c r="AC513" s="399"/>
      <c r="AD513" s="399"/>
      <c r="AE513" s="399"/>
      <c r="AF513" s="399"/>
      <c r="AG513" s="399"/>
      <c r="AH513" s="399"/>
      <c r="AI513" s="399"/>
      <c r="AJ513" s="399"/>
      <c r="AK513" s="399"/>
      <c r="AL513" s="399"/>
      <c r="AM513" s="399"/>
      <c r="AN513" s="399"/>
      <c r="AO513" s="399"/>
      <c r="AP513" s="399"/>
      <c r="AQ513" s="399"/>
      <c r="AR513" s="399"/>
      <c r="AS513" s="399"/>
      <c r="AT513" s="399"/>
      <c r="AU513" s="399"/>
      <c r="AV513" s="399"/>
      <c r="AW513" s="399"/>
      <c r="AX513" s="399"/>
      <c r="AY513" s="399"/>
      <c r="AZ513" s="399">
        <v>0</v>
      </c>
      <c r="BA513" s="399"/>
      <c r="BB513" s="399"/>
      <c r="BC513" s="399"/>
      <c r="BD513" s="399"/>
      <c r="BE513" s="399"/>
      <c r="BF513" s="399"/>
      <c r="BG513" s="399"/>
      <c r="BH513" s="399"/>
      <c r="BI513" s="399">
        <v>0</v>
      </c>
      <c r="BJ513" s="399">
        <v>0</v>
      </c>
      <c r="BK513" s="399">
        <v>4723.55</v>
      </c>
      <c r="BL513" s="399">
        <v>2</v>
      </c>
      <c r="BM513" s="399"/>
      <c r="BN513" s="399"/>
      <c r="BO513" s="399"/>
      <c r="BP513" s="399"/>
      <c r="BQ513" s="399"/>
      <c r="BR513" s="399"/>
      <c r="BS513" s="399"/>
      <c r="BT513" s="399"/>
      <c r="BU513" s="399"/>
      <c r="BV513" s="399"/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/>
      <c r="CJ513" s="399">
        <v>-0.03</v>
      </c>
      <c r="CK513" s="399"/>
      <c r="CL513" s="399"/>
      <c r="CM513" s="399"/>
      <c r="CN513" s="399"/>
      <c r="CO513" s="399">
        <v>0</v>
      </c>
      <c r="CP513" s="399">
        <v>0</v>
      </c>
      <c r="CQ513" s="399">
        <v>31</v>
      </c>
      <c r="CR513" s="399"/>
      <c r="CS513" s="399"/>
      <c r="CT513" s="399"/>
      <c r="CU513" s="399"/>
      <c r="CV513" s="399"/>
      <c r="CW513" s="399"/>
      <c r="CX513" s="399"/>
      <c r="CY513" s="399"/>
      <c r="CZ513" s="399"/>
      <c r="DA513" s="399"/>
      <c r="DB513" s="399"/>
      <c r="DC513" s="399"/>
      <c r="DD513" s="399"/>
      <c r="DE513" s="399"/>
      <c r="DF513" s="399"/>
      <c r="DG513" s="399"/>
      <c r="DH513" s="399"/>
      <c r="DI513" s="399"/>
      <c r="DJ513" s="399"/>
      <c r="DK513" s="399">
        <v>0</v>
      </c>
      <c r="DL513" s="399"/>
      <c r="DM513" s="399"/>
      <c r="DN513" s="399"/>
      <c r="DO513" s="399"/>
      <c r="DP513" s="399"/>
      <c r="DQ513" s="399"/>
      <c r="DR513" s="399"/>
      <c r="DS513" s="399"/>
      <c r="DT513" s="399"/>
      <c r="DU513" s="399"/>
      <c r="DV513" s="399"/>
      <c r="DW513" s="399"/>
      <c r="DX513" s="399"/>
      <c r="DY513" s="399"/>
      <c r="DZ513" s="399"/>
      <c r="EA513" s="399"/>
      <c r="EB513" s="399"/>
      <c r="EC513" s="399"/>
      <c r="ED513" s="399"/>
      <c r="EE513" s="399"/>
      <c r="EF513" s="399"/>
      <c r="EG513" s="399"/>
      <c r="EH513" s="399"/>
      <c r="EI513" s="399"/>
      <c r="EJ513" s="399"/>
      <c r="EK513" s="399"/>
      <c r="EL513" s="399"/>
      <c r="EM513" s="399"/>
      <c r="EN513" s="399"/>
      <c r="EO513" s="399"/>
      <c r="EP513" s="399"/>
      <c r="EQ513" s="399"/>
      <c r="ER513" s="399"/>
      <c r="ES513" s="399"/>
      <c r="ET513" s="399"/>
      <c r="EU513" s="399"/>
      <c r="EV513" s="399">
        <v>230</v>
      </c>
      <c r="EW513" s="399"/>
      <c r="EX513" s="399"/>
      <c r="EY513" s="399"/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512</v>
      </c>
      <c r="B514" s="399" t="s">
        <v>956</v>
      </c>
      <c r="C514" s="399" t="s">
        <v>2328</v>
      </c>
      <c r="D514" s="399" t="s">
        <v>1826</v>
      </c>
      <c r="E514" s="399" t="s">
        <v>2346</v>
      </c>
      <c r="F514" s="399" t="s">
        <v>1239</v>
      </c>
      <c r="G514" s="399" t="s">
        <v>1239</v>
      </c>
      <c r="H514" s="399" t="s">
        <v>1239</v>
      </c>
      <c r="I514" s="399" t="s">
        <v>1239</v>
      </c>
      <c r="J514" s="399" t="s">
        <v>2329</v>
      </c>
      <c r="K514" s="789">
        <v>44743</v>
      </c>
      <c r="L514" s="399">
        <v>0</v>
      </c>
      <c r="M514" s="399">
        <v>0</v>
      </c>
      <c r="N514" s="399">
        <v>0.998</v>
      </c>
      <c r="O514" s="399">
        <v>0.998</v>
      </c>
      <c r="P514" s="399">
        <v>0.998</v>
      </c>
      <c r="Q514" s="399">
        <v>0.998</v>
      </c>
      <c r="R514" s="399"/>
      <c r="S514" s="399">
        <v>333.61</v>
      </c>
      <c r="T514" s="399">
        <v>128.11000000000001</v>
      </c>
      <c r="U514" s="399"/>
      <c r="V514" s="399">
        <v>460.79656000000006</v>
      </c>
      <c r="W514" s="399">
        <v>460.79656000000006</v>
      </c>
      <c r="X514" s="399">
        <v>402.22393999999997</v>
      </c>
      <c r="Y514" s="399">
        <v>0</v>
      </c>
      <c r="Z514" s="399">
        <v>61.093618347485034</v>
      </c>
      <c r="AA514" s="399">
        <v>0</v>
      </c>
      <c r="AB514" s="399">
        <v>0</v>
      </c>
      <c r="AC514" s="399">
        <v>0</v>
      </c>
      <c r="AD514" s="399">
        <v>0</v>
      </c>
      <c r="AE514" s="399">
        <v>194.10720586779237</v>
      </c>
      <c r="AF514" s="399">
        <v>127.85482433233263</v>
      </c>
      <c r="AG514" s="399">
        <v>0</v>
      </c>
      <c r="AH514" s="399">
        <v>0</v>
      </c>
      <c r="AI514" s="399">
        <v>0</v>
      </c>
      <c r="AJ514" s="399">
        <v>0</v>
      </c>
      <c r="AK514" s="399">
        <v>0</v>
      </c>
      <c r="AL514" s="399">
        <v>9.4349427123252685</v>
      </c>
      <c r="AM514" s="399"/>
      <c r="AN514" s="399">
        <v>0.8586671304518243</v>
      </c>
      <c r="AO514" s="399">
        <v>3.4690681280798166</v>
      </c>
      <c r="AP514" s="399">
        <v>18.505550310608857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13.541234095292767</v>
      </c>
      <c r="BH514" s="399">
        <v>0</v>
      </c>
      <c r="BI514" s="399">
        <v>0</v>
      </c>
      <c r="BJ514" s="399">
        <v>0</v>
      </c>
      <c r="BK514" s="399">
        <v>82.39</v>
      </c>
      <c r="BL514" s="399">
        <v>2</v>
      </c>
      <c r="BM514" s="399"/>
      <c r="BN514" s="399"/>
      <c r="BO514" s="399"/>
      <c r="BP514" s="399"/>
      <c r="BQ514" s="399"/>
      <c r="BR514" s="399"/>
      <c r="BS514" s="399"/>
      <c r="BT514" s="399"/>
      <c r="BU514" s="399"/>
      <c r="BV514" s="399">
        <v>141.39605842762541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403.03</v>
      </c>
      <c r="CJ514" s="399">
        <v>-57.796560000000056</v>
      </c>
      <c r="CK514" s="399"/>
      <c r="CL514" s="399"/>
      <c r="CM514" s="399"/>
      <c r="CN514" s="399"/>
      <c r="CO514" s="399">
        <v>-64.420900000000017</v>
      </c>
      <c r="CP514" s="399">
        <v>5.8482799999999848</v>
      </c>
      <c r="CQ514" s="399">
        <v>31</v>
      </c>
      <c r="CR514" s="399">
        <v>1.4382346613866162</v>
      </c>
      <c r="CS514" s="399">
        <v>0.25322743843758166</v>
      </c>
      <c r="CT514" s="399">
        <v>1.3508276369963816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0</v>
      </c>
      <c r="DA514" s="399">
        <v>0</v>
      </c>
      <c r="DB514" s="399">
        <v>0</v>
      </c>
      <c r="DC514" s="399">
        <v>5.8477153890299149</v>
      </c>
      <c r="DD514" s="399">
        <v>0</v>
      </c>
      <c r="DE514" s="399">
        <v>0</v>
      </c>
      <c r="DF514" s="399">
        <v>0</v>
      </c>
      <c r="DG514" s="399">
        <v>0.61933746668533374</v>
      </c>
      <c r="DH514" s="399">
        <v>0</v>
      </c>
      <c r="DI514" s="399">
        <v>-5.7789176051651552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-0.75334791629775033</v>
      </c>
      <c r="DP514" s="399">
        <v>-0.1006077482996216</v>
      </c>
      <c r="DQ514" s="399">
        <v>0</v>
      </c>
      <c r="DR514" s="399">
        <v>0</v>
      </c>
      <c r="DS514" s="399"/>
      <c r="DT514" s="399"/>
      <c r="DU514" s="399"/>
      <c r="DV514" s="399">
        <v>194.10720586779237</v>
      </c>
      <c r="DW514" s="399">
        <v>0</v>
      </c>
      <c r="DX514" s="399">
        <v>0</v>
      </c>
      <c r="DY514" s="399">
        <v>-64.420900000000017</v>
      </c>
      <c r="DZ514" s="399">
        <v>5.8482799999999742</v>
      </c>
      <c r="EA514" s="399">
        <v>0</v>
      </c>
      <c r="EB514" s="399">
        <v>0</v>
      </c>
      <c r="EC514" s="399">
        <v>-60.018127586614213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31.934517818041925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230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513</v>
      </c>
      <c r="B515" s="399" t="s">
        <v>2331</v>
      </c>
      <c r="C515" s="399" t="s">
        <v>2328</v>
      </c>
      <c r="D515" s="399" t="s">
        <v>1826</v>
      </c>
      <c r="E515" s="399" t="s">
        <v>2346</v>
      </c>
      <c r="F515" s="399" t="s">
        <v>1239</v>
      </c>
      <c r="G515" s="399" t="s">
        <v>1239</v>
      </c>
      <c r="H515" s="399" t="s">
        <v>1239</v>
      </c>
      <c r="I515" s="399" t="s">
        <v>1239</v>
      </c>
      <c r="J515" s="399" t="s">
        <v>2329</v>
      </c>
      <c r="K515" s="789">
        <v>44743</v>
      </c>
      <c r="L515" s="399">
        <v>0</v>
      </c>
      <c r="M515" s="399">
        <v>0</v>
      </c>
      <c r="N515" s="399">
        <v>0.03</v>
      </c>
      <c r="O515" s="399">
        <v>0.03</v>
      </c>
      <c r="P515" s="399">
        <v>0.03</v>
      </c>
      <c r="Q515" s="399">
        <v>0.03</v>
      </c>
      <c r="R515" s="399"/>
      <c r="S515" s="399">
        <v>333.61</v>
      </c>
      <c r="T515" s="399">
        <v>128.11000000000001</v>
      </c>
      <c r="U515" s="399"/>
      <c r="V515" s="399">
        <v>13.851600000000001</v>
      </c>
      <c r="W515" s="399">
        <v>13.851600000000001</v>
      </c>
      <c r="X515" s="399">
        <v>12.0909</v>
      </c>
      <c r="Y515" s="399">
        <v>0</v>
      </c>
      <c r="Z515" s="399">
        <v>1.8364815134514538</v>
      </c>
      <c r="AA515" s="399">
        <v>0</v>
      </c>
      <c r="AB515" s="399">
        <v>0</v>
      </c>
      <c r="AC515" s="399">
        <v>0</v>
      </c>
      <c r="AD515" s="399">
        <v>0</v>
      </c>
      <c r="AE515" s="399">
        <v>5.8348859479296298</v>
      </c>
      <c r="AF515" s="399">
        <v>3.8433313927554895</v>
      </c>
      <c r="AG515" s="399">
        <v>0</v>
      </c>
      <c r="AH515" s="399">
        <v>0</v>
      </c>
      <c r="AI515" s="399">
        <v>0</v>
      </c>
      <c r="AJ515" s="399">
        <v>0</v>
      </c>
      <c r="AK515" s="399">
        <v>0</v>
      </c>
      <c r="AL515" s="399">
        <v>0.28361551239454713</v>
      </c>
      <c r="AM515" s="399"/>
      <c r="AN515" s="399">
        <v>2.581163718793059E-2</v>
      </c>
      <c r="AO515" s="399">
        <v>0.1042806050524995</v>
      </c>
      <c r="AP515" s="399">
        <v>0.55627906745317202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0.40705112510900099</v>
      </c>
      <c r="BH515" s="399">
        <v>0</v>
      </c>
      <c r="BI515" s="399">
        <v>0</v>
      </c>
      <c r="BJ515" s="399">
        <v>0</v>
      </c>
      <c r="BK515" s="399">
        <v>2.48</v>
      </c>
      <c r="BL515" s="399">
        <v>1</v>
      </c>
      <c r="BM515" s="399"/>
      <c r="BN515" s="399"/>
      <c r="BO515" s="399"/>
      <c r="BP515" s="399"/>
      <c r="BQ515" s="399"/>
      <c r="BR515" s="399"/>
      <c r="BS515" s="399"/>
      <c r="BT515" s="399"/>
      <c r="BU515" s="399"/>
      <c r="BV515" s="399">
        <v>4.2503825178644909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12.0909</v>
      </c>
      <c r="CJ515" s="399">
        <v>-1.7907000000000011</v>
      </c>
      <c r="CK515" s="399"/>
      <c r="CL515" s="399"/>
      <c r="CM515" s="399"/>
      <c r="CN515" s="399"/>
      <c r="CO515" s="399">
        <v>-1.9365000000000003</v>
      </c>
      <c r="CP515" s="399">
        <v>0.17579999999999954</v>
      </c>
      <c r="CQ515" s="399">
        <v>31</v>
      </c>
      <c r="CR515" s="399">
        <v>4.3233506855312243E-2</v>
      </c>
      <c r="CS515" s="399">
        <v>7.6120472476226969E-3</v>
      </c>
      <c r="CT515" s="399">
        <v>4.0606041192275955E-2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0</v>
      </c>
      <c r="DA515" s="399">
        <v>0</v>
      </c>
      <c r="DB515" s="399">
        <v>0</v>
      </c>
      <c r="DC515" s="399">
        <v>0.17578302772635102</v>
      </c>
      <c r="DD515" s="399">
        <v>0</v>
      </c>
      <c r="DE515" s="399">
        <v>0</v>
      </c>
      <c r="DF515" s="399">
        <v>0</v>
      </c>
      <c r="DG515" s="399">
        <v>1.8617358717996024E-2</v>
      </c>
      <c r="DH515" s="399">
        <v>0</v>
      </c>
      <c r="DI515" s="399">
        <v>-0.17371495807109683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-2.2645728946826149E-2</v>
      </c>
      <c r="DP515" s="399">
        <v>-3.0242810110106717E-3</v>
      </c>
      <c r="DQ515" s="399">
        <v>0</v>
      </c>
      <c r="DR515" s="399">
        <v>0</v>
      </c>
      <c r="DS515" s="399"/>
      <c r="DT515" s="399"/>
      <c r="DU515" s="399"/>
      <c r="DV515" s="399">
        <v>5.8348859479296298</v>
      </c>
      <c r="DW515" s="399">
        <v>0</v>
      </c>
      <c r="DX515" s="399">
        <v>0</v>
      </c>
      <c r="DY515" s="399">
        <v>-1.9365000000000006</v>
      </c>
      <c r="DZ515" s="399">
        <v>0.17579999999999973</v>
      </c>
      <c r="EA515" s="399">
        <v>0</v>
      </c>
      <c r="EB515" s="399">
        <v>0</v>
      </c>
      <c r="EC515" s="399">
        <v>-1.8041521318621498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0.95995544543212197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230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514</v>
      </c>
      <c r="B516" s="399" t="s">
        <v>956</v>
      </c>
      <c r="C516" s="399" t="s">
        <v>2337</v>
      </c>
      <c r="D516" s="399" t="s">
        <v>533</v>
      </c>
      <c r="E516" s="399" t="s">
        <v>2346</v>
      </c>
      <c r="F516" s="399" t="s">
        <v>1239</v>
      </c>
      <c r="G516" s="399" t="s">
        <v>1239</v>
      </c>
      <c r="H516" s="399" t="s">
        <v>1239</v>
      </c>
      <c r="I516" s="399" t="s">
        <v>893</v>
      </c>
      <c r="J516" s="399" t="s">
        <v>2329</v>
      </c>
      <c r="K516" s="789">
        <v>44743</v>
      </c>
      <c r="L516" s="399">
        <v>0</v>
      </c>
      <c r="M516" s="399">
        <v>0</v>
      </c>
      <c r="N516" s="399">
        <v>1.0349999999999999</v>
      </c>
      <c r="O516" s="399">
        <v>1.0349999999999999</v>
      </c>
      <c r="P516" s="399">
        <v>1.0349999999999999</v>
      </c>
      <c r="Q516" s="399">
        <v>1.0349999999999999</v>
      </c>
      <c r="R516" s="399"/>
      <c r="S516" s="399">
        <v>1351.49</v>
      </c>
      <c r="T516" s="399">
        <v>128.11000000000001</v>
      </c>
      <c r="U516" s="399"/>
      <c r="V516" s="399">
        <v>1531.386</v>
      </c>
      <c r="W516" s="399">
        <v>1531.386</v>
      </c>
      <c r="X516" s="399">
        <v>1181.8768499999999</v>
      </c>
      <c r="Y516" s="399">
        <v>0</v>
      </c>
      <c r="Z516" s="399">
        <v>55.121992626245422</v>
      </c>
      <c r="AA516" s="399">
        <v>0</v>
      </c>
      <c r="AB516" s="399">
        <v>0</v>
      </c>
      <c r="AC516" s="399">
        <v>0</v>
      </c>
      <c r="AD516" s="399">
        <v>0</v>
      </c>
      <c r="AE516" s="399">
        <v>1163.2826930246595</v>
      </c>
      <c r="AF516" s="399">
        <v>132.59493305006438</v>
      </c>
      <c r="AG516" s="399">
        <v>0</v>
      </c>
      <c r="AH516" s="399">
        <v>0</v>
      </c>
      <c r="AI516" s="399">
        <v>0</v>
      </c>
      <c r="AJ516" s="399">
        <v>0</v>
      </c>
      <c r="AK516" s="399">
        <v>0</v>
      </c>
      <c r="AL516" s="399">
        <v>9.7847351776118749</v>
      </c>
      <c r="AM516" s="399"/>
      <c r="AN516" s="399">
        <v>0.50880667553635861</v>
      </c>
      <c r="AO516" s="399">
        <v>21.499567631642844</v>
      </c>
      <c r="AP516" s="399">
        <v>114.35930021762015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5.4219668502138703</v>
      </c>
      <c r="BH516" s="399">
        <v>0</v>
      </c>
      <c r="BI516" s="399">
        <v>0</v>
      </c>
      <c r="BJ516" s="399">
        <v>0</v>
      </c>
      <c r="BK516" s="399">
        <v>0</v>
      </c>
      <c r="BL516" s="399">
        <v>0</v>
      </c>
      <c r="BM516" s="399"/>
      <c r="BN516" s="399"/>
      <c r="BO516" s="399"/>
      <c r="BP516" s="399"/>
      <c r="BQ516" s="399"/>
      <c r="BR516" s="399"/>
      <c r="BS516" s="399"/>
      <c r="BT516" s="399"/>
      <c r="BU516" s="399"/>
      <c r="BV516" s="399">
        <v>138.01689990027825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1187.5864000000001</v>
      </c>
      <c r="CJ516" s="399">
        <v>-343.8295999999998</v>
      </c>
      <c r="CK516" s="399"/>
      <c r="CL516" s="399"/>
      <c r="CM516" s="399"/>
      <c r="CN516" s="399"/>
      <c r="CO516" s="399">
        <v>-355.57424999999995</v>
      </c>
      <c r="CP516" s="399">
        <v>6.0650999999999842</v>
      </c>
      <c r="CQ516" s="399">
        <v>31</v>
      </c>
      <c r="CR516" s="399">
        <v>10.174680252935389</v>
      </c>
      <c r="CS516" s="399">
        <v>1.5693783569162179</v>
      </c>
      <c r="CT516" s="399">
        <v>8.3477497663476328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0</v>
      </c>
      <c r="DA516" s="399">
        <v>0</v>
      </c>
      <c r="DB516" s="399">
        <v>0</v>
      </c>
      <c r="DC516" s="399">
        <v>6.0645144565590954</v>
      </c>
      <c r="DD516" s="399">
        <v>0</v>
      </c>
      <c r="DE516" s="399">
        <v>0</v>
      </c>
      <c r="DF516" s="399">
        <v>0</v>
      </c>
      <c r="DG516" s="399">
        <v>0.24798531580153416</v>
      </c>
      <c r="DH516" s="399">
        <v>0</v>
      </c>
      <c r="DI516" s="399">
        <v>-5.2140544665040665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-0.78127764866550109</v>
      </c>
      <c r="DP516" s="399">
        <v>-5.9615527519486067E-2</v>
      </c>
      <c r="DQ516" s="399">
        <v>0</v>
      </c>
      <c r="DR516" s="399">
        <v>0</v>
      </c>
      <c r="DS516" s="399"/>
      <c r="DT516" s="399"/>
      <c r="DU516" s="399"/>
      <c r="DV516" s="399">
        <v>1163.2826930246595</v>
      </c>
      <c r="DW516" s="399">
        <v>0</v>
      </c>
      <c r="DX516" s="399">
        <v>0</v>
      </c>
      <c r="DY516" s="399">
        <v>-355.57425000000012</v>
      </c>
      <c r="DZ516" s="399">
        <v>6.0650999999999726</v>
      </c>
      <c r="EA516" s="399">
        <v>0</v>
      </c>
      <c r="EB516" s="399">
        <v>0</v>
      </c>
      <c r="EC516" s="399">
        <v>-359.68808461859601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28.813062694645101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230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515</v>
      </c>
      <c r="B517" s="399" t="s">
        <v>956</v>
      </c>
      <c r="C517" s="399" t="s">
        <v>2337</v>
      </c>
      <c r="D517" s="399" t="s">
        <v>533</v>
      </c>
      <c r="E517" s="399" t="s">
        <v>2346</v>
      </c>
      <c r="F517" s="399" t="s">
        <v>1239</v>
      </c>
      <c r="G517" s="399" t="s">
        <v>1239</v>
      </c>
      <c r="H517" s="399" t="s">
        <v>1239</v>
      </c>
      <c r="I517" s="399" t="s">
        <v>2326</v>
      </c>
      <c r="J517" s="399" t="s">
        <v>2329</v>
      </c>
      <c r="K517" s="789">
        <v>44743</v>
      </c>
      <c r="L517" s="399">
        <v>0</v>
      </c>
      <c r="M517" s="399">
        <v>0</v>
      </c>
      <c r="N517" s="399">
        <v>12.145</v>
      </c>
      <c r="O517" s="399">
        <v>12.145</v>
      </c>
      <c r="P517" s="399">
        <v>12.145</v>
      </c>
      <c r="Q517" s="399">
        <v>12.145</v>
      </c>
      <c r="R517" s="399"/>
      <c r="S517" s="399">
        <v>96.28</v>
      </c>
      <c r="T517" s="399">
        <v>128.11000000000001</v>
      </c>
      <c r="U517" s="399"/>
      <c r="V517" s="399">
        <v>2725.2165500000001</v>
      </c>
      <c r="W517" s="399">
        <v>2725.2165500000001</v>
      </c>
      <c r="X517" s="399">
        <v>2728.2528000000002</v>
      </c>
      <c r="Y517" s="399">
        <v>0</v>
      </c>
      <c r="Z517" s="399">
        <v>646.81797144516975</v>
      </c>
      <c r="AA517" s="399">
        <v>0</v>
      </c>
      <c r="AB517" s="399">
        <v>0</v>
      </c>
      <c r="AC517" s="399">
        <v>0</v>
      </c>
      <c r="AD517" s="399">
        <v>0</v>
      </c>
      <c r="AE517" s="399">
        <v>0</v>
      </c>
      <c r="AF517" s="399">
        <v>1555.9086588338473</v>
      </c>
      <c r="AG517" s="399">
        <v>0</v>
      </c>
      <c r="AH517" s="399">
        <v>0</v>
      </c>
      <c r="AI517" s="399">
        <v>0</v>
      </c>
      <c r="AJ517" s="399">
        <v>0</v>
      </c>
      <c r="AK517" s="399">
        <v>0</v>
      </c>
      <c r="AL517" s="399">
        <v>114.81701326772583</v>
      </c>
      <c r="AM517" s="399"/>
      <c r="AN517" s="399">
        <v>5.9704899269459668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63.622982991156967</v>
      </c>
      <c r="BH517" s="399">
        <v>0</v>
      </c>
      <c r="BI517" s="399">
        <v>0</v>
      </c>
      <c r="BJ517" s="399">
        <v>0</v>
      </c>
      <c r="BK517" s="399">
        <v>0</v>
      </c>
      <c r="BL517" s="399">
        <v>0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>
        <v>1619.5316418250043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2729.3760000000002</v>
      </c>
      <c r="CJ517" s="399">
        <v>4.1294499999999061</v>
      </c>
      <c r="CK517" s="399"/>
      <c r="CL517" s="399"/>
      <c r="CM517" s="399"/>
      <c r="CN517" s="399"/>
      <c r="CO517" s="399">
        <v>-68.133449999999996</v>
      </c>
      <c r="CP517" s="399">
        <v>71.169699999999821</v>
      </c>
      <c r="CQ517" s="399">
        <v>31</v>
      </c>
      <c r="CR517" s="399">
        <v>3.0221938307831806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0</v>
      </c>
      <c r="DA517" s="399">
        <v>0</v>
      </c>
      <c r="DB517" s="399">
        <v>0</v>
      </c>
      <c r="DC517" s="399">
        <v>71.16282905788421</v>
      </c>
      <c r="DD517" s="399">
        <v>0</v>
      </c>
      <c r="DE517" s="399">
        <v>0</v>
      </c>
      <c r="DF517" s="399">
        <v>0</v>
      </c>
      <c r="DG517" s="399">
        <v>2.9099339714102612</v>
      </c>
      <c r="DH517" s="399">
        <v>0</v>
      </c>
      <c r="DI517" s="399">
        <v>-61.183276807431753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-9.1677459353067832</v>
      </c>
      <c r="DP517" s="399">
        <v>-0.69954645577213359</v>
      </c>
      <c r="DQ517" s="399">
        <v>0</v>
      </c>
      <c r="DR517" s="399">
        <v>0</v>
      </c>
      <c r="DS517" s="399"/>
      <c r="DT517" s="399"/>
      <c r="DU517" s="399"/>
      <c r="DV517" s="399">
        <v>0</v>
      </c>
      <c r="DW517" s="399">
        <v>0</v>
      </c>
      <c r="DX517" s="399">
        <v>0</v>
      </c>
      <c r="DY517" s="399">
        <v>-68.133450000000039</v>
      </c>
      <c r="DZ517" s="399">
        <v>71.169699999999921</v>
      </c>
      <c r="EA517" s="399">
        <v>0</v>
      </c>
      <c r="EB517" s="399">
        <v>0</v>
      </c>
      <c r="EC517" s="399">
        <v>0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338.10110765842006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230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516</v>
      </c>
      <c r="B518" s="399" t="s">
        <v>956</v>
      </c>
      <c r="C518" s="399" t="s">
        <v>2337</v>
      </c>
      <c r="D518" s="399" t="s">
        <v>533</v>
      </c>
      <c r="E518" s="399" t="s">
        <v>2346</v>
      </c>
      <c r="F518" s="399" t="s">
        <v>1239</v>
      </c>
      <c r="G518" s="399" t="s">
        <v>1239</v>
      </c>
      <c r="H518" s="399" t="s">
        <v>1239</v>
      </c>
      <c r="I518" s="399" t="s">
        <v>1239</v>
      </c>
      <c r="J518" s="399" t="s">
        <v>2329</v>
      </c>
      <c r="K518" s="789">
        <v>44743</v>
      </c>
      <c r="L518" s="399">
        <v>95</v>
      </c>
      <c r="M518" s="399">
        <v>95</v>
      </c>
      <c r="N518" s="399">
        <v>0</v>
      </c>
      <c r="O518" s="399">
        <v>0</v>
      </c>
      <c r="P518" s="399">
        <v>0</v>
      </c>
      <c r="Q518" s="399">
        <v>0</v>
      </c>
      <c r="R518" s="399">
        <v>18.12</v>
      </c>
      <c r="S518" s="399"/>
      <c r="T518" s="399"/>
      <c r="U518" s="399">
        <v>1721.4</v>
      </c>
      <c r="V518" s="399"/>
      <c r="W518" s="399">
        <v>1721.4</v>
      </c>
      <c r="X518" s="399">
        <v>1372.75</v>
      </c>
      <c r="Y518" s="399">
        <v>0</v>
      </c>
      <c r="Z518" s="399">
        <v>0</v>
      </c>
      <c r="AA518" s="399">
        <v>0</v>
      </c>
      <c r="AB518" s="399">
        <v>0</v>
      </c>
      <c r="AC518" s="399">
        <v>0</v>
      </c>
      <c r="AD518" s="399">
        <v>0</v>
      </c>
      <c r="AE518" s="399">
        <v>1240.5991402087554</v>
      </c>
      <c r="AF518" s="399"/>
      <c r="AG518" s="399"/>
      <c r="AH518" s="399"/>
      <c r="AI518" s="399">
        <v>0</v>
      </c>
      <c r="AJ518" s="399">
        <v>0</v>
      </c>
      <c r="AK518" s="399">
        <v>0</v>
      </c>
      <c r="AL518" s="399">
        <v>0</v>
      </c>
      <c r="AM518" s="399"/>
      <c r="AN518" s="399">
        <v>0</v>
      </c>
      <c r="AO518" s="399">
        <v>75.512689137147717</v>
      </c>
      <c r="AP518" s="399">
        <v>404.82549878573383</v>
      </c>
      <c r="AQ518" s="399">
        <v>0</v>
      </c>
      <c r="AR518" s="399">
        <v>0</v>
      </c>
      <c r="AS518" s="399"/>
      <c r="AT518" s="399"/>
      <c r="AU518" s="399">
        <v>0</v>
      </c>
      <c r="AV518" s="399">
        <v>0</v>
      </c>
      <c r="AW518" s="399">
        <v>0</v>
      </c>
      <c r="AX518" s="399"/>
      <c r="AY518" s="399"/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/>
      <c r="BG518" s="399">
        <v>0</v>
      </c>
      <c r="BH518" s="399">
        <v>0</v>
      </c>
      <c r="BI518" s="399">
        <v>0</v>
      </c>
      <c r="BJ518" s="399">
        <v>0</v>
      </c>
      <c r="BK518" s="399">
        <v>361.66</v>
      </c>
      <c r="BL518" s="399">
        <v>1</v>
      </c>
      <c r="BM518" s="399"/>
      <c r="BN518" s="399"/>
      <c r="BO518" s="399"/>
      <c r="BP518" s="399"/>
      <c r="BQ518" s="399"/>
      <c r="BR518" s="399"/>
      <c r="BS518" s="399"/>
      <c r="BT518" s="399"/>
      <c r="BU518" s="399"/>
      <c r="BV518" s="399">
        <v>0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1372.75</v>
      </c>
      <c r="CJ518" s="399">
        <v>-348.68000000000006</v>
      </c>
      <c r="CK518" s="399"/>
      <c r="CL518" s="399"/>
      <c r="CM518" s="399"/>
      <c r="CN518" s="399"/>
      <c r="CO518" s="399">
        <v>-348.65000000000015</v>
      </c>
      <c r="CP518" s="399">
        <v>0</v>
      </c>
      <c r="CQ518" s="399">
        <v>31</v>
      </c>
      <c r="CR518" s="399">
        <v>35.062675168269209</v>
      </c>
      <c r="CS518" s="399">
        <v>5.5121099193624161</v>
      </c>
      <c r="CT518" s="399">
        <v>29.550565248906821</v>
      </c>
      <c r="CU518" s="399">
        <v>0</v>
      </c>
      <c r="CV518" s="399">
        <v>0</v>
      </c>
      <c r="CW518" s="399"/>
      <c r="CX518" s="399"/>
      <c r="CY518" s="399"/>
      <c r="CZ518" s="399">
        <v>0</v>
      </c>
      <c r="DA518" s="399">
        <v>0</v>
      </c>
      <c r="DB518" s="399">
        <v>0</v>
      </c>
      <c r="DC518" s="399"/>
      <c r="DD518" s="399"/>
      <c r="DE518" s="399">
        <v>0</v>
      </c>
      <c r="DF518" s="399">
        <v>0</v>
      </c>
      <c r="DG518" s="399">
        <v>0</v>
      </c>
      <c r="DH518" s="399">
        <v>0</v>
      </c>
      <c r="DI518" s="399">
        <v>0</v>
      </c>
      <c r="DJ518" s="399"/>
      <c r="DK518" s="399">
        <v>0</v>
      </c>
      <c r="DL518" s="399">
        <v>0</v>
      </c>
      <c r="DM518" s="399"/>
      <c r="DN518" s="399">
        <v>0</v>
      </c>
      <c r="DO518" s="399">
        <v>0</v>
      </c>
      <c r="DP518" s="399">
        <v>0</v>
      </c>
      <c r="DQ518" s="399">
        <v>0</v>
      </c>
      <c r="DR518" s="399">
        <v>0</v>
      </c>
      <c r="DS518" s="399"/>
      <c r="DT518" s="399"/>
      <c r="DU518" s="399">
        <v>1240.5991402087554</v>
      </c>
      <c r="DV518" s="399"/>
      <c r="DW518" s="399">
        <v>0</v>
      </c>
      <c r="DX518" s="399">
        <v>0</v>
      </c>
      <c r="DY518" s="399">
        <v>-348.65000000000009</v>
      </c>
      <c r="DZ518" s="399"/>
      <c r="EA518" s="399">
        <v>0</v>
      </c>
      <c r="EB518" s="399"/>
      <c r="EC518" s="399">
        <v>-383.59440159891403</v>
      </c>
      <c r="ED518" s="399"/>
      <c r="EE518" s="399">
        <v>0</v>
      </c>
      <c r="EF518" s="399">
        <v>0</v>
      </c>
      <c r="EG518" s="399"/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/>
      <c r="EN518" s="399"/>
      <c r="EO518" s="399">
        <v>0</v>
      </c>
      <c r="EP518" s="399">
        <v>0</v>
      </c>
      <c r="EQ518" s="399"/>
      <c r="ER518" s="399">
        <v>0</v>
      </c>
      <c r="ES518" s="399"/>
      <c r="ET518" s="399">
        <v>0</v>
      </c>
      <c r="EU518" s="399"/>
      <c r="EV518" s="399">
        <v>230</v>
      </c>
      <c r="EW518" s="399"/>
      <c r="EX518" s="399"/>
      <c r="EY518" s="399"/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517</v>
      </c>
      <c r="B519" s="399" t="s">
        <v>956</v>
      </c>
      <c r="C519" s="399" t="s">
        <v>2328</v>
      </c>
      <c r="D519" s="399" t="s">
        <v>2340</v>
      </c>
      <c r="E519" s="399" t="s">
        <v>894</v>
      </c>
      <c r="F519" s="399" t="s">
        <v>2347</v>
      </c>
      <c r="G519" s="399" t="s">
        <v>2348</v>
      </c>
      <c r="H519" s="399" t="s">
        <v>1239</v>
      </c>
      <c r="I519" s="399" t="s">
        <v>1239</v>
      </c>
      <c r="J519" s="399" t="s">
        <v>2329</v>
      </c>
      <c r="K519" s="789">
        <v>44743</v>
      </c>
      <c r="L519" s="399">
        <v>0</v>
      </c>
      <c r="M519" s="399">
        <v>0</v>
      </c>
      <c r="N519" s="399">
        <v>0</v>
      </c>
      <c r="O519" s="399">
        <v>0</v>
      </c>
      <c r="P519" s="399">
        <v>0</v>
      </c>
      <c r="Q519" s="399">
        <v>0</v>
      </c>
      <c r="R519" s="399"/>
      <c r="S519" s="399"/>
      <c r="T519" s="399"/>
      <c r="U519" s="399"/>
      <c r="V519" s="399"/>
      <c r="W519" s="399"/>
      <c r="X519" s="399"/>
      <c r="Y519" s="399"/>
      <c r="Z519" s="399"/>
      <c r="AA519" s="399">
        <v>0</v>
      </c>
      <c r="AB519" s="399"/>
      <c r="AC519" s="399"/>
      <c r="AD519" s="399"/>
      <c r="AE519" s="399"/>
      <c r="AF519" s="399"/>
      <c r="AG519" s="399"/>
      <c r="AH519" s="399"/>
      <c r="AI519" s="399"/>
      <c r="AJ519" s="399"/>
      <c r="AK519" s="399"/>
      <c r="AL519" s="399"/>
      <c r="AM519" s="399"/>
      <c r="AN519" s="399"/>
      <c r="AO519" s="399"/>
      <c r="AP519" s="399"/>
      <c r="AQ519" s="399"/>
      <c r="AR519" s="399"/>
      <c r="AS519" s="399"/>
      <c r="AT519" s="399"/>
      <c r="AU519" s="399"/>
      <c r="AV519" s="399"/>
      <c r="AW519" s="399"/>
      <c r="AX519" s="399"/>
      <c r="AY519" s="399"/>
      <c r="AZ519" s="399">
        <v>0</v>
      </c>
      <c r="BA519" s="399"/>
      <c r="BB519" s="399"/>
      <c r="BC519" s="399"/>
      <c r="BD519" s="399"/>
      <c r="BE519" s="399"/>
      <c r="BF519" s="399"/>
      <c r="BG519" s="399"/>
      <c r="BH519" s="399"/>
      <c r="BI519" s="399">
        <v>0</v>
      </c>
      <c r="BJ519" s="399">
        <v>0</v>
      </c>
      <c r="BK519" s="399">
        <v>785.6</v>
      </c>
      <c r="BL519" s="399">
        <v>101</v>
      </c>
      <c r="BM519" s="399"/>
      <c r="BN519" s="399"/>
      <c r="BO519" s="399"/>
      <c r="BP519" s="399"/>
      <c r="BQ519" s="399"/>
      <c r="BR519" s="399"/>
      <c r="BS519" s="399"/>
      <c r="BT519" s="399"/>
      <c r="BU519" s="399"/>
      <c r="BV519" s="399"/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/>
      <c r="CJ519" s="399">
        <v>-0.03</v>
      </c>
      <c r="CK519" s="399"/>
      <c r="CL519" s="399"/>
      <c r="CM519" s="399"/>
      <c r="CN519" s="399"/>
      <c r="CO519" s="399">
        <v>0</v>
      </c>
      <c r="CP519" s="399">
        <v>0</v>
      </c>
      <c r="CQ519" s="399">
        <v>31</v>
      </c>
      <c r="CR519" s="399"/>
      <c r="CS519" s="399"/>
      <c r="CT519" s="399"/>
      <c r="CU519" s="399"/>
      <c r="CV519" s="399"/>
      <c r="CW519" s="399"/>
      <c r="CX519" s="399"/>
      <c r="CY519" s="399"/>
      <c r="CZ519" s="399"/>
      <c r="DA519" s="399"/>
      <c r="DB519" s="399"/>
      <c r="DC519" s="399"/>
      <c r="DD519" s="399"/>
      <c r="DE519" s="399"/>
      <c r="DF519" s="399"/>
      <c r="DG519" s="399"/>
      <c r="DH519" s="399"/>
      <c r="DI519" s="399"/>
      <c r="DJ519" s="399"/>
      <c r="DK519" s="399">
        <v>0</v>
      </c>
      <c r="DL519" s="399"/>
      <c r="DM519" s="399"/>
      <c r="DN519" s="399"/>
      <c r="DO519" s="399"/>
      <c r="DP519" s="399"/>
      <c r="DQ519" s="399"/>
      <c r="DR519" s="399"/>
      <c r="DS519" s="399"/>
      <c r="DT519" s="399"/>
      <c r="DU519" s="399"/>
      <c r="DV519" s="399"/>
      <c r="DW519" s="399"/>
      <c r="DX519" s="399"/>
      <c r="DY519" s="399"/>
      <c r="DZ519" s="399"/>
      <c r="EA519" s="399"/>
      <c r="EB519" s="399"/>
      <c r="EC519" s="399"/>
      <c r="ED519" s="399"/>
      <c r="EE519" s="399"/>
      <c r="EF519" s="399"/>
      <c r="EG519" s="399"/>
      <c r="EH519" s="399"/>
      <c r="EI519" s="399"/>
      <c r="EJ519" s="399"/>
      <c r="EK519" s="399"/>
      <c r="EL519" s="399"/>
      <c r="EM519" s="399"/>
      <c r="EN519" s="399"/>
      <c r="EO519" s="399"/>
      <c r="EP519" s="399"/>
      <c r="EQ519" s="399"/>
      <c r="ER519" s="399"/>
      <c r="ES519" s="399"/>
      <c r="ET519" s="399"/>
      <c r="EU519" s="399"/>
      <c r="EV519" s="399">
        <v>230</v>
      </c>
      <c r="EW519" s="399"/>
      <c r="EX519" s="399"/>
      <c r="EY519" s="399"/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518</v>
      </c>
      <c r="B520" s="399" t="s">
        <v>956</v>
      </c>
      <c r="C520" s="399" t="s">
        <v>2328</v>
      </c>
      <c r="D520" s="399" t="s">
        <v>2340</v>
      </c>
      <c r="E520" s="399" t="s">
        <v>894</v>
      </c>
      <c r="F520" s="399" t="s">
        <v>2347</v>
      </c>
      <c r="G520" s="399" t="s">
        <v>2348</v>
      </c>
      <c r="H520" s="399" t="s">
        <v>1239</v>
      </c>
      <c r="I520" s="399" t="s">
        <v>1239</v>
      </c>
      <c r="J520" s="399" t="s">
        <v>2329</v>
      </c>
      <c r="K520" s="789">
        <v>44743</v>
      </c>
      <c r="L520" s="399">
        <v>0</v>
      </c>
      <c r="M520" s="399">
        <v>0</v>
      </c>
      <c r="N520" s="399">
        <v>13.619</v>
      </c>
      <c r="O520" s="399">
        <v>13.619</v>
      </c>
      <c r="P520" s="399">
        <v>13.619</v>
      </c>
      <c r="Q520" s="399">
        <v>13.619</v>
      </c>
      <c r="R520" s="399"/>
      <c r="S520" s="399">
        <v>333.61</v>
      </c>
      <c r="T520" s="399">
        <v>128.11000000000001</v>
      </c>
      <c r="U520" s="399"/>
      <c r="V520" s="399">
        <v>6288.1646799999999</v>
      </c>
      <c r="W520" s="399">
        <v>6288.1646799999999</v>
      </c>
      <c r="X520" s="399">
        <v>5488.8655699999999</v>
      </c>
      <c r="Y520" s="399">
        <v>0</v>
      </c>
      <c r="Z520" s="399">
        <v>833.70139105651174</v>
      </c>
      <c r="AA520" s="399">
        <v>0</v>
      </c>
      <c r="AB520" s="399">
        <v>0</v>
      </c>
      <c r="AC520" s="399">
        <v>0</v>
      </c>
      <c r="AD520" s="399">
        <v>0</v>
      </c>
      <c r="AE520" s="399">
        <v>2648.8437241617876</v>
      </c>
      <c r="AF520" s="399">
        <v>1744.7443412645671</v>
      </c>
      <c r="AG520" s="399">
        <v>0</v>
      </c>
      <c r="AH520" s="399">
        <v>0</v>
      </c>
      <c r="AI520" s="399">
        <v>0</v>
      </c>
      <c r="AJ520" s="399">
        <v>0</v>
      </c>
      <c r="AK520" s="399">
        <v>0</v>
      </c>
      <c r="AL520" s="399">
        <v>128.75198877671124</v>
      </c>
      <c r="AM520" s="399"/>
      <c r="AN520" s="399">
        <v>11.717622895414223</v>
      </c>
      <c r="AO520" s="399">
        <v>47.339918673666354</v>
      </c>
      <c r="AP520" s="399">
        <v>252.53215398815834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184.78764242864949</v>
      </c>
      <c r="BH520" s="399">
        <v>0</v>
      </c>
      <c r="BI520" s="399">
        <v>0</v>
      </c>
      <c r="BJ520" s="399">
        <v>0</v>
      </c>
      <c r="BK520" s="399">
        <v>0</v>
      </c>
      <c r="BL520" s="399">
        <v>0</v>
      </c>
      <c r="BM520" s="399"/>
      <c r="BN520" s="399"/>
      <c r="BO520" s="399"/>
      <c r="BP520" s="399"/>
      <c r="BQ520" s="399"/>
      <c r="BR520" s="399">
        <v>658.7510299999999</v>
      </c>
      <c r="BS520" s="399"/>
      <c r="BT520" s="399"/>
      <c r="BU520" s="399"/>
      <c r="BV520" s="399">
        <v>1929.5319836932165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4830.4691999999995</v>
      </c>
      <c r="CJ520" s="399">
        <v>-703.23288000000048</v>
      </c>
      <c r="CK520" s="399"/>
      <c r="CL520" s="399"/>
      <c r="CM520" s="399"/>
      <c r="CN520" s="399"/>
      <c r="CO520" s="399">
        <v>-879.10645000000011</v>
      </c>
      <c r="CP520" s="399">
        <v>79.807339999999797</v>
      </c>
      <c r="CQ520" s="399">
        <v>31</v>
      </c>
      <c r="CR520" s="399">
        <v>19.626570995416387</v>
      </c>
      <c r="CS520" s="399">
        <v>3.4556157155124509</v>
      </c>
      <c r="CT520" s="399">
        <v>18.433789166586877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0</v>
      </c>
      <c r="DA520" s="399">
        <v>0</v>
      </c>
      <c r="DB520" s="399">
        <v>0</v>
      </c>
      <c r="DC520" s="399">
        <v>79.799635153505733</v>
      </c>
      <c r="DD520" s="399">
        <v>0</v>
      </c>
      <c r="DE520" s="399">
        <v>0</v>
      </c>
      <c r="DF520" s="399">
        <v>0</v>
      </c>
      <c r="DG520" s="399">
        <v>8.4516602793462425</v>
      </c>
      <c r="DH520" s="399">
        <v>0</v>
      </c>
      <c r="DI520" s="399">
        <v>-78.860800465675652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-10.280406084227494</v>
      </c>
      <c r="DP520" s="399">
        <v>-1.3729227696318098</v>
      </c>
      <c r="DQ520" s="399">
        <v>0</v>
      </c>
      <c r="DR520" s="399">
        <v>0</v>
      </c>
      <c r="DS520" s="399"/>
      <c r="DT520" s="399"/>
      <c r="DU520" s="399"/>
      <c r="DV520" s="399">
        <v>2648.8437241617876</v>
      </c>
      <c r="DW520" s="399">
        <v>0</v>
      </c>
      <c r="DX520" s="399">
        <v>0</v>
      </c>
      <c r="DY520" s="399">
        <v>-879.10644999999977</v>
      </c>
      <c r="DZ520" s="399">
        <v>79.807339999999613</v>
      </c>
      <c r="EA520" s="399">
        <v>0</v>
      </c>
      <c r="EB520" s="399">
        <v>0</v>
      </c>
      <c r="EC520" s="399">
        <v>-819.02492946102075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435.78777371133566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230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519</v>
      </c>
      <c r="B521" s="399" t="s">
        <v>956</v>
      </c>
      <c r="C521" s="399" t="s">
        <v>2328</v>
      </c>
      <c r="D521" s="399" t="s">
        <v>2340</v>
      </c>
      <c r="E521" s="399" t="s">
        <v>894</v>
      </c>
      <c r="F521" s="399" t="s">
        <v>2347</v>
      </c>
      <c r="G521" s="399" t="s">
        <v>2349</v>
      </c>
      <c r="H521" s="399" t="s">
        <v>1239</v>
      </c>
      <c r="I521" s="399" t="s">
        <v>1239</v>
      </c>
      <c r="J521" s="399" t="s">
        <v>2329</v>
      </c>
      <c r="K521" s="789">
        <v>44743</v>
      </c>
      <c r="L521" s="399">
        <v>0</v>
      </c>
      <c r="M521" s="399">
        <v>0</v>
      </c>
      <c r="N521" s="399">
        <v>3.4420000000000002</v>
      </c>
      <c r="O521" s="399">
        <v>1.3768</v>
      </c>
      <c r="P521" s="399">
        <v>3.4420000000000002</v>
      </c>
      <c r="Q521" s="399">
        <v>1.3768</v>
      </c>
      <c r="R521" s="399"/>
      <c r="S521" s="399">
        <v>333.61</v>
      </c>
      <c r="T521" s="399">
        <v>128.11000000000001</v>
      </c>
      <c r="U521" s="399"/>
      <c r="V521" s="399">
        <v>1589.2402400000001</v>
      </c>
      <c r="W521" s="399">
        <v>1589.2402400000001</v>
      </c>
      <c r="X521" s="399">
        <v>1387.2292600000001</v>
      </c>
      <c r="Y521" s="399">
        <v>0</v>
      </c>
      <c r="Z521" s="399">
        <v>210.70564564333017</v>
      </c>
      <c r="AA521" s="399">
        <v>0</v>
      </c>
      <c r="AB521" s="399">
        <v>0</v>
      </c>
      <c r="AC521" s="399">
        <v>0</v>
      </c>
      <c r="AD521" s="399">
        <v>0</v>
      </c>
      <c r="AE521" s="399">
        <v>669.45591442579291</v>
      </c>
      <c r="AF521" s="399">
        <v>440.95822179547986</v>
      </c>
      <c r="AG521" s="399">
        <v>0</v>
      </c>
      <c r="AH521" s="399">
        <v>0</v>
      </c>
      <c r="AI521" s="399">
        <v>0</v>
      </c>
      <c r="AJ521" s="399">
        <v>0</v>
      </c>
      <c r="AK521" s="399">
        <v>0</v>
      </c>
      <c r="AL521" s="399">
        <v>32.540153122067707</v>
      </c>
      <c r="AM521" s="399"/>
      <c r="AN521" s="399">
        <v>2.9614551733619034</v>
      </c>
      <c r="AO521" s="399">
        <v>11.96446141969011</v>
      </c>
      <c r="AP521" s="399">
        <v>63.82375167246061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46.702332420839383</v>
      </c>
      <c r="BH521" s="399">
        <v>0</v>
      </c>
      <c r="BI521" s="399">
        <v>0</v>
      </c>
      <c r="BJ521" s="399">
        <v>0</v>
      </c>
      <c r="BK521" s="399">
        <v>0</v>
      </c>
      <c r="BL521" s="399">
        <v>0</v>
      </c>
      <c r="BM521" s="399"/>
      <c r="BN521" s="399"/>
      <c r="BO521" s="399"/>
      <c r="BP521" s="399"/>
      <c r="BQ521" s="399"/>
      <c r="BR521" s="399"/>
      <c r="BS521" s="399">
        <v>898.93337199999985</v>
      </c>
      <c r="BT521" s="399"/>
      <c r="BU521" s="399"/>
      <c r="BV521" s="399">
        <v>487.66055421631927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489.43079999999998</v>
      </c>
      <c r="CJ521" s="399">
        <v>-70.020576000000005</v>
      </c>
      <c r="CK521" s="399"/>
      <c r="CL521" s="399"/>
      <c r="CM521" s="399"/>
      <c r="CN521" s="399"/>
      <c r="CO521" s="399">
        <v>-222.18110000000004</v>
      </c>
      <c r="CP521" s="399">
        <v>20.170119999999951</v>
      </c>
      <c r="CQ521" s="399">
        <v>31</v>
      </c>
      <c r="CR521" s="399">
        <v>4.9603243531992121</v>
      </c>
      <c r="CS521" s="399">
        <v>0.87335555421057798</v>
      </c>
      <c r="CT521" s="399">
        <v>4.6588664594604623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0</v>
      </c>
      <c r="DA521" s="399">
        <v>0</v>
      </c>
      <c r="DB521" s="399">
        <v>0</v>
      </c>
      <c r="DC521" s="399">
        <v>20.168172714469961</v>
      </c>
      <c r="DD521" s="399">
        <v>0</v>
      </c>
      <c r="DE521" s="399">
        <v>0</v>
      </c>
      <c r="DF521" s="399">
        <v>0</v>
      </c>
      <c r="DG521" s="399">
        <v>2.1360316235780772</v>
      </c>
      <c r="DH521" s="399">
        <v>0</v>
      </c>
      <c r="DI521" s="399">
        <v>-19.930896189357213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-2.5982199678325166</v>
      </c>
      <c r="DP521" s="399">
        <v>-0.3469858413299578</v>
      </c>
      <c r="DQ521" s="399">
        <v>0</v>
      </c>
      <c r="DR521" s="399">
        <v>0</v>
      </c>
      <c r="DS521" s="399"/>
      <c r="DT521" s="399"/>
      <c r="DU521" s="399"/>
      <c r="DV521" s="399">
        <v>669.45591442579291</v>
      </c>
      <c r="DW521" s="399">
        <v>0</v>
      </c>
      <c r="DX521" s="399">
        <v>0</v>
      </c>
      <c r="DY521" s="399">
        <v>-222.18110000000001</v>
      </c>
      <c r="DZ521" s="399">
        <v>20.17011999999994</v>
      </c>
      <c r="EA521" s="399">
        <v>0</v>
      </c>
      <c r="EB521" s="399">
        <v>0</v>
      </c>
      <c r="EC521" s="399">
        <v>-206.99638792898406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110.13888810591214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230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520</v>
      </c>
      <c r="B522" s="399" t="s">
        <v>956</v>
      </c>
      <c r="C522" s="399" t="s">
        <v>2328</v>
      </c>
      <c r="D522" s="399" t="s">
        <v>2340</v>
      </c>
      <c r="E522" s="399" t="s">
        <v>894</v>
      </c>
      <c r="F522" s="399" t="s">
        <v>2350</v>
      </c>
      <c r="G522" s="399" t="s">
        <v>2348</v>
      </c>
      <c r="H522" s="399" t="s">
        <v>1239</v>
      </c>
      <c r="I522" s="399" t="s">
        <v>1239</v>
      </c>
      <c r="J522" s="399" t="s">
        <v>2329</v>
      </c>
      <c r="K522" s="789">
        <v>44743</v>
      </c>
      <c r="L522" s="399">
        <v>0</v>
      </c>
      <c r="M522" s="399">
        <v>0</v>
      </c>
      <c r="N522" s="399">
        <v>0</v>
      </c>
      <c r="O522" s="399">
        <v>0</v>
      </c>
      <c r="P522" s="399">
        <v>0</v>
      </c>
      <c r="Q522" s="399">
        <v>0</v>
      </c>
      <c r="R522" s="399"/>
      <c r="S522" s="399"/>
      <c r="T522" s="399"/>
      <c r="U522" s="399"/>
      <c r="V522" s="399"/>
      <c r="W522" s="399"/>
      <c r="X522" s="399"/>
      <c r="Y522" s="399"/>
      <c r="Z522" s="399"/>
      <c r="AA522" s="399">
        <v>0</v>
      </c>
      <c r="AB522" s="399"/>
      <c r="AC522" s="399"/>
      <c r="AD522" s="399"/>
      <c r="AE522" s="399"/>
      <c r="AF522" s="399"/>
      <c r="AG522" s="399"/>
      <c r="AH522" s="399"/>
      <c r="AI522" s="399"/>
      <c r="AJ522" s="399"/>
      <c r="AK522" s="399"/>
      <c r="AL522" s="399"/>
      <c r="AM522" s="399"/>
      <c r="AN522" s="399"/>
      <c r="AO522" s="399"/>
      <c r="AP522" s="399"/>
      <c r="AQ522" s="399"/>
      <c r="AR522" s="399"/>
      <c r="AS522" s="399"/>
      <c r="AT522" s="399"/>
      <c r="AU522" s="399"/>
      <c r="AV522" s="399"/>
      <c r="AW522" s="399"/>
      <c r="AX522" s="399"/>
      <c r="AY522" s="399"/>
      <c r="AZ522" s="399">
        <v>0</v>
      </c>
      <c r="BA522" s="399"/>
      <c r="BB522" s="399"/>
      <c r="BC522" s="399"/>
      <c r="BD522" s="399"/>
      <c r="BE522" s="399"/>
      <c r="BF522" s="399"/>
      <c r="BG522" s="399"/>
      <c r="BH522" s="399"/>
      <c r="BI522" s="399">
        <v>0</v>
      </c>
      <c r="BJ522" s="399">
        <v>0</v>
      </c>
      <c r="BK522" s="399">
        <v>7.89</v>
      </c>
      <c r="BL522" s="399">
        <v>1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/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/>
      <c r="CJ522" s="399">
        <v>-0.03</v>
      </c>
      <c r="CK522" s="399"/>
      <c r="CL522" s="399"/>
      <c r="CM522" s="399"/>
      <c r="CN522" s="399"/>
      <c r="CO522" s="399">
        <v>0</v>
      </c>
      <c r="CP522" s="399">
        <v>0</v>
      </c>
      <c r="CQ522" s="399">
        <v>31</v>
      </c>
      <c r="CR522" s="399"/>
      <c r="CS522" s="399"/>
      <c r="CT522" s="399"/>
      <c r="CU522" s="399"/>
      <c r="CV522" s="399"/>
      <c r="CW522" s="399"/>
      <c r="CX522" s="399"/>
      <c r="CY522" s="399"/>
      <c r="CZ522" s="399"/>
      <c r="DA522" s="399"/>
      <c r="DB522" s="399"/>
      <c r="DC522" s="399"/>
      <c r="DD522" s="399"/>
      <c r="DE522" s="399"/>
      <c r="DF522" s="399"/>
      <c r="DG522" s="399"/>
      <c r="DH522" s="399"/>
      <c r="DI522" s="399"/>
      <c r="DJ522" s="399"/>
      <c r="DK522" s="399">
        <v>0</v>
      </c>
      <c r="DL522" s="399"/>
      <c r="DM522" s="399"/>
      <c r="DN522" s="399"/>
      <c r="DO522" s="399"/>
      <c r="DP522" s="399"/>
      <c r="DQ522" s="399"/>
      <c r="DR522" s="399"/>
      <c r="DS522" s="399"/>
      <c r="DT522" s="399"/>
      <c r="DU522" s="399"/>
      <c r="DV522" s="399"/>
      <c r="DW522" s="399"/>
      <c r="DX522" s="399"/>
      <c r="DY522" s="399"/>
      <c r="DZ522" s="399"/>
      <c r="EA522" s="399"/>
      <c r="EB522" s="399"/>
      <c r="EC522" s="399"/>
      <c r="ED522" s="399"/>
      <c r="EE522" s="399"/>
      <c r="EF522" s="399"/>
      <c r="EG522" s="399"/>
      <c r="EH522" s="399"/>
      <c r="EI522" s="399"/>
      <c r="EJ522" s="399"/>
      <c r="EK522" s="399"/>
      <c r="EL522" s="399"/>
      <c r="EM522" s="399"/>
      <c r="EN522" s="399"/>
      <c r="EO522" s="399"/>
      <c r="EP522" s="399"/>
      <c r="EQ522" s="399"/>
      <c r="ER522" s="399"/>
      <c r="ES522" s="399"/>
      <c r="ET522" s="399"/>
      <c r="EU522" s="399"/>
      <c r="EV522" s="399">
        <v>230</v>
      </c>
      <c r="EW522" s="399"/>
      <c r="EX522" s="399"/>
      <c r="EY522" s="399"/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521</v>
      </c>
      <c r="B523" s="399" t="s">
        <v>956</v>
      </c>
      <c r="C523" s="399" t="s">
        <v>2328</v>
      </c>
      <c r="D523" s="399" t="s">
        <v>2340</v>
      </c>
      <c r="E523" s="399" t="s">
        <v>894</v>
      </c>
      <c r="F523" s="399" t="s">
        <v>2350</v>
      </c>
      <c r="G523" s="399" t="s">
        <v>2348</v>
      </c>
      <c r="H523" s="399" t="s">
        <v>1239</v>
      </c>
      <c r="I523" s="399" t="s">
        <v>1239</v>
      </c>
      <c r="J523" s="399" t="s">
        <v>2329</v>
      </c>
      <c r="K523" s="789">
        <v>44743</v>
      </c>
      <c r="L523" s="399">
        <v>0</v>
      </c>
      <c r="M523" s="399">
        <v>0</v>
      </c>
      <c r="N523" s="399">
        <v>0.104</v>
      </c>
      <c r="O523" s="399">
        <v>0.104</v>
      </c>
      <c r="P523" s="399">
        <v>0.104</v>
      </c>
      <c r="Q523" s="399">
        <v>0.104</v>
      </c>
      <c r="R523" s="399"/>
      <c r="S523" s="399">
        <v>333.61</v>
      </c>
      <c r="T523" s="399">
        <v>128.11000000000001</v>
      </c>
      <c r="U523" s="399"/>
      <c r="V523" s="399">
        <v>48.018879999999996</v>
      </c>
      <c r="W523" s="399">
        <v>48.018879999999996</v>
      </c>
      <c r="X523" s="399">
        <v>41.915119999999995</v>
      </c>
      <c r="Y523" s="399">
        <v>0</v>
      </c>
      <c r="Z523" s="399">
        <v>6.3664692466317065</v>
      </c>
      <c r="AA523" s="399">
        <v>0</v>
      </c>
      <c r="AB523" s="399">
        <v>0</v>
      </c>
      <c r="AC523" s="399">
        <v>0</v>
      </c>
      <c r="AD523" s="399">
        <v>0</v>
      </c>
      <c r="AE523" s="399">
        <v>20.227604619489384</v>
      </c>
      <c r="AF523" s="399">
        <v>13.32354882821903</v>
      </c>
      <c r="AG523" s="399">
        <v>0</v>
      </c>
      <c r="AH523" s="399">
        <v>0</v>
      </c>
      <c r="AI523" s="399">
        <v>0</v>
      </c>
      <c r="AJ523" s="399">
        <v>0</v>
      </c>
      <c r="AK523" s="399">
        <v>0</v>
      </c>
      <c r="AL523" s="399">
        <v>0.98320044296776332</v>
      </c>
      <c r="AM523" s="399"/>
      <c r="AN523" s="399">
        <v>8.9480342251492706E-2</v>
      </c>
      <c r="AO523" s="399">
        <v>0.36150609751533158</v>
      </c>
      <c r="AP523" s="399">
        <v>1.9284341005043297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1.4111105670445367</v>
      </c>
      <c r="BH523" s="399">
        <v>0</v>
      </c>
      <c r="BI523" s="399">
        <v>0</v>
      </c>
      <c r="BJ523" s="399">
        <v>0</v>
      </c>
      <c r="BK523" s="399">
        <v>0</v>
      </c>
      <c r="BL523" s="399">
        <v>0</v>
      </c>
      <c r="BM523" s="399"/>
      <c r="BN523" s="399"/>
      <c r="BO523" s="399"/>
      <c r="BP523" s="399"/>
      <c r="BQ523" s="399"/>
      <c r="BR523" s="399">
        <v>5.030479999999999</v>
      </c>
      <c r="BS523" s="399"/>
      <c r="BT523" s="399"/>
      <c r="BU523" s="399"/>
      <c r="BV523" s="399">
        <v>14.734659395263566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35.466000000000008</v>
      </c>
      <c r="CJ523" s="399">
        <v>-6.8212799999999945</v>
      </c>
      <c r="CK523" s="399"/>
      <c r="CL523" s="399"/>
      <c r="CM523" s="399"/>
      <c r="CN523" s="399"/>
      <c r="CO523" s="399">
        <v>-6.7132000000000005</v>
      </c>
      <c r="CP523" s="399">
        <v>0.60943999999999843</v>
      </c>
      <c r="CQ523" s="399">
        <v>31</v>
      </c>
      <c r="CR523" s="399">
        <v>0.14987615709841151</v>
      </c>
      <c r="CS523" s="399">
        <v>2.6388430458425371E-2</v>
      </c>
      <c r="CT523" s="399">
        <v>0.14076760946655686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0</v>
      </c>
      <c r="DA523" s="399">
        <v>0</v>
      </c>
      <c r="DB523" s="399">
        <v>0</v>
      </c>
      <c r="DC523" s="399">
        <v>0.60938116278468257</v>
      </c>
      <c r="DD523" s="399">
        <v>0</v>
      </c>
      <c r="DE523" s="399">
        <v>0</v>
      </c>
      <c r="DF523" s="399">
        <v>0</v>
      </c>
      <c r="DG523" s="399">
        <v>6.454017688905278E-2</v>
      </c>
      <c r="DH523" s="399">
        <v>0</v>
      </c>
      <c r="DI523" s="399">
        <v>-0.60221185464646965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-7.8505193682330554E-2</v>
      </c>
      <c r="DP523" s="399">
        <v>-1.0484174171503657E-2</v>
      </c>
      <c r="DQ523" s="399">
        <v>0</v>
      </c>
      <c r="DR523" s="399">
        <v>0</v>
      </c>
      <c r="DS523" s="399"/>
      <c r="DT523" s="399"/>
      <c r="DU523" s="399"/>
      <c r="DV523" s="399">
        <v>20.227604619489384</v>
      </c>
      <c r="DW523" s="399">
        <v>0</v>
      </c>
      <c r="DX523" s="399">
        <v>0</v>
      </c>
      <c r="DY523" s="399">
        <v>-6.7132000000000005</v>
      </c>
      <c r="DZ523" s="399">
        <v>0.60943999999999754</v>
      </c>
      <c r="EA523" s="399">
        <v>0</v>
      </c>
      <c r="EB523" s="399">
        <v>0</v>
      </c>
      <c r="EC523" s="399">
        <v>-6.2543940571221217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3.3278455441646897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230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522</v>
      </c>
      <c r="B524" s="399" t="s">
        <v>956</v>
      </c>
      <c r="C524" s="399" t="s">
        <v>2328</v>
      </c>
      <c r="D524" s="399" t="s">
        <v>2340</v>
      </c>
      <c r="E524" s="399" t="s">
        <v>894</v>
      </c>
      <c r="F524" s="399" t="s">
        <v>2350</v>
      </c>
      <c r="G524" s="399" t="s">
        <v>2349</v>
      </c>
      <c r="H524" s="399" t="s">
        <v>1239</v>
      </c>
      <c r="I524" s="399" t="s">
        <v>1239</v>
      </c>
      <c r="J524" s="399" t="s">
        <v>2329</v>
      </c>
      <c r="K524" s="789">
        <v>44743</v>
      </c>
      <c r="L524" s="399">
        <v>0</v>
      </c>
      <c r="M524" s="399">
        <v>0</v>
      </c>
      <c r="N524" s="399">
        <v>0.14799999999999999</v>
      </c>
      <c r="O524" s="399">
        <v>5.9200000000000003E-2</v>
      </c>
      <c r="P524" s="399">
        <v>0.14799999999999999</v>
      </c>
      <c r="Q524" s="399">
        <v>5.9200000000000003E-2</v>
      </c>
      <c r="R524" s="399"/>
      <c r="S524" s="399">
        <v>333.61</v>
      </c>
      <c r="T524" s="399">
        <v>128.11000000000001</v>
      </c>
      <c r="U524" s="399"/>
      <c r="V524" s="399">
        <v>68.334559999999996</v>
      </c>
      <c r="W524" s="399">
        <v>68.334559999999996</v>
      </c>
      <c r="X524" s="399">
        <v>59.648439999999994</v>
      </c>
      <c r="Y524" s="399">
        <v>0</v>
      </c>
      <c r="Z524" s="399">
        <v>9.0599754663605054</v>
      </c>
      <c r="AA524" s="399">
        <v>0</v>
      </c>
      <c r="AB524" s="399">
        <v>0</v>
      </c>
      <c r="AC524" s="399">
        <v>0</v>
      </c>
      <c r="AD524" s="399">
        <v>0</v>
      </c>
      <c r="AE524" s="399">
        <v>28.785437343119508</v>
      </c>
      <c r="AF524" s="399">
        <v>18.960434870927081</v>
      </c>
      <c r="AG524" s="399">
        <v>0</v>
      </c>
      <c r="AH524" s="399">
        <v>0</v>
      </c>
      <c r="AI524" s="399">
        <v>0</v>
      </c>
      <c r="AJ524" s="399">
        <v>0</v>
      </c>
      <c r="AK524" s="399">
        <v>0</v>
      </c>
      <c r="AL524" s="399">
        <v>1.3991698611464325</v>
      </c>
      <c r="AM524" s="399"/>
      <c r="AN524" s="399">
        <v>0.12733741012712424</v>
      </c>
      <c r="AO524" s="399">
        <v>0.51445098492566421</v>
      </c>
      <c r="AP524" s="399">
        <v>2.7443100661023152</v>
      </c>
      <c r="AQ524" s="399">
        <v>0</v>
      </c>
      <c r="AR524" s="399">
        <v>0</v>
      </c>
      <c r="AS524" s="399">
        <v>0</v>
      </c>
      <c r="AT524" s="399">
        <v>0</v>
      </c>
      <c r="AU524" s="399">
        <v>0</v>
      </c>
      <c r="AV524" s="399">
        <v>0</v>
      </c>
      <c r="AW524" s="399">
        <v>0</v>
      </c>
      <c r="AX524" s="399">
        <v>0</v>
      </c>
      <c r="AY524" s="399">
        <v>0</v>
      </c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>
        <v>0</v>
      </c>
      <c r="BG524" s="399">
        <v>2.0081188838710715</v>
      </c>
      <c r="BH524" s="399">
        <v>0</v>
      </c>
      <c r="BI524" s="399">
        <v>0</v>
      </c>
      <c r="BJ524" s="399">
        <v>0</v>
      </c>
      <c r="BK524" s="399">
        <v>0</v>
      </c>
      <c r="BL524" s="399">
        <v>0</v>
      </c>
      <c r="BM524" s="399"/>
      <c r="BN524" s="399"/>
      <c r="BO524" s="399"/>
      <c r="BP524" s="399"/>
      <c r="BQ524" s="399"/>
      <c r="BR524" s="399"/>
      <c r="BS524" s="399">
        <v>38.652567999999995</v>
      </c>
      <c r="BT524" s="399"/>
      <c r="BU524" s="399"/>
      <c r="BV524" s="399">
        <v>20.968553754798151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21.279600000000002</v>
      </c>
      <c r="CJ524" s="399">
        <v>-2.8045440000000035</v>
      </c>
      <c r="CK524" s="399"/>
      <c r="CL524" s="399"/>
      <c r="CM524" s="399"/>
      <c r="CN524" s="399"/>
      <c r="CO524" s="399">
        <v>-9.5534000000000017</v>
      </c>
      <c r="CP524" s="399">
        <v>0.86727999999999772</v>
      </c>
      <c r="CQ524" s="399">
        <v>31</v>
      </c>
      <c r="CR524" s="399">
        <v>0.21328530048620564</v>
      </c>
      <c r="CS524" s="399">
        <v>3.7552766421605321E-2</v>
      </c>
      <c r="CT524" s="399">
        <v>0.20032313654856138</v>
      </c>
      <c r="CU524" s="399">
        <v>0</v>
      </c>
      <c r="CV524" s="399">
        <v>0</v>
      </c>
      <c r="CW524" s="399">
        <v>0</v>
      </c>
      <c r="CX524" s="399">
        <v>0</v>
      </c>
      <c r="CY524" s="399">
        <v>0</v>
      </c>
      <c r="CZ524" s="399">
        <v>0</v>
      </c>
      <c r="DA524" s="399">
        <v>0</v>
      </c>
      <c r="DB524" s="399">
        <v>0</v>
      </c>
      <c r="DC524" s="399">
        <v>0.86719627011666489</v>
      </c>
      <c r="DD524" s="399">
        <v>0</v>
      </c>
      <c r="DE524" s="399">
        <v>0</v>
      </c>
      <c r="DF524" s="399">
        <v>0</v>
      </c>
      <c r="DG524" s="399">
        <v>9.1845636342113846E-2</v>
      </c>
      <c r="DH524" s="399">
        <v>0</v>
      </c>
      <c r="DI524" s="399">
        <v>-0.85699379315074431</v>
      </c>
      <c r="DJ524" s="399"/>
      <c r="DK524" s="399">
        <v>0</v>
      </c>
      <c r="DL524" s="399">
        <v>0</v>
      </c>
      <c r="DM524" s="399">
        <v>0</v>
      </c>
      <c r="DN524" s="399">
        <v>0</v>
      </c>
      <c r="DO524" s="399">
        <v>-0.11171892947100903</v>
      </c>
      <c r="DP524" s="399">
        <v>-1.4919786320985978E-2</v>
      </c>
      <c r="DQ524" s="399">
        <v>0</v>
      </c>
      <c r="DR524" s="399">
        <v>0</v>
      </c>
      <c r="DS524" s="399"/>
      <c r="DT524" s="399"/>
      <c r="DU524" s="399"/>
      <c r="DV524" s="399">
        <v>28.785437343119508</v>
      </c>
      <c r="DW524" s="399">
        <v>0</v>
      </c>
      <c r="DX524" s="399">
        <v>0</v>
      </c>
      <c r="DY524" s="399">
        <v>-9.5534000000000034</v>
      </c>
      <c r="DZ524" s="399">
        <v>0.86727999999999739</v>
      </c>
      <c r="EA524" s="399">
        <v>0</v>
      </c>
      <c r="EB524" s="399">
        <v>0</v>
      </c>
      <c r="EC524" s="399">
        <v>-8.9004838505199437</v>
      </c>
      <c r="ED524" s="399">
        <v>0</v>
      </c>
      <c r="EE524" s="399">
        <v>0</v>
      </c>
      <c r="EF524" s="399">
        <v>0</v>
      </c>
      <c r="EG524" s="399">
        <v>0</v>
      </c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>
        <v>0</v>
      </c>
      <c r="EN524" s="399">
        <v>0</v>
      </c>
      <c r="EO524" s="399">
        <v>0</v>
      </c>
      <c r="EP524" s="399">
        <v>4.735780197465135</v>
      </c>
      <c r="EQ524" s="399">
        <v>0</v>
      </c>
      <c r="ER524" s="399">
        <v>0</v>
      </c>
      <c r="ES524" s="399">
        <v>0</v>
      </c>
      <c r="ET524" s="399">
        <v>0</v>
      </c>
      <c r="EU524" s="399">
        <v>0</v>
      </c>
      <c r="EV524" s="399">
        <v>230</v>
      </c>
      <c r="EW524" s="399">
        <v>0</v>
      </c>
      <c r="EX524" s="399">
        <v>0</v>
      </c>
      <c r="EY524" s="399">
        <v>0</v>
      </c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1580">
        <v>523</v>
      </c>
      <c r="B525" s="1580" t="s">
        <v>2351</v>
      </c>
      <c r="C525" s="1580" t="s">
        <v>2328</v>
      </c>
      <c r="D525" s="1580" t="s">
        <v>1823</v>
      </c>
      <c r="E525" s="1580" t="s">
        <v>889</v>
      </c>
      <c r="F525" s="1580" t="s">
        <v>889</v>
      </c>
      <c r="G525" s="1580" t="s">
        <v>1239</v>
      </c>
      <c r="H525" s="1580" t="s">
        <v>1239</v>
      </c>
      <c r="I525" s="1580" t="s">
        <v>1239</v>
      </c>
      <c r="J525" s="1580" t="s">
        <v>2329</v>
      </c>
      <c r="K525" s="1581">
        <v>44774</v>
      </c>
      <c r="L525" s="1580">
        <v>0</v>
      </c>
      <c r="M525" s="1580">
        <v>0</v>
      </c>
      <c r="N525" s="1580">
        <v>4603.3459999999995</v>
      </c>
      <c r="O525" s="1580">
        <v>4603.3459999999995</v>
      </c>
      <c r="P525" s="1580">
        <v>4603.3459999999995</v>
      </c>
      <c r="Q525" s="1580">
        <v>4603.3459999999995</v>
      </c>
      <c r="R525" s="1580"/>
      <c r="S525" s="1580">
        <v>333.61</v>
      </c>
      <c r="T525" s="1580">
        <v>128.11000000000001</v>
      </c>
      <c r="U525" s="1580"/>
      <c r="V525" s="1580">
        <v>2125456.91512</v>
      </c>
      <c r="W525" s="1580">
        <v>2125456.91512</v>
      </c>
      <c r="X525" s="1580">
        <v>1855286.5383799998</v>
      </c>
      <c r="Y525" s="1580">
        <v>0</v>
      </c>
      <c r="Z525" s="1580">
        <v>281798.66096735653</v>
      </c>
      <c r="AA525" s="1580">
        <v>0</v>
      </c>
      <c r="AB525" s="1580">
        <v>0</v>
      </c>
      <c r="AC525" s="1580">
        <v>0</v>
      </c>
      <c r="AD525" s="1580">
        <v>0</v>
      </c>
      <c r="AE525" s="1580">
        <v>895333.29629526893</v>
      </c>
      <c r="AF525" s="1580">
        <v>589739.4731171804</v>
      </c>
      <c r="AG525" s="1580">
        <v>0</v>
      </c>
      <c r="AH525" s="1580">
        <v>0</v>
      </c>
      <c r="AI525" s="1580">
        <v>0</v>
      </c>
      <c r="AJ525" s="1580">
        <v>0</v>
      </c>
      <c r="AK525" s="1580">
        <v>0</v>
      </c>
      <c r="AL525" s="1580">
        <v>43519.344483979628</v>
      </c>
      <c r="AM525" s="1580"/>
      <c r="AN525" s="1580">
        <v>3960.6632267503842</v>
      </c>
      <c r="AO525" s="1580">
        <v>16001.323538200111</v>
      </c>
      <c r="AP525" s="1580">
        <v>85358.167334809652</v>
      </c>
      <c r="AQ525" s="1580">
        <v>0</v>
      </c>
      <c r="AR525" s="1580">
        <v>0</v>
      </c>
      <c r="AS525" s="1580">
        <v>0</v>
      </c>
      <c r="AT525" s="1580">
        <v>0</v>
      </c>
      <c r="AU525" s="1580">
        <v>0</v>
      </c>
      <c r="AV525" s="1580">
        <v>0</v>
      </c>
      <c r="AW525" s="1580">
        <v>0</v>
      </c>
      <c r="AX525" s="1580">
        <v>0</v>
      </c>
      <c r="AY525" s="1580">
        <v>0</v>
      </c>
      <c r="AZ525" s="1580">
        <v>0</v>
      </c>
      <c r="BA525" s="1580"/>
      <c r="BB525" s="1580">
        <v>0</v>
      </c>
      <c r="BC525" s="1580">
        <v>0</v>
      </c>
      <c r="BD525" s="1580">
        <v>0</v>
      </c>
      <c r="BE525" s="1580">
        <v>0</v>
      </c>
      <c r="BF525" s="1580">
        <v>0</v>
      </c>
      <c r="BG525" s="1580">
        <v>62459.905618867306</v>
      </c>
      <c r="BH525" s="1580">
        <v>0</v>
      </c>
      <c r="BI525" s="1580">
        <v>0</v>
      </c>
      <c r="BJ525" s="1580">
        <v>0</v>
      </c>
      <c r="BK525" s="1580">
        <v>305859.92</v>
      </c>
      <c r="BL525" s="1580">
        <v>20670</v>
      </c>
      <c r="BM525" s="1580"/>
      <c r="BN525" s="1580"/>
      <c r="BO525" s="1580"/>
      <c r="BP525" s="1580"/>
      <c r="BQ525" s="1580"/>
      <c r="BR525" s="1580"/>
      <c r="BS525" s="1580"/>
      <c r="BT525" s="1580"/>
      <c r="BU525" s="1580"/>
      <c r="BV525" s="1580">
        <v>652199.37873604766</v>
      </c>
      <c r="BW525" s="1580"/>
      <c r="BX525" s="1580"/>
      <c r="BY525" s="1580"/>
      <c r="BZ525" s="1580"/>
      <c r="CA525" s="1580"/>
      <c r="CB525" s="1580"/>
      <c r="CC525" s="1580"/>
      <c r="CD525" s="1580"/>
      <c r="CE525" s="1580"/>
      <c r="CF525" s="1580"/>
      <c r="CG525" s="1580"/>
      <c r="CH525" s="1580"/>
      <c r="CI525" s="1580">
        <v>1855288.1505</v>
      </c>
      <c r="CJ525" s="1580">
        <v>-270168.79461999936</v>
      </c>
      <c r="CK525" s="1580"/>
      <c r="CL525" s="1580"/>
      <c r="CM525" s="1580"/>
      <c r="CN525" s="1580"/>
      <c r="CO525" s="1580">
        <v>-297145.98430000001</v>
      </c>
      <c r="CP525" s="1580">
        <v>26975.607559999928</v>
      </c>
      <c r="CQ525" s="1580">
        <v>31</v>
      </c>
      <c r="CR525" s="1580">
        <v>6633.9596949459519</v>
      </c>
      <c r="CS525" s="1580">
        <v>1168.0295749718316</v>
      </c>
      <c r="CT525" s="1580">
        <v>6230.7885766099644</v>
      </c>
      <c r="CU525" s="1580">
        <v>0</v>
      </c>
      <c r="CV525" s="1580">
        <v>0</v>
      </c>
      <c r="CW525" s="1580">
        <v>0</v>
      </c>
      <c r="CX525" s="1580">
        <v>0</v>
      </c>
      <c r="CY525" s="1580">
        <v>0</v>
      </c>
      <c r="CZ525" s="1580">
        <v>0</v>
      </c>
      <c r="DA525" s="1580">
        <v>0</v>
      </c>
      <c r="DB525" s="1580">
        <v>0</v>
      </c>
      <c r="DC525" s="1580">
        <v>26973.003251732793</v>
      </c>
      <c r="DD525" s="1580">
        <v>0</v>
      </c>
      <c r="DE525" s="1580">
        <v>0</v>
      </c>
      <c r="DF525" s="1580">
        <v>0</v>
      </c>
      <c r="DG525" s="1580">
        <v>2856.7381261683986</v>
      </c>
      <c r="DH525" s="1580">
        <v>0</v>
      </c>
      <c r="DI525" s="1580">
        <v>-26655.66857922505</v>
      </c>
      <c r="DJ525" s="1580"/>
      <c r="DK525" s="1580">
        <v>0</v>
      </c>
      <c r="DL525" s="1580">
        <v>0</v>
      </c>
      <c r="DM525" s="1580">
        <v>0</v>
      </c>
      <c r="DN525" s="1580">
        <v>0</v>
      </c>
      <c r="DO525" s="1580">
        <v>-3474.8708588152076</v>
      </c>
      <c r="DP525" s="1580">
        <v>-464.06039649706418</v>
      </c>
      <c r="DQ525" s="1580">
        <v>0</v>
      </c>
      <c r="DR525" s="1580">
        <v>0</v>
      </c>
      <c r="DS525" s="1580"/>
      <c r="DT525" s="1580"/>
      <c r="DU525" s="1580"/>
      <c r="DV525" s="1580">
        <v>895333.29629526893</v>
      </c>
      <c r="DW525" s="1580">
        <v>0</v>
      </c>
      <c r="DX525" s="1580">
        <v>0</v>
      </c>
      <c r="DY525" s="1580">
        <v>-297145.98429999989</v>
      </c>
      <c r="DZ525" s="1580">
        <v>26975.607560000033</v>
      </c>
      <c r="EA525" s="1580">
        <v>0</v>
      </c>
      <c r="EB525" s="1580">
        <v>0</v>
      </c>
      <c r="EC525" s="1580">
        <v>-276837.88331996999</v>
      </c>
      <c r="ED525" s="1580">
        <v>0</v>
      </c>
      <c r="EE525" s="1580">
        <v>0</v>
      </c>
      <c r="EF525" s="1580">
        <v>0</v>
      </c>
      <c r="EG525" s="1580">
        <v>0</v>
      </c>
      <c r="EH525" s="1580">
        <v>0</v>
      </c>
      <c r="EI525" s="1580">
        <v>0</v>
      </c>
      <c r="EJ525" s="1580">
        <v>0</v>
      </c>
      <c r="EK525" s="1580">
        <v>0</v>
      </c>
      <c r="EL525" s="1580">
        <v>0</v>
      </c>
      <c r="EM525" s="1580">
        <v>0</v>
      </c>
      <c r="EN525" s="1580">
        <v>0</v>
      </c>
      <c r="EO525" s="1580">
        <v>0</v>
      </c>
      <c r="EP525" s="1580">
        <v>147300.23533027255</v>
      </c>
      <c r="EQ525" s="1580">
        <v>0</v>
      </c>
      <c r="ER525" s="1580">
        <v>0</v>
      </c>
      <c r="ES525" s="1580">
        <v>0</v>
      </c>
      <c r="ET525" s="1580">
        <v>0</v>
      </c>
      <c r="EU525" s="1580">
        <v>0</v>
      </c>
      <c r="EV525" s="1580">
        <v>230</v>
      </c>
      <c r="EW525" s="1580">
        <v>0</v>
      </c>
      <c r="EX525" s="1580">
        <v>0</v>
      </c>
      <c r="EY525" s="1580">
        <v>0</v>
      </c>
      <c r="EZ525" s="1580"/>
      <c r="FA525" s="1580">
        <v>0</v>
      </c>
      <c r="FB525" s="1580"/>
      <c r="FC525" s="1580"/>
      <c r="FD525" s="1580"/>
      <c r="FE525" s="1580"/>
      <c r="FF525" s="1580">
        <v>0</v>
      </c>
      <c r="FG525" s="1580">
        <v>0</v>
      </c>
      <c r="FH525" s="1580">
        <v>0</v>
      </c>
      <c r="FI525" s="1580">
        <v>0</v>
      </c>
    </row>
    <row r="526" spans="1:165">
      <c r="A526" s="1580">
        <v>524</v>
      </c>
      <c r="B526" s="1580" t="s">
        <v>2351</v>
      </c>
      <c r="C526" s="1580" t="s">
        <v>2328</v>
      </c>
      <c r="D526" s="1580" t="s">
        <v>1823</v>
      </c>
      <c r="E526" s="1580" t="s">
        <v>889</v>
      </c>
      <c r="F526" s="1580" t="s">
        <v>889</v>
      </c>
      <c r="G526" s="1580" t="s">
        <v>1239</v>
      </c>
      <c r="H526" s="1580" t="s">
        <v>1239</v>
      </c>
      <c r="I526" s="1580" t="s">
        <v>1239</v>
      </c>
      <c r="J526" s="1580" t="s">
        <v>2329</v>
      </c>
      <c r="K526" s="1581">
        <v>44774</v>
      </c>
      <c r="L526" s="1580">
        <v>0</v>
      </c>
      <c r="M526" s="1580">
        <v>0</v>
      </c>
      <c r="N526" s="1580">
        <v>-0.36699999999999999</v>
      </c>
      <c r="O526" s="1580">
        <v>-0.36699999999999999</v>
      </c>
      <c r="P526" s="1580">
        <v>-0.36699999999999999</v>
      </c>
      <c r="Q526" s="1580">
        <v>-0.36699999999999999</v>
      </c>
      <c r="R526" s="1580"/>
      <c r="S526" s="1580">
        <v>333.61</v>
      </c>
      <c r="T526" s="1580">
        <v>128.11000000000001</v>
      </c>
      <c r="U526" s="1580"/>
      <c r="V526" s="1580">
        <v>-169.45124000000001</v>
      </c>
      <c r="W526" s="1580">
        <v>-169.45124000000001</v>
      </c>
      <c r="X526" s="1580">
        <v>-147.91201000000001</v>
      </c>
      <c r="Y526" s="1580">
        <v>0</v>
      </c>
      <c r="Z526" s="1580">
        <v>-22.466290514556121</v>
      </c>
      <c r="AA526" s="1580">
        <v>0</v>
      </c>
      <c r="AB526" s="1580">
        <v>0</v>
      </c>
      <c r="AC526" s="1580">
        <v>0</v>
      </c>
      <c r="AD526" s="1580">
        <v>0</v>
      </c>
      <c r="AE526" s="1580">
        <v>-71.380104763005804</v>
      </c>
      <c r="AF526" s="1580">
        <v>-47.016754038042158</v>
      </c>
      <c r="AG526" s="1580">
        <v>0</v>
      </c>
      <c r="AH526" s="1580">
        <v>0</v>
      </c>
      <c r="AI526" s="1580">
        <v>0</v>
      </c>
      <c r="AJ526" s="1580">
        <v>0</v>
      </c>
      <c r="AK526" s="1580">
        <v>0</v>
      </c>
      <c r="AL526" s="1580">
        <v>-3.4695631016266266</v>
      </c>
      <c r="AM526" s="1580"/>
      <c r="AN526" s="1580">
        <v>-0.31576236159901755</v>
      </c>
      <c r="AO526" s="1580">
        <v>-1.2756994018089105</v>
      </c>
      <c r="AP526" s="1580">
        <v>-6.8051472585104715</v>
      </c>
      <c r="AQ526" s="1580">
        <v>0</v>
      </c>
      <c r="AR526" s="1580">
        <v>0</v>
      </c>
      <c r="AS526" s="1580">
        <v>0</v>
      </c>
      <c r="AT526" s="1580">
        <v>0</v>
      </c>
      <c r="AU526" s="1580">
        <v>0</v>
      </c>
      <c r="AV526" s="1580">
        <v>0</v>
      </c>
      <c r="AW526" s="1580">
        <v>0</v>
      </c>
      <c r="AX526" s="1580">
        <v>0</v>
      </c>
      <c r="AY526" s="1580">
        <v>0</v>
      </c>
      <c r="AZ526" s="1580">
        <v>0</v>
      </c>
      <c r="BA526" s="1580"/>
      <c r="BB526" s="1580">
        <v>0</v>
      </c>
      <c r="BC526" s="1580">
        <v>0</v>
      </c>
      <c r="BD526" s="1580">
        <v>0</v>
      </c>
      <c r="BE526" s="1580">
        <v>0</v>
      </c>
      <c r="BF526" s="1580">
        <v>0</v>
      </c>
      <c r="BG526" s="1580">
        <v>-4.9795920971667789</v>
      </c>
      <c r="BH526" s="1580">
        <v>0</v>
      </c>
      <c r="BI526" s="1580">
        <v>0</v>
      </c>
      <c r="BJ526" s="1580">
        <v>0</v>
      </c>
      <c r="BK526" s="1580">
        <v>-51.89</v>
      </c>
      <c r="BL526" s="1580">
        <v>0</v>
      </c>
      <c r="BM526" s="1580"/>
      <c r="BN526" s="1580"/>
      <c r="BO526" s="1580"/>
      <c r="BP526" s="1580"/>
      <c r="BQ526" s="1580"/>
      <c r="BR526" s="1580"/>
      <c r="BS526" s="1580"/>
      <c r="BT526" s="1580"/>
      <c r="BU526" s="1580"/>
      <c r="BV526" s="1580">
        <v>-51.996346135208938</v>
      </c>
      <c r="BW526" s="1580"/>
      <c r="BX526" s="1580"/>
      <c r="BY526" s="1580"/>
      <c r="BZ526" s="1580"/>
      <c r="CA526" s="1580"/>
      <c r="CB526" s="1580"/>
      <c r="CC526" s="1580"/>
      <c r="CD526" s="1580"/>
      <c r="CE526" s="1580"/>
      <c r="CF526" s="1580"/>
      <c r="CG526" s="1580"/>
      <c r="CH526" s="1580"/>
      <c r="CI526" s="1580">
        <v>-149.12110000000001</v>
      </c>
      <c r="CJ526" s="1580">
        <v>20.300139999999999</v>
      </c>
      <c r="CK526" s="1580"/>
      <c r="CL526" s="1580"/>
      <c r="CM526" s="1580"/>
      <c r="CN526" s="1580"/>
      <c r="CO526" s="1580">
        <v>23.689850000000003</v>
      </c>
      <c r="CP526" s="1580">
        <v>-2.1506199999999946</v>
      </c>
      <c r="CQ526" s="1580">
        <v>31</v>
      </c>
      <c r="CR526" s="1580">
        <v>-0.52888990052998963</v>
      </c>
      <c r="CS526" s="1580">
        <v>-9.3120711329250927E-2</v>
      </c>
      <c r="CT526" s="1580">
        <v>-0.49674723725217618</v>
      </c>
      <c r="CU526" s="1580">
        <v>0</v>
      </c>
      <c r="CV526" s="1580">
        <v>0</v>
      </c>
      <c r="CW526" s="1580">
        <v>0</v>
      </c>
      <c r="CX526" s="1580">
        <v>0</v>
      </c>
      <c r="CY526" s="1580">
        <v>0</v>
      </c>
      <c r="CZ526" s="1580">
        <v>0</v>
      </c>
      <c r="DA526" s="1580">
        <v>0</v>
      </c>
      <c r="DB526" s="1580">
        <v>0</v>
      </c>
      <c r="DC526" s="1580">
        <v>-2.1504123725190212</v>
      </c>
      <c r="DD526" s="1580">
        <v>0</v>
      </c>
      <c r="DE526" s="1580">
        <v>0</v>
      </c>
      <c r="DF526" s="1580">
        <v>0</v>
      </c>
      <c r="DG526" s="1580">
        <v>-0.22775235498348412</v>
      </c>
      <c r="DH526" s="1580">
        <v>0</v>
      </c>
      <c r="DI526" s="1580">
        <v>2.1251129870697554</v>
      </c>
      <c r="DJ526" s="1580"/>
      <c r="DK526" s="1580">
        <v>0</v>
      </c>
      <c r="DL526" s="1580">
        <v>0</v>
      </c>
      <c r="DM526" s="1580">
        <v>0</v>
      </c>
      <c r="DN526" s="1580">
        <v>0</v>
      </c>
      <c r="DO526" s="1580">
        <v>0.27703275078283962</v>
      </c>
      <c r="DP526" s="1580">
        <v>3.6997037701363866E-2</v>
      </c>
      <c r="DQ526" s="1580">
        <v>0</v>
      </c>
      <c r="DR526" s="1580">
        <v>0</v>
      </c>
      <c r="DS526" s="1580"/>
      <c r="DT526" s="1580"/>
      <c r="DU526" s="1580"/>
      <c r="DV526" s="1580">
        <v>-71.380104763005804</v>
      </c>
      <c r="DW526" s="1580">
        <v>0</v>
      </c>
      <c r="DX526" s="1580">
        <v>0</v>
      </c>
      <c r="DY526" s="1580">
        <v>23.689850000000007</v>
      </c>
      <c r="DZ526" s="1580">
        <v>-2.1506199999999964</v>
      </c>
      <c r="EA526" s="1580">
        <v>0</v>
      </c>
      <c r="EB526" s="1580">
        <v>0</v>
      </c>
      <c r="EC526" s="1580">
        <v>22.070794413113639</v>
      </c>
      <c r="ED526" s="1580">
        <v>0</v>
      </c>
      <c r="EE526" s="1580">
        <v>0</v>
      </c>
      <c r="EF526" s="1580">
        <v>0</v>
      </c>
      <c r="EG526" s="1580">
        <v>0</v>
      </c>
      <c r="EH526" s="1580">
        <v>0</v>
      </c>
      <c r="EI526" s="1580">
        <v>0</v>
      </c>
      <c r="EJ526" s="1580">
        <v>0</v>
      </c>
      <c r="EK526" s="1580">
        <v>0</v>
      </c>
      <c r="EL526" s="1580">
        <v>0</v>
      </c>
      <c r="EM526" s="1580">
        <v>0</v>
      </c>
      <c r="EN526" s="1580">
        <v>0</v>
      </c>
      <c r="EO526" s="1580">
        <v>0</v>
      </c>
      <c r="EP526" s="1580">
        <v>-11.743454949119625</v>
      </c>
      <c r="EQ526" s="1580">
        <v>0</v>
      </c>
      <c r="ER526" s="1580">
        <v>0</v>
      </c>
      <c r="ES526" s="1580">
        <v>0</v>
      </c>
      <c r="ET526" s="1580">
        <v>0</v>
      </c>
      <c r="EU526" s="1580">
        <v>0</v>
      </c>
      <c r="EV526" s="1580">
        <v>230</v>
      </c>
      <c r="EW526" s="1580">
        <v>0</v>
      </c>
      <c r="EX526" s="1580">
        <v>0</v>
      </c>
      <c r="EY526" s="1580">
        <v>0</v>
      </c>
      <c r="EZ526" s="1580"/>
      <c r="FA526" s="1580">
        <v>0</v>
      </c>
      <c r="FB526" s="1580"/>
      <c r="FC526" s="1580"/>
      <c r="FD526" s="1580"/>
      <c r="FE526" s="1580"/>
      <c r="FF526" s="1580">
        <v>0</v>
      </c>
      <c r="FG526" s="1580">
        <v>0</v>
      </c>
      <c r="FH526" s="1580">
        <v>0</v>
      </c>
      <c r="FI526" s="1580">
        <v>0</v>
      </c>
    </row>
    <row r="527" spans="1:165">
      <c r="A527" s="1580">
        <v>525</v>
      </c>
      <c r="B527" s="1580" t="s">
        <v>2351</v>
      </c>
      <c r="C527" s="1580" t="s">
        <v>2328</v>
      </c>
      <c r="D527" s="1580" t="s">
        <v>1823</v>
      </c>
      <c r="E527" s="1580" t="s">
        <v>889</v>
      </c>
      <c r="F527" s="1580" t="s">
        <v>889</v>
      </c>
      <c r="G527" s="1580" t="s">
        <v>1239</v>
      </c>
      <c r="H527" s="1580" t="s">
        <v>1239</v>
      </c>
      <c r="I527" s="1580" t="s">
        <v>1239</v>
      </c>
      <c r="J527" s="1580" t="s">
        <v>2329</v>
      </c>
      <c r="K527" s="1581">
        <v>44774</v>
      </c>
      <c r="L527" s="1580">
        <v>0</v>
      </c>
      <c r="M527" s="1580">
        <v>0</v>
      </c>
      <c r="N527" s="1580">
        <v>39.75</v>
      </c>
      <c r="O527" s="1580">
        <v>39.75</v>
      </c>
      <c r="P527" s="1580">
        <v>39.75</v>
      </c>
      <c r="Q527" s="1580">
        <v>39.75</v>
      </c>
      <c r="R527" s="1580"/>
      <c r="S527" s="1580">
        <v>333.61</v>
      </c>
      <c r="T527" s="1580">
        <v>128.11000000000001</v>
      </c>
      <c r="U527" s="1580"/>
      <c r="V527" s="1580">
        <v>18353.370000000003</v>
      </c>
      <c r="W527" s="1580">
        <v>18353.370000000003</v>
      </c>
      <c r="X527" s="1580">
        <v>16020.442500000001</v>
      </c>
      <c r="Y527" s="1580">
        <v>0</v>
      </c>
      <c r="Z527" s="1580">
        <v>2433.3380053231767</v>
      </c>
      <c r="AA527" s="1580">
        <v>0</v>
      </c>
      <c r="AB527" s="1580">
        <v>0</v>
      </c>
      <c r="AC527" s="1580">
        <v>0</v>
      </c>
      <c r="AD527" s="1580">
        <v>0</v>
      </c>
      <c r="AE527" s="1580">
        <v>7731.2238810067602</v>
      </c>
      <c r="AF527" s="1580">
        <v>5092.4140954010236</v>
      </c>
      <c r="AG527" s="1580">
        <v>0</v>
      </c>
      <c r="AH527" s="1580">
        <v>0</v>
      </c>
      <c r="AI527" s="1580">
        <v>0</v>
      </c>
      <c r="AJ527" s="1580">
        <v>0</v>
      </c>
      <c r="AK527" s="1580">
        <v>0</v>
      </c>
      <c r="AL527" s="1580">
        <v>375.79055392277496</v>
      </c>
      <c r="AM527" s="1580"/>
      <c r="AN527" s="1580">
        <v>34.200419274008034</v>
      </c>
      <c r="AO527" s="1580">
        <v>138.17180169456185</v>
      </c>
      <c r="AP527" s="1580">
        <v>737.06976437545291</v>
      </c>
      <c r="AQ527" s="1580">
        <v>0</v>
      </c>
      <c r="AR527" s="1580">
        <v>0</v>
      </c>
      <c r="AS527" s="1580">
        <v>0</v>
      </c>
      <c r="AT527" s="1580">
        <v>0</v>
      </c>
      <c r="AU527" s="1580">
        <v>0</v>
      </c>
      <c r="AV527" s="1580">
        <v>0</v>
      </c>
      <c r="AW527" s="1580">
        <v>0</v>
      </c>
      <c r="AX527" s="1580">
        <v>0</v>
      </c>
      <c r="AY527" s="1580">
        <v>0</v>
      </c>
      <c r="AZ527" s="1580">
        <v>0</v>
      </c>
      <c r="BA527" s="1580"/>
      <c r="BB527" s="1580">
        <v>0</v>
      </c>
      <c r="BC527" s="1580">
        <v>0</v>
      </c>
      <c r="BD527" s="1580">
        <v>0</v>
      </c>
      <c r="BE527" s="1580">
        <v>0</v>
      </c>
      <c r="BF527" s="1580">
        <v>0</v>
      </c>
      <c r="BG527" s="1580">
        <v>539.34274076942631</v>
      </c>
      <c r="BH527" s="1580">
        <v>0</v>
      </c>
      <c r="BI527" s="1580">
        <v>0</v>
      </c>
      <c r="BJ527" s="1580">
        <v>0</v>
      </c>
      <c r="BK527" s="1580">
        <v>4945.71</v>
      </c>
      <c r="BL527" s="1580">
        <v>92</v>
      </c>
      <c r="BM527" s="1580"/>
      <c r="BN527" s="1580"/>
      <c r="BO527" s="1580"/>
      <c r="BP527" s="1580"/>
      <c r="BQ527" s="1580"/>
      <c r="BR527" s="1580"/>
      <c r="BS527" s="1580"/>
      <c r="BT527" s="1580"/>
      <c r="BU527" s="1580"/>
      <c r="BV527" s="1580">
        <v>5631.7568361704498</v>
      </c>
      <c r="BW527" s="1580"/>
      <c r="BX527" s="1580"/>
      <c r="BY527" s="1580"/>
      <c r="BZ527" s="1580"/>
      <c r="CA527" s="1580"/>
      <c r="CB527" s="1580"/>
      <c r="CC527" s="1580"/>
      <c r="CD527" s="1580"/>
      <c r="CE527" s="1580"/>
      <c r="CF527" s="1580"/>
      <c r="CG527" s="1580"/>
      <c r="CH527" s="1580"/>
      <c r="CI527" s="1580">
        <v>16020.442500000001</v>
      </c>
      <c r="CJ527" s="1580">
        <v>-2332.9575000000004</v>
      </c>
      <c r="CK527" s="1580"/>
      <c r="CL527" s="1580"/>
      <c r="CM527" s="1580"/>
      <c r="CN527" s="1580"/>
      <c r="CO527" s="1580">
        <v>-2565.8625000000006</v>
      </c>
      <c r="CP527" s="1580">
        <v>232.93499999999941</v>
      </c>
      <c r="CQ527" s="1580">
        <v>31</v>
      </c>
      <c r="CR527" s="1580">
        <v>57.284396583287162</v>
      </c>
      <c r="CS527" s="1580">
        <v>10.085962603100057</v>
      </c>
      <c r="CT527" s="1580">
        <v>53.803004579765684</v>
      </c>
      <c r="CU527" s="1580">
        <v>0</v>
      </c>
      <c r="CV527" s="1580">
        <v>0</v>
      </c>
      <c r="CW527" s="1580">
        <v>0</v>
      </c>
      <c r="CX527" s="1580">
        <v>0</v>
      </c>
      <c r="CY527" s="1580">
        <v>0</v>
      </c>
      <c r="CZ527" s="1580">
        <v>0</v>
      </c>
      <c r="DA527" s="1580">
        <v>0</v>
      </c>
      <c r="DB527" s="1580">
        <v>0</v>
      </c>
      <c r="DC527" s="1580">
        <v>232.91251173741512</v>
      </c>
      <c r="DD527" s="1580">
        <v>0</v>
      </c>
      <c r="DE527" s="1580">
        <v>0</v>
      </c>
      <c r="DF527" s="1580">
        <v>0</v>
      </c>
      <c r="DG527" s="1580">
        <v>24.668000301344705</v>
      </c>
      <c r="DH527" s="1580">
        <v>0</v>
      </c>
      <c r="DI527" s="1580">
        <v>-230.17231944420382</v>
      </c>
      <c r="DJ527" s="1580"/>
      <c r="DK527" s="1580">
        <v>0</v>
      </c>
      <c r="DL527" s="1580">
        <v>0</v>
      </c>
      <c r="DM527" s="1580">
        <v>0</v>
      </c>
      <c r="DN527" s="1580">
        <v>0</v>
      </c>
      <c r="DO527" s="1580">
        <v>-30.005590854544607</v>
      </c>
      <c r="DP527" s="1580">
        <v>-4.0071723395891397</v>
      </c>
      <c r="DQ527" s="1580">
        <v>0</v>
      </c>
      <c r="DR527" s="1580">
        <v>0</v>
      </c>
      <c r="DS527" s="1580"/>
      <c r="DT527" s="1580"/>
      <c r="DU527" s="1580"/>
      <c r="DV527" s="1580">
        <v>7731.2238810067602</v>
      </c>
      <c r="DW527" s="1580">
        <v>0</v>
      </c>
      <c r="DX527" s="1580">
        <v>0</v>
      </c>
      <c r="DY527" s="1580">
        <v>-2565.8625000000011</v>
      </c>
      <c r="DZ527" s="1580">
        <v>232.93499999999949</v>
      </c>
      <c r="EA527" s="1580">
        <v>0</v>
      </c>
      <c r="EB527" s="1580">
        <v>0</v>
      </c>
      <c r="EC527" s="1580">
        <v>-2390.5015747173493</v>
      </c>
      <c r="ED527" s="1580">
        <v>0</v>
      </c>
      <c r="EE527" s="1580">
        <v>0</v>
      </c>
      <c r="EF527" s="1580">
        <v>0</v>
      </c>
      <c r="EG527" s="1580">
        <v>0</v>
      </c>
      <c r="EH527" s="1580">
        <v>0</v>
      </c>
      <c r="EI527" s="1580">
        <v>0</v>
      </c>
      <c r="EJ527" s="1580">
        <v>0</v>
      </c>
      <c r="EK527" s="1580">
        <v>0</v>
      </c>
      <c r="EL527" s="1580">
        <v>0</v>
      </c>
      <c r="EM527" s="1580">
        <v>0</v>
      </c>
      <c r="EN527" s="1580">
        <v>0</v>
      </c>
      <c r="EO527" s="1580">
        <v>0</v>
      </c>
      <c r="EP527" s="1580">
        <v>1271.9409651975616</v>
      </c>
      <c r="EQ527" s="1580">
        <v>0</v>
      </c>
      <c r="ER527" s="1580">
        <v>0</v>
      </c>
      <c r="ES527" s="1580">
        <v>0</v>
      </c>
      <c r="ET527" s="1580">
        <v>0</v>
      </c>
      <c r="EU527" s="1580">
        <v>0</v>
      </c>
      <c r="EV527" s="1580">
        <v>230</v>
      </c>
      <c r="EW527" s="1580">
        <v>0</v>
      </c>
      <c r="EX527" s="1580">
        <v>0</v>
      </c>
      <c r="EY527" s="1580">
        <v>0</v>
      </c>
      <c r="EZ527" s="1580"/>
      <c r="FA527" s="1580">
        <v>0</v>
      </c>
      <c r="FB527" s="1580"/>
      <c r="FC527" s="1580"/>
      <c r="FD527" s="1580"/>
      <c r="FE527" s="1580"/>
      <c r="FF527" s="1580">
        <v>0</v>
      </c>
      <c r="FG527" s="1580">
        <v>0</v>
      </c>
      <c r="FH527" s="1580">
        <v>0</v>
      </c>
      <c r="FI527" s="1580">
        <v>0</v>
      </c>
    </row>
    <row r="528" spans="1:165">
      <c r="A528" s="1580">
        <v>526</v>
      </c>
      <c r="B528" s="1580" t="s">
        <v>2351</v>
      </c>
      <c r="C528" s="1580" t="s">
        <v>2328</v>
      </c>
      <c r="D528" s="1580" t="s">
        <v>1823</v>
      </c>
      <c r="E528" s="1580" t="s">
        <v>889</v>
      </c>
      <c r="F528" s="1580" t="s">
        <v>2332</v>
      </c>
      <c r="G528" s="1580" t="s">
        <v>1239</v>
      </c>
      <c r="H528" s="1580" t="s">
        <v>1239</v>
      </c>
      <c r="I528" s="1580" t="s">
        <v>1239</v>
      </c>
      <c r="J528" s="1580" t="s">
        <v>2329</v>
      </c>
      <c r="K528" s="1581">
        <v>44774</v>
      </c>
      <c r="L528" s="1580">
        <v>0</v>
      </c>
      <c r="M528" s="1580">
        <v>0</v>
      </c>
      <c r="N528" s="1580">
        <v>21.09</v>
      </c>
      <c r="O528" s="1580">
        <v>21.09</v>
      </c>
      <c r="P528" s="1580">
        <v>21.09</v>
      </c>
      <c r="Q528" s="1580">
        <v>21.09</v>
      </c>
      <c r="R528" s="1580"/>
      <c r="S528" s="1580">
        <v>230.94</v>
      </c>
      <c r="T528" s="1580">
        <v>128.11000000000001</v>
      </c>
      <c r="U528" s="1580"/>
      <c r="V528" s="1580">
        <v>7572.3644999999997</v>
      </c>
      <c r="W528" s="1580">
        <v>7572.3644999999997</v>
      </c>
      <c r="X528" s="1580">
        <v>6472.5209999999997</v>
      </c>
      <c r="Y528" s="1580">
        <v>0</v>
      </c>
      <c r="Z528" s="1580">
        <v>0</v>
      </c>
      <c r="AA528" s="1580">
        <v>0</v>
      </c>
      <c r="AB528" s="1580">
        <v>0</v>
      </c>
      <c r="AC528" s="1580">
        <v>0</v>
      </c>
      <c r="AD528" s="1580">
        <v>0</v>
      </c>
      <c r="AE528" s="1580">
        <v>4101.9248213945302</v>
      </c>
      <c r="AF528" s="1580">
        <v>2701.8619691071094</v>
      </c>
      <c r="AG528" s="1580">
        <v>0</v>
      </c>
      <c r="AH528" s="1580">
        <v>0</v>
      </c>
      <c r="AI528" s="1580">
        <v>0</v>
      </c>
      <c r="AJ528" s="1580">
        <v>0</v>
      </c>
      <c r="AK528" s="1580">
        <v>0</v>
      </c>
      <c r="AL528" s="1580">
        <v>0</v>
      </c>
      <c r="AM528" s="1580"/>
      <c r="AN528" s="1580">
        <v>18.145580943115206</v>
      </c>
      <c r="AO528" s="1580">
        <v>73.309265351907143</v>
      </c>
      <c r="AP528" s="1580">
        <v>391.06418441957993</v>
      </c>
      <c r="AQ528" s="1580">
        <v>0</v>
      </c>
      <c r="AR528" s="1580">
        <v>0</v>
      </c>
      <c r="AS528" s="1580">
        <v>0</v>
      </c>
      <c r="AT528" s="1580">
        <v>0</v>
      </c>
      <c r="AU528" s="1580">
        <v>0</v>
      </c>
      <c r="AV528" s="1580">
        <v>0</v>
      </c>
      <c r="AW528" s="1580">
        <v>0</v>
      </c>
      <c r="AX528" s="1580">
        <v>0</v>
      </c>
      <c r="AY528" s="1580">
        <v>0</v>
      </c>
      <c r="AZ528" s="1580">
        <v>0</v>
      </c>
      <c r="BA528" s="1580"/>
      <c r="BB528" s="1580">
        <v>0</v>
      </c>
      <c r="BC528" s="1580">
        <v>0</v>
      </c>
      <c r="BD528" s="1580">
        <v>0</v>
      </c>
      <c r="BE528" s="1580">
        <v>0</v>
      </c>
      <c r="BF528" s="1580">
        <v>0</v>
      </c>
      <c r="BG528" s="1580">
        <v>286.15694095162769</v>
      </c>
      <c r="BH528" s="1580">
        <v>0</v>
      </c>
      <c r="BI528" s="1580">
        <v>0</v>
      </c>
      <c r="BJ528" s="1580">
        <v>0</v>
      </c>
      <c r="BK528" s="1580">
        <v>309.32</v>
      </c>
      <c r="BL528" s="1580">
        <v>21</v>
      </c>
      <c r="BM528" s="1580"/>
      <c r="BN528" s="1580"/>
      <c r="BO528" s="1580"/>
      <c r="BP528" s="1580"/>
      <c r="BQ528" s="1580"/>
      <c r="BR528" s="1580"/>
      <c r="BS528" s="1580"/>
      <c r="BT528" s="1580">
        <v>4207.0331999999999</v>
      </c>
      <c r="BU528" s="1580"/>
      <c r="BV528" s="1580">
        <v>2988.0189100587372</v>
      </c>
      <c r="BW528" s="1580"/>
      <c r="BX528" s="1580"/>
      <c r="BY528" s="1580"/>
      <c r="BZ528" s="1580"/>
      <c r="CA528" s="1580"/>
      <c r="CB528" s="1580"/>
      <c r="CC528" s="1580"/>
      <c r="CD528" s="1580"/>
      <c r="CE528" s="1580"/>
      <c r="CF528" s="1580"/>
      <c r="CG528" s="1580"/>
      <c r="CH528" s="1580"/>
      <c r="CI528" s="1580">
        <v>2265.4877999999999</v>
      </c>
      <c r="CJ528" s="1580">
        <v>-384.92250000000058</v>
      </c>
      <c r="CK528" s="1580"/>
      <c r="CL528" s="1580"/>
      <c r="CM528" s="1580"/>
      <c r="CN528" s="1580"/>
      <c r="CO528" s="1580">
        <v>-1223.4308999999998</v>
      </c>
      <c r="CP528" s="1580">
        <v>123.58739999999969</v>
      </c>
      <c r="CQ528" s="1580">
        <v>31</v>
      </c>
      <c r="CR528" s="1580">
        <v>168.43471829288364</v>
      </c>
      <c r="CS528" s="1580">
        <v>5.3512692150787586</v>
      </c>
      <c r="CT528" s="1580">
        <v>28.546046958170052</v>
      </c>
      <c r="CU528" s="1580">
        <v>0</v>
      </c>
      <c r="CV528" s="1580">
        <v>0</v>
      </c>
      <c r="CW528" s="1580">
        <v>0</v>
      </c>
      <c r="CX528" s="1580">
        <v>0</v>
      </c>
      <c r="CY528" s="1580">
        <v>0</v>
      </c>
      <c r="CZ528" s="1580">
        <v>0</v>
      </c>
      <c r="DA528" s="1580">
        <v>0</v>
      </c>
      <c r="DB528" s="1580">
        <v>0</v>
      </c>
      <c r="DC528" s="1580">
        <v>123.57546849162418</v>
      </c>
      <c r="DD528" s="1580">
        <v>0</v>
      </c>
      <c r="DE528" s="1580">
        <v>0</v>
      </c>
      <c r="DF528" s="1580">
        <v>0</v>
      </c>
      <c r="DG528" s="1580">
        <v>13.088003178751194</v>
      </c>
      <c r="DH528" s="1580">
        <v>0</v>
      </c>
      <c r="DI528" s="1580">
        <v>0</v>
      </c>
      <c r="DJ528" s="1580"/>
      <c r="DK528" s="1580">
        <v>0</v>
      </c>
      <c r="DL528" s="1580">
        <v>0</v>
      </c>
      <c r="DM528" s="1580">
        <v>0</v>
      </c>
      <c r="DN528" s="1580">
        <v>0</v>
      </c>
      <c r="DO528" s="1580">
        <v>0</v>
      </c>
      <c r="DP528" s="1580">
        <v>-2.1260695507405032</v>
      </c>
      <c r="DQ528" s="1580">
        <v>0</v>
      </c>
      <c r="DR528" s="1580">
        <v>0</v>
      </c>
      <c r="DS528" s="1580"/>
      <c r="DT528" s="1580"/>
      <c r="DU528" s="1580"/>
      <c r="DV528" s="1580">
        <v>4101.9248213945302</v>
      </c>
      <c r="DW528" s="1580">
        <v>0</v>
      </c>
      <c r="DX528" s="1580">
        <v>0</v>
      </c>
      <c r="DY528" s="1580">
        <v>-1223.4308999999998</v>
      </c>
      <c r="DZ528" s="1580">
        <v>123.58739999999943</v>
      </c>
      <c r="EA528" s="1580">
        <v>0</v>
      </c>
      <c r="EB528" s="1580">
        <v>0</v>
      </c>
      <c r="EC528" s="1580">
        <v>-1268.3189486990918</v>
      </c>
      <c r="ED528" s="1580">
        <v>0</v>
      </c>
      <c r="EE528" s="1580">
        <v>0</v>
      </c>
      <c r="EF528" s="1580">
        <v>0</v>
      </c>
      <c r="EG528" s="1580">
        <v>0</v>
      </c>
      <c r="EH528" s="1580">
        <v>0</v>
      </c>
      <c r="EI528" s="1580">
        <v>0</v>
      </c>
      <c r="EJ528" s="1580">
        <v>0</v>
      </c>
      <c r="EK528" s="1580">
        <v>0</v>
      </c>
      <c r="EL528" s="1580">
        <v>0</v>
      </c>
      <c r="EM528" s="1580">
        <v>0</v>
      </c>
      <c r="EN528" s="1580">
        <v>0</v>
      </c>
      <c r="EO528" s="1580">
        <v>0</v>
      </c>
      <c r="EP528" s="1580">
        <v>0</v>
      </c>
      <c r="EQ528" s="1580">
        <v>0</v>
      </c>
      <c r="ER528" s="1580">
        <v>0</v>
      </c>
      <c r="ES528" s="1580">
        <v>0</v>
      </c>
      <c r="ET528" s="1580">
        <v>0</v>
      </c>
      <c r="EU528" s="1580">
        <v>0</v>
      </c>
      <c r="EV528" s="1580">
        <v>230</v>
      </c>
      <c r="EW528" s="1580">
        <v>0</v>
      </c>
      <c r="EX528" s="1580">
        <v>0</v>
      </c>
      <c r="EY528" s="1580">
        <v>0</v>
      </c>
      <c r="EZ528" s="1580"/>
      <c r="FA528" s="1580">
        <v>0</v>
      </c>
      <c r="FB528" s="1580"/>
      <c r="FC528" s="1580"/>
      <c r="FD528" s="1580"/>
      <c r="FE528" s="1580"/>
      <c r="FF528" s="1580">
        <v>0</v>
      </c>
      <c r="FG528" s="1580">
        <v>0</v>
      </c>
      <c r="FH528" s="1580">
        <v>0</v>
      </c>
      <c r="FI528" s="1580">
        <v>0</v>
      </c>
    </row>
    <row r="529" spans="1:165">
      <c r="A529" s="1580">
        <v>527</v>
      </c>
      <c r="B529" s="1580" t="s">
        <v>2351</v>
      </c>
      <c r="C529" s="1580" t="s">
        <v>2328</v>
      </c>
      <c r="D529" s="1580" t="s">
        <v>1823</v>
      </c>
      <c r="E529" s="1580" t="s">
        <v>889</v>
      </c>
      <c r="F529" s="1580" t="s">
        <v>2333</v>
      </c>
      <c r="G529" s="1580" t="s">
        <v>1239</v>
      </c>
      <c r="H529" s="1580" t="s">
        <v>1239</v>
      </c>
      <c r="I529" s="1580" t="s">
        <v>1239</v>
      </c>
      <c r="J529" s="1580" t="s">
        <v>2329</v>
      </c>
      <c r="K529" s="1581">
        <v>44774</v>
      </c>
      <c r="L529" s="1580">
        <v>0</v>
      </c>
      <c r="M529" s="1580">
        <v>0</v>
      </c>
      <c r="N529" s="1580">
        <v>44.747999999999998</v>
      </c>
      <c r="O529" s="1580">
        <v>44.747999999999998</v>
      </c>
      <c r="P529" s="1580">
        <v>44.747999999999998</v>
      </c>
      <c r="Q529" s="1580">
        <v>44.747999999999998</v>
      </c>
      <c r="R529" s="1580"/>
      <c r="S529" s="1580">
        <v>230.94</v>
      </c>
      <c r="T529" s="1580">
        <v>128.11000000000001</v>
      </c>
      <c r="U529" s="1580"/>
      <c r="V529" s="1580">
        <v>16066.769400000001</v>
      </c>
      <c r="W529" s="1580">
        <v>16066.769400000001</v>
      </c>
      <c r="X529" s="1580">
        <v>13733.161199999999</v>
      </c>
      <c r="Y529" s="1580">
        <v>0</v>
      </c>
      <c r="Z529" s="1580">
        <v>0</v>
      </c>
      <c r="AA529" s="1580">
        <v>0</v>
      </c>
      <c r="AB529" s="1580">
        <v>0</v>
      </c>
      <c r="AC529" s="1580">
        <v>0</v>
      </c>
      <c r="AD529" s="1580">
        <v>0</v>
      </c>
      <c r="AE529" s="1580">
        <v>8703.3158799318353</v>
      </c>
      <c r="AF529" s="1580">
        <v>5732.713105434088</v>
      </c>
      <c r="AG529" s="1580">
        <v>0</v>
      </c>
      <c r="AH529" s="1580">
        <v>0</v>
      </c>
      <c r="AI529" s="1580">
        <v>0</v>
      </c>
      <c r="AJ529" s="1580">
        <v>0</v>
      </c>
      <c r="AK529" s="1580">
        <v>0</v>
      </c>
      <c r="AL529" s="1580">
        <v>0</v>
      </c>
      <c r="AM529" s="1580"/>
      <c r="AN529" s="1580">
        <v>38.500638029517269</v>
      </c>
      <c r="AO529" s="1580">
        <v>155.54495049630825</v>
      </c>
      <c r="AP529" s="1580">
        <v>829.74585701315141</v>
      </c>
      <c r="AQ529" s="1580">
        <v>0</v>
      </c>
      <c r="AR529" s="1580">
        <v>0</v>
      </c>
      <c r="AS529" s="1580">
        <v>0</v>
      </c>
      <c r="AT529" s="1580">
        <v>0</v>
      </c>
      <c r="AU529" s="1580">
        <v>0</v>
      </c>
      <c r="AV529" s="1580">
        <v>0</v>
      </c>
      <c r="AW529" s="1580">
        <v>0</v>
      </c>
      <c r="AX529" s="1580">
        <v>0</v>
      </c>
      <c r="AY529" s="1580">
        <v>0</v>
      </c>
      <c r="AZ529" s="1580">
        <v>0</v>
      </c>
      <c r="BA529" s="1580"/>
      <c r="BB529" s="1580">
        <v>0</v>
      </c>
      <c r="BC529" s="1580">
        <v>0</v>
      </c>
      <c r="BD529" s="1580">
        <v>0</v>
      </c>
      <c r="BE529" s="1580">
        <v>0</v>
      </c>
      <c r="BF529" s="1580">
        <v>0</v>
      </c>
      <c r="BG529" s="1580">
        <v>607.15745821258588</v>
      </c>
      <c r="BH529" s="1580">
        <v>0</v>
      </c>
      <c r="BI529" s="1580">
        <v>0</v>
      </c>
      <c r="BJ529" s="1580">
        <v>0</v>
      </c>
      <c r="BK529" s="1580">
        <v>1124.94</v>
      </c>
      <c r="BL529" s="1580">
        <v>109</v>
      </c>
      <c r="BM529" s="1580"/>
      <c r="BN529" s="1580"/>
      <c r="BO529" s="1580"/>
      <c r="BP529" s="1580"/>
      <c r="BQ529" s="1580"/>
      <c r="BR529" s="1580"/>
      <c r="BS529" s="1580"/>
      <c r="BT529" s="1580">
        <v>5493.2644799999998</v>
      </c>
      <c r="BU529" s="1580"/>
      <c r="BV529" s="1580">
        <v>6339.8705636466739</v>
      </c>
      <c r="BW529" s="1580"/>
      <c r="BX529" s="1580"/>
      <c r="BY529" s="1580"/>
      <c r="BZ529" s="1580"/>
      <c r="CA529" s="1580"/>
      <c r="CB529" s="1580"/>
      <c r="CC529" s="1580"/>
      <c r="CD529" s="1580"/>
      <c r="CE529" s="1580"/>
      <c r="CF529" s="1580"/>
      <c r="CG529" s="1580"/>
      <c r="CH529" s="1580"/>
      <c r="CI529" s="1580">
        <v>8240.2649999999994</v>
      </c>
      <c r="CJ529" s="1580">
        <v>-1400.27412</v>
      </c>
      <c r="CK529" s="1580"/>
      <c r="CL529" s="1580"/>
      <c r="CM529" s="1580"/>
      <c r="CN529" s="1580"/>
      <c r="CO529" s="1580">
        <v>-2595.8314799999994</v>
      </c>
      <c r="CP529" s="1580">
        <v>262.22327999999931</v>
      </c>
      <c r="CQ529" s="1580">
        <v>31</v>
      </c>
      <c r="CR529" s="1580">
        <v>357.37869958131796</v>
      </c>
      <c r="CS529" s="1580">
        <v>11.354129674554002</v>
      </c>
      <c r="CT529" s="1580">
        <v>60.567971042398767</v>
      </c>
      <c r="CU529" s="1580">
        <v>0</v>
      </c>
      <c r="CV529" s="1580">
        <v>0</v>
      </c>
      <c r="CW529" s="1580">
        <v>0</v>
      </c>
      <c r="CX529" s="1580">
        <v>0</v>
      </c>
      <c r="CY529" s="1580">
        <v>0</v>
      </c>
      <c r="CZ529" s="1580">
        <v>0</v>
      </c>
      <c r="DA529" s="1580">
        <v>0</v>
      </c>
      <c r="DB529" s="1580">
        <v>0</v>
      </c>
      <c r="DC529" s="1580">
        <v>262.19796415662495</v>
      </c>
      <c r="DD529" s="1580">
        <v>0</v>
      </c>
      <c r="DE529" s="1580">
        <v>0</v>
      </c>
      <c r="DF529" s="1580">
        <v>0</v>
      </c>
      <c r="DG529" s="1580">
        <v>27.76965226376285</v>
      </c>
      <c r="DH529" s="1580">
        <v>0</v>
      </c>
      <c r="DI529" s="1580">
        <v>0</v>
      </c>
      <c r="DJ529" s="1580"/>
      <c r="DK529" s="1580">
        <v>0</v>
      </c>
      <c r="DL529" s="1580">
        <v>0</v>
      </c>
      <c r="DM529" s="1580">
        <v>0</v>
      </c>
      <c r="DN529" s="1580">
        <v>0</v>
      </c>
      <c r="DO529" s="1580">
        <v>0</v>
      </c>
      <c r="DP529" s="1580">
        <v>-4.5110175560235177</v>
      </c>
      <c r="DQ529" s="1580">
        <v>0</v>
      </c>
      <c r="DR529" s="1580">
        <v>0</v>
      </c>
      <c r="DS529" s="1580"/>
      <c r="DT529" s="1580"/>
      <c r="DU529" s="1580"/>
      <c r="DV529" s="1580">
        <v>8703.3158799318353</v>
      </c>
      <c r="DW529" s="1580">
        <v>0</v>
      </c>
      <c r="DX529" s="1580">
        <v>0</v>
      </c>
      <c r="DY529" s="1580">
        <v>-2595.8314799999998</v>
      </c>
      <c r="DZ529" s="1580">
        <v>262.22327999999925</v>
      </c>
      <c r="EA529" s="1580">
        <v>0</v>
      </c>
      <c r="EB529" s="1580">
        <v>0</v>
      </c>
      <c r="EC529" s="1580">
        <v>-2691.0733198855833</v>
      </c>
      <c r="ED529" s="1580">
        <v>0</v>
      </c>
      <c r="EE529" s="1580">
        <v>0</v>
      </c>
      <c r="EF529" s="1580">
        <v>0</v>
      </c>
      <c r="EG529" s="1580">
        <v>0</v>
      </c>
      <c r="EH529" s="1580">
        <v>0</v>
      </c>
      <c r="EI529" s="1580">
        <v>0</v>
      </c>
      <c r="EJ529" s="1580">
        <v>0</v>
      </c>
      <c r="EK529" s="1580">
        <v>0</v>
      </c>
      <c r="EL529" s="1580">
        <v>0</v>
      </c>
      <c r="EM529" s="1580">
        <v>0</v>
      </c>
      <c r="EN529" s="1580">
        <v>0</v>
      </c>
      <c r="EO529" s="1580">
        <v>0</v>
      </c>
      <c r="EP529" s="1580">
        <v>0</v>
      </c>
      <c r="EQ529" s="1580">
        <v>0</v>
      </c>
      <c r="ER529" s="1580">
        <v>0</v>
      </c>
      <c r="ES529" s="1580">
        <v>0</v>
      </c>
      <c r="ET529" s="1580">
        <v>0</v>
      </c>
      <c r="EU529" s="1580">
        <v>0</v>
      </c>
      <c r="EV529" s="1580">
        <v>230</v>
      </c>
      <c r="EW529" s="1580">
        <v>0</v>
      </c>
      <c r="EX529" s="1580">
        <v>0</v>
      </c>
      <c r="EY529" s="1580">
        <v>0</v>
      </c>
      <c r="EZ529" s="1580"/>
      <c r="FA529" s="1580">
        <v>0</v>
      </c>
      <c r="FB529" s="1580"/>
      <c r="FC529" s="1580"/>
      <c r="FD529" s="1580"/>
      <c r="FE529" s="1580"/>
      <c r="FF529" s="1580">
        <v>0</v>
      </c>
      <c r="FG529" s="1580">
        <v>0</v>
      </c>
      <c r="FH529" s="1580">
        <v>0</v>
      </c>
      <c r="FI529" s="1580">
        <v>0</v>
      </c>
    </row>
    <row r="530" spans="1:165">
      <c r="A530" s="1580">
        <v>528</v>
      </c>
      <c r="B530" s="1580" t="s">
        <v>2351</v>
      </c>
      <c r="C530" s="1580" t="s">
        <v>2328</v>
      </c>
      <c r="D530" s="1580" t="s">
        <v>1823</v>
      </c>
      <c r="E530" s="1580" t="s">
        <v>889</v>
      </c>
      <c r="F530" s="1580" t="s">
        <v>2334</v>
      </c>
      <c r="G530" s="1580" t="s">
        <v>1239</v>
      </c>
      <c r="H530" s="1580" t="s">
        <v>1239</v>
      </c>
      <c r="I530" s="1580" t="s">
        <v>1239</v>
      </c>
      <c r="J530" s="1580" t="s">
        <v>2329</v>
      </c>
      <c r="K530" s="1581">
        <v>44774</v>
      </c>
      <c r="L530" s="1580">
        <v>0</v>
      </c>
      <c r="M530" s="1580">
        <v>0</v>
      </c>
      <c r="N530" s="1580">
        <v>48.317999999999998</v>
      </c>
      <c r="O530" s="1580">
        <v>48.317999999999998</v>
      </c>
      <c r="P530" s="1580">
        <v>48.317999999999998</v>
      </c>
      <c r="Q530" s="1580">
        <v>48.317999999999998</v>
      </c>
      <c r="R530" s="1580"/>
      <c r="S530" s="1580">
        <v>230.94</v>
      </c>
      <c r="T530" s="1580">
        <v>128.11000000000001</v>
      </c>
      <c r="U530" s="1580"/>
      <c r="V530" s="1580">
        <v>17348.5779</v>
      </c>
      <c r="W530" s="1580">
        <v>17348.5779</v>
      </c>
      <c r="X530" s="1580">
        <v>14828.7942</v>
      </c>
      <c r="Y530" s="1580">
        <v>0</v>
      </c>
      <c r="Z530" s="1580">
        <v>0</v>
      </c>
      <c r="AA530" s="1580">
        <v>0</v>
      </c>
      <c r="AB530" s="1580">
        <v>0</v>
      </c>
      <c r="AC530" s="1580">
        <v>0</v>
      </c>
      <c r="AD530" s="1580">
        <v>0</v>
      </c>
      <c r="AE530" s="1580">
        <v>9397.6673077354626</v>
      </c>
      <c r="AF530" s="1580">
        <v>6190.0695411719917</v>
      </c>
      <c r="AG530" s="1580">
        <v>0</v>
      </c>
      <c r="AH530" s="1580">
        <v>0</v>
      </c>
      <c r="AI530" s="1580">
        <v>0</v>
      </c>
      <c r="AJ530" s="1580">
        <v>0</v>
      </c>
      <c r="AK530" s="1580">
        <v>0</v>
      </c>
      <c r="AL530" s="1580">
        <v>0</v>
      </c>
      <c r="AM530" s="1580"/>
      <c r="AN530" s="1580">
        <v>41.572222854881005</v>
      </c>
      <c r="AO530" s="1580">
        <v>167.9543424975557</v>
      </c>
      <c r="AP530" s="1580">
        <v>895.94306604007886</v>
      </c>
      <c r="AQ530" s="1580">
        <v>0</v>
      </c>
      <c r="AR530" s="1580">
        <v>0</v>
      </c>
      <c r="AS530" s="1580">
        <v>0</v>
      </c>
      <c r="AT530" s="1580">
        <v>0</v>
      </c>
      <c r="AU530" s="1580">
        <v>0</v>
      </c>
      <c r="AV530" s="1580">
        <v>0</v>
      </c>
      <c r="AW530" s="1580">
        <v>0</v>
      </c>
      <c r="AX530" s="1580">
        <v>0</v>
      </c>
      <c r="AY530" s="1580">
        <v>0</v>
      </c>
      <c r="AZ530" s="1580">
        <v>0</v>
      </c>
      <c r="BA530" s="1580"/>
      <c r="BB530" s="1580">
        <v>0</v>
      </c>
      <c r="BC530" s="1580">
        <v>0</v>
      </c>
      <c r="BD530" s="1580">
        <v>0</v>
      </c>
      <c r="BE530" s="1580">
        <v>0</v>
      </c>
      <c r="BF530" s="1580">
        <v>0</v>
      </c>
      <c r="BG530" s="1580">
        <v>655.59654210055703</v>
      </c>
      <c r="BH530" s="1580">
        <v>0</v>
      </c>
      <c r="BI530" s="1580">
        <v>0</v>
      </c>
      <c r="BJ530" s="1580">
        <v>0</v>
      </c>
      <c r="BK530" s="1580">
        <v>2257.4299999999998</v>
      </c>
      <c r="BL530" s="1580">
        <v>332</v>
      </c>
      <c r="BM530" s="1580"/>
      <c r="BN530" s="1580"/>
      <c r="BO530" s="1580"/>
      <c r="BP530" s="1580"/>
      <c r="BQ530" s="1580"/>
      <c r="BR530" s="1580"/>
      <c r="BS530" s="1580"/>
      <c r="BT530" s="1580">
        <v>1482.8794200000011</v>
      </c>
      <c r="BU530" s="1580"/>
      <c r="BV530" s="1580">
        <v>6845.6660832725483</v>
      </c>
      <c r="BW530" s="1580"/>
      <c r="BX530" s="1580"/>
      <c r="BY530" s="1580"/>
      <c r="BZ530" s="1580"/>
      <c r="CA530" s="1580"/>
      <c r="CB530" s="1580"/>
      <c r="CC530" s="1580"/>
      <c r="CD530" s="1580"/>
      <c r="CE530" s="1580"/>
      <c r="CF530" s="1580"/>
      <c r="CG530" s="1580"/>
      <c r="CH530" s="1580"/>
      <c r="CI530" s="1580">
        <v>13346.467199999999</v>
      </c>
      <c r="CJ530" s="1580">
        <v>-2267.5244999999995</v>
      </c>
      <c r="CK530" s="1580"/>
      <c r="CL530" s="1580"/>
      <c r="CM530" s="1580"/>
      <c r="CN530" s="1580"/>
      <c r="CO530" s="1580">
        <v>-2802.9271799999992</v>
      </c>
      <c r="CP530" s="1580">
        <v>283.14347999999927</v>
      </c>
      <c r="CQ530" s="1580">
        <v>31</v>
      </c>
      <c r="CR530" s="1580">
        <v>385.8904086522316</v>
      </c>
      <c r="CS530" s="1580">
        <v>12.259963297021102</v>
      </c>
      <c r="CT530" s="1580">
        <v>65.400089944279671</v>
      </c>
      <c r="CU530" s="1580">
        <v>0</v>
      </c>
      <c r="CV530" s="1580">
        <v>0</v>
      </c>
      <c r="CW530" s="1580">
        <v>0</v>
      </c>
      <c r="CX530" s="1580">
        <v>0</v>
      </c>
      <c r="CY530" s="1580">
        <v>0</v>
      </c>
      <c r="CZ530" s="1580">
        <v>0</v>
      </c>
      <c r="DA530" s="1580">
        <v>0</v>
      </c>
      <c r="DB530" s="1580">
        <v>0</v>
      </c>
      <c r="DC530" s="1580">
        <v>283.11614445606028</v>
      </c>
      <c r="DD530" s="1580">
        <v>0</v>
      </c>
      <c r="DE530" s="1580">
        <v>0</v>
      </c>
      <c r="DF530" s="1580">
        <v>0</v>
      </c>
      <c r="DG530" s="1580">
        <v>29.985117951204302</v>
      </c>
      <c r="DH530" s="1580">
        <v>0</v>
      </c>
      <c r="DI530" s="1580">
        <v>0</v>
      </c>
      <c r="DJ530" s="1580"/>
      <c r="DK530" s="1580">
        <v>0</v>
      </c>
      <c r="DL530" s="1580">
        <v>0</v>
      </c>
      <c r="DM530" s="1580">
        <v>0</v>
      </c>
      <c r="DN530" s="1580">
        <v>0</v>
      </c>
      <c r="DO530" s="1580">
        <v>0</v>
      </c>
      <c r="DP530" s="1580">
        <v>-4.8709069963337868</v>
      </c>
      <c r="DQ530" s="1580">
        <v>0</v>
      </c>
      <c r="DR530" s="1580">
        <v>0</v>
      </c>
      <c r="DS530" s="1580"/>
      <c r="DT530" s="1580"/>
      <c r="DU530" s="1580"/>
      <c r="DV530" s="1580">
        <v>9397.6673077354626</v>
      </c>
      <c r="DW530" s="1580">
        <v>0</v>
      </c>
      <c r="DX530" s="1580">
        <v>0</v>
      </c>
      <c r="DY530" s="1580">
        <v>-2802.9271799999988</v>
      </c>
      <c r="DZ530" s="1580">
        <v>283.14347999999882</v>
      </c>
      <c r="EA530" s="1580">
        <v>0</v>
      </c>
      <c r="EB530" s="1580">
        <v>0</v>
      </c>
      <c r="EC530" s="1580">
        <v>-2905.7674235771801</v>
      </c>
      <c r="ED530" s="1580">
        <v>0</v>
      </c>
      <c r="EE530" s="1580">
        <v>0</v>
      </c>
      <c r="EF530" s="1580">
        <v>0</v>
      </c>
      <c r="EG530" s="1580">
        <v>0</v>
      </c>
      <c r="EH530" s="1580">
        <v>0</v>
      </c>
      <c r="EI530" s="1580">
        <v>0</v>
      </c>
      <c r="EJ530" s="1580">
        <v>0</v>
      </c>
      <c r="EK530" s="1580">
        <v>0</v>
      </c>
      <c r="EL530" s="1580">
        <v>0</v>
      </c>
      <c r="EM530" s="1580">
        <v>0</v>
      </c>
      <c r="EN530" s="1580">
        <v>0</v>
      </c>
      <c r="EO530" s="1580">
        <v>0</v>
      </c>
      <c r="EP530" s="1580">
        <v>0</v>
      </c>
      <c r="EQ530" s="1580">
        <v>0</v>
      </c>
      <c r="ER530" s="1580">
        <v>0</v>
      </c>
      <c r="ES530" s="1580">
        <v>0</v>
      </c>
      <c r="ET530" s="1580">
        <v>0</v>
      </c>
      <c r="EU530" s="1580">
        <v>0</v>
      </c>
      <c r="EV530" s="1580">
        <v>230</v>
      </c>
      <c r="EW530" s="1580">
        <v>0</v>
      </c>
      <c r="EX530" s="1580">
        <v>0</v>
      </c>
      <c r="EY530" s="1580">
        <v>0</v>
      </c>
      <c r="EZ530" s="1580"/>
      <c r="FA530" s="1580">
        <v>0</v>
      </c>
      <c r="FB530" s="1580"/>
      <c r="FC530" s="1580"/>
      <c r="FD530" s="1580"/>
      <c r="FE530" s="1580"/>
      <c r="FF530" s="1580">
        <v>0</v>
      </c>
      <c r="FG530" s="1580">
        <v>0</v>
      </c>
      <c r="FH530" s="1580">
        <v>0</v>
      </c>
      <c r="FI530" s="1580">
        <v>0</v>
      </c>
    </row>
    <row r="531" spans="1:165">
      <c r="A531" s="1580">
        <v>529</v>
      </c>
      <c r="B531" s="1580" t="s">
        <v>2351</v>
      </c>
      <c r="C531" s="1580" t="s">
        <v>2328</v>
      </c>
      <c r="D531" s="1580" t="s">
        <v>1823</v>
      </c>
      <c r="E531" s="1580" t="s">
        <v>889</v>
      </c>
      <c r="F531" s="1580" t="s">
        <v>2335</v>
      </c>
      <c r="G531" s="1580" t="s">
        <v>1239</v>
      </c>
      <c r="H531" s="1580" t="s">
        <v>1239</v>
      </c>
      <c r="I531" s="1580" t="s">
        <v>1239</v>
      </c>
      <c r="J531" s="1580" t="s">
        <v>2329</v>
      </c>
      <c r="K531" s="1581">
        <v>44774</v>
      </c>
      <c r="L531" s="1580">
        <v>0</v>
      </c>
      <c r="M531" s="1580">
        <v>0</v>
      </c>
      <c r="N531" s="1580">
        <v>24.925999999999998</v>
      </c>
      <c r="O531" s="1580">
        <v>24.925999999999998</v>
      </c>
      <c r="P531" s="1580">
        <v>24.925999999999998</v>
      </c>
      <c r="Q531" s="1580">
        <v>24.925999999999998</v>
      </c>
      <c r="R531" s="1580"/>
      <c r="S531" s="1580">
        <v>230.94</v>
      </c>
      <c r="T531" s="1580">
        <v>128.11000000000001</v>
      </c>
      <c r="U531" s="1580"/>
      <c r="V531" s="1580">
        <v>8949.6803</v>
      </c>
      <c r="W531" s="1580">
        <v>8949.6803</v>
      </c>
      <c r="X531" s="1580">
        <v>7649.7893999999997</v>
      </c>
      <c r="Y531" s="1580">
        <v>0</v>
      </c>
      <c r="Z531" s="1580">
        <v>0</v>
      </c>
      <c r="AA531" s="1580">
        <v>0</v>
      </c>
      <c r="AB531" s="1580">
        <v>0</v>
      </c>
      <c r="AC531" s="1580">
        <v>0</v>
      </c>
      <c r="AD531" s="1580">
        <v>0</v>
      </c>
      <c r="AE531" s="1580">
        <v>4848.0122379364648</v>
      </c>
      <c r="AF531" s="1580">
        <v>3193.2959431941108</v>
      </c>
      <c r="AG531" s="1580">
        <v>0</v>
      </c>
      <c r="AH531" s="1580">
        <v>0</v>
      </c>
      <c r="AI531" s="1580">
        <v>0</v>
      </c>
      <c r="AJ531" s="1580">
        <v>0</v>
      </c>
      <c r="AK531" s="1580">
        <v>0</v>
      </c>
      <c r="AL531" s="1580">
        <v>0</v>
      </c>
      <c r="AM531" s="1580"/>
      <c r="AN531" s="1580">
        <v>21.446028951545262</v>
      </c>
      <c r="AO531" s="1580">
        <v>86.643278717953407</v>
      </c>
      <c r="AP531" s="1580">
        <v>462.19373451125887</v>
      </c>
      <c r="AQ531" s="1580">
        <v>0</v>
      </c>
      <c r="AR531" s="1580">
        <v>0</v>
      </c>
      <c r="AS531" s="1580">
        <v>0</v>
      </c>
      <c r="AT531" s="1580">
        <v>0</v>
      </c>
      <c r="AU531" s="1580">
        <v>0</v>
      </c>
      <c r="AV531" s="1580">
        <v>0</v>
      </c>
      <c r="AW531" s="1580">
        <v>0</v>
      </c>
      <c r="AX531" s="1580">
        <v>0</v>
      </c>
      <c r="AY531" s="1580">
        <v>0</v>
      </c>
      <c r="AZ531" s="1580">
        <v>0</v>
      </c>
      <c r="BA531" s="1580"/>
      <c r="BB531" s="1580">
        <v>0</v>
      </c>
      <c r="BC531" s="1580">
        <v>0</v>
      </c>
      <c r="BD531" s="1580">
        <v>0</v>
      </c>
      <c r="BE531" s="1580">
        <v>0</v>
      </c>
      <c r="BF531" s="1580">
        <v>0</v>
      </c>
      <c r="BG531" s="1580">
        <v>338.20521148223196</v>
      </c>
      <c r="BH531" s="1580">
        <v>0</v>
      </c>
      <c r="BI531" s="1580">
        <v>0</v>
      </c>
      <c r="BJ531" s="1580">
        <v>0</v>
      </c>
      <c r="BK531" s="1580">
        <v>1566.87</v>
      </c>
      <c r="BL531" s="1580">
        <v>241</v>
      </c>
      <c r="BM531" s="1580"/>
      <c r="BN531" s="1580"/>
      <c r="BO531" s="1580"/>
      <c r="BP531" s="1580"/>
      <c r="BQ531" s="1580"/>
      <c r="BR531" s="1580"/>
      <c r="BS531" s="1580"/>
      <c r="BT531" s="1580"/>
      <c r="BU531" s="1580"/>
      <c r="BV531" s="1580">
        <v>3531.5011546763426</v>
      </c>
      <c r="BW531" s="1580"/>
      <c r="BX531" s="1580"/>
      <c r="BY531" s="1580"/>
      <c r="BZ531" s="1580"/>
      <c r="CA531" s="1580"/>
      <c r="CB531" s="1580"/>
      <c r="CC531" s="1580"/>
      <c r="CD531" s="1580"/>
      <c r="CE531" s="1580"/>
      <c r="CF531" s="1580"/>
      <c r="CG531" s="1580"/>
      <c r="CH531" s="1580"/>
      <c r="CI531" s="1580">
        <v>7651.0169999999998</v>
      </c>
      <c r="CJ531" s="1580">
        <v>-1298.6933000000008</v>
      </c>
      <c r="CK531" s="1580"/>
      <c r="CL531" s="1580"/>
      <c r="CM531" s="1580"/>
      <c r="CN531" s="1580"/>
      <c r="CO531" s="1580">
        <v>-1445.9572599999997</v>
      </c>
      <c r="CP531" s="1580">
        <v>146.06635999999963</v>
      </c>
      <c r="CQ531" s="1580">
        <v>31</v>
      </c>
      <c r="CR531" s="1580">
        <v>199.07082921614165</v>
      </c>
      <c r="CS531" s="1580">
        <v>6.3245963231414493</v>
      </c>
      <c r="CT531" s="1580">
        <v>33.738206091955703</v>
      </c>
      <c r="CU531" s="1580">
        <v>0</v>
      </c>
      <c r="CV531" s="1580">
        <v>0</v>
      </c>
      <c r="CW531" s="1580">
        <v>0</v>
      </c>
      <c r="CX531" s="1580">
        <v>0</v>
      </c>
      <c r="CY531" s="1580">
        <v>0</v>
      </c>
      <c r="CZ531" s="1580">
        <v>0</v>
      </c>
      <c r="DA531" s="1580">
        <v>0</v>
      </c>
      <c r="DB531" s="1580">
        <v>0</v>
      </c>
      <c r="DC531" s="1580">
        <v>146.05225830356721</v>
      </c>
      <c r="DD531" s="1580">
        <v>0</v>
      </c>
      <c r="DE531" s="1580">
        <v>0</v>
      </c>
      <c r="DF531" s="1580">
        <v>0</v>
      </c>
      <c r="DG531" s="1580">
        <v>15.468542780158941</v>
      </c>
      <c r="DH531" s="1580">
        <v>0</v>
      </c>
      <c r="DI531" s="1580">
        <v>0</v>
      </c>
      <c r="DJ531" s="1580"/>
      <c r="DK531" s="1580">
        <v>0</v>
      </c>
      <c r="DL531" s="1580">
        <v>0</v>
      </c>
      <c r="DM531" s="1580">
        <v>0</v>
      </c>
      <c r="DN531" s="1580">
        <v>0</v>
      </c>
      <c r="DO531" s="1580">
        <v>0</v>
      </c>
      <c r="DP531" s="1580">
        <v>-2.5127742826817325</v>
      </c>
      <c r="DQ531" s="1580">
        <v>0</v>
      </c>
      <c r="DR531" s="1580">
        <v>0</v>
      </c>
      <c r="DS531" s="1580"/>
      <c r="DT531" s="1580"/>
      <c r="DU531" s="1580"/>
      <c r="DV531" s="1580">
        <v>4848.0122379364648</v>
      </c>
      <c r="DW531" s="1580">
        <v>0</v>
      </c>
      <c r="DX531" s="1580">
        <v>0</v>
      </c>
      <c r="DY531" s="1580">
        <v>-1445.9572600000001</v>
      </c>
      <c r="DZ531" s="1580">
        <v>146.06635999999935</v>
      </c>
      <c r="EA531" s="1580">
        <v>0</v>
      </c>
      <c r="EB531" s="1580">
        <v>0</v>
      </c>
      <c r="EC531" s="1580">
        <v>-1499.009867959865</v>
      </c>
      <c r="ED531" s="1580">
        <v>0</v>
      </c>
      <c r="EE531" s="1580">
        <v>0</v>
      </c>
      <c r="EF531" s="1580">
        <v>0</v>
      </c>
      <c r="EG531" s="1580">
        <v>0</v>
      </c>
      <c r="EH531" s="1580">
        <v>0</v>
      </c>
      <c r="EI531" s="1580">
        <v>0</v>
      </c>
      <c r="EJ531" s="1580">
        <v>0</v>
      </c>
      <c r="EK531" s="1580">
        <v>0</v>
      </c>
      <c r="EL531" s="1580">
        <v>0</v>
      </c>
      <c r="EM531" s="1580">
        <v>0</v>
      </c>
      <c r="EN531" s="1580">
        <v>0</v>
      </c>
      <c r="EO531" s="1580">
        <v>0</v>
      </c>
      <c r="EP531" s="1580">
        <v>0</v>
      </c>
      <c r="EQ531" s="1580">
        <v>0</v>
      </c>
      <c r="ER531" s="1580">
        <v>0</v>
      </c>
      <c r="ES531" s="1580">
        <v>0</v>
      </c>
      <c r="ET531" s="1580">
        <v>0</v>
      </c>
      <c r="EU531" s="1580">
        <v>0</v>
      </c>
      <c r="EV531" s="1580">
        <v>230</v>
      </c>
      <c r="EW531" s="1580">
        <v>0</v>
      </c>
      <c r="EX531" s="1580">
        <v>0</v>
      </c>
      <c r="EY531" s="1580">
        <v>0</v>
      </c>
      <c r="EZ531" s="1580"/>
      <c r="FA531" s="1580">
        <v>0</v>
      </c>
      <c r="FB531" s="1580"/>
      <c r="FC531" s="1580"/>
      <c r="FD531" s="1580"/>
      <c r="FE531" s="1580"/>
      <c r="FF531" s="1580">
        <v>0</v>
      </c>
      <c r="FG531" s="1580">
        <v>0</v>
      </c>
      <c r="FH531" s="1580">
        <v>0</v>
      </c>
      <c r="FI531" s="1580">
        <v>0</v>
      </c>
    </row>
    <row r="532" spans="1:165">
      <c r="A532" s="1580">
        <v>530</v>
      </c>
      <c r="B532" s="1580" t="s">
        <v>2351</v>
      </c>
      <c r="C532" s="1580" t="s">
        <v>2338</v>
      </c>
      <c r="D532" s="1580" t="s">
        <v>1823</v>
      </c>
      <c r="E532" s="1580" t="s">
        <v>889</v>
      </c>
      <c r="F532" s="1580" t="s">
        <v>889</v>
      </c>
      <c r="G532" s="1580" t="s">
        <v>1239</v>
      </c>
      <c r="H532" s="1580" t="s">
        <v>1239</v>
      </c>
      <c r="I532" s="1580" t="s">
        <v>893</v>
      </c>
      <c r="J532" s="1580" t="s">
        <v>2329</v>
      </c>
      <c r="K532" s="1581">
        <v>44774</v>
      </c>
      <c r="L532" s="1580">
        <v>0</v>
      </c>
      <c r="M532" s="1580">
        <v>0</v>
      </c>
      <c r="N532" s="1580">
        <v>4.3999999999999997E-2</v>
      </c>
      <c r="O532" s="1580">
        <v>4.3999999999999997E-2</v>
      </c>
      <c r="P532" s="1580">
        <v>4.3999999999999997E-2</v>
      </c>
      <c r="Q532" s="1580">
        <v>4.3999999999999997E-2</v>
      </c>
      <c r="R532" s="1580"/>
      <c r="S532" s="1580">
        <v>701.69</v>
      </c>
      <c r="T532" s="1580">
        <v>128.11000000000001</v>
      </c>
      <c r="U532" s="1580"/>
      <c r="V532" s="1580">
        <v>36.511200000000002</v>
      </c>
      <c r="W532" s="1580">
        <v>36.511200000000002</v>
      </c>
      <c r="X532" s="1580">
        <v>29.550399999999996</v>
      </c>
      <c r="Y532" s="1580">
        <v>0</v>
      </c>
      <c r="Z532" s="1580">
        <v>2.6935062197287989</v>
      </c>
      <c r="AA532" s="1580">
        <v>0</v>
      </c>
      <c r="AB532" s="1580">
        <v>0</v>
      </c>
      <c r="AC532" s="1580">
        <v>0</v>
      </c>
      <c r="AD532" s="1580">
        <v>0</v>
      </c>
      <c r="AE532" s="1580">
        <v>23.106145032559514</v>
      </c>
      <c r="AF532" s="1580">
        <v>5.6368860427080509</v>
      </c>
      <c r="AG532" s="1580">
        <v>0</v>
      </c>
      <c r="AH532" s="1580">
        <v>0</v>
      </c>
      <c r="AI532" s="1580">
        <v>0</v>
      </c>
      <c r="AJ532" s="1580">
        <v>0</v>
      </c>
      <c r="AK532" s="1580">
        <v>0</v>
      </c>
      <c r="AL532" s="1580">
        <v>0.41596941817866911</v>
      </c>
      <c r="AM532" s="1580"/>
      <c r="AN532" s="1580">
        <v>3.7857067875631534E-2</v>
      </c>
      <c r="AO532" s="1580">
        <v>0.41296789139106332</v>
      </c>
      <c r="AP532" s="1580">
        <v>2.2028571841005928</v>
      </c>
      <c r="AQ532" s="1580">
        <v>0</v>
      </c>
      <c r="AR532" s="1580">
        <v>0</v>
      </c>
      <c r="AS532" s="1580">
        <v>0</v>
      </c>
      <c r="AT532" s="1580">
        <v>0</v>
      </c>
      <c r="AU532" s="1580">
        <v>0</v>
      </c>
      <c r="AV532" s="1580">
        <v>0</v>
      </c>
      <c r="AW532" s="1580">
        <v>0</v>
      </c>
      <c r="AX532" s="1580">
        <v>0</v>
      </c>
      <c r="AY532" s="1580">
        <v>0</v>
      </c>
      <c r="AZ532" s="1580">
        <v>0</v>
      </c>
      <c r="BA532" s="1580"/>
      <c r="BB532" s="1580">
        <v>0</v>
      </c>
      <c r="BC532" s="1580">
        <v>0</v>
      </c>
      <c r="BD532" s="1580">
        <v>0</v>
      </c>
      <c r="BE532" s="1580">
        <v>0</v>
      </c>
      <c r="BF532" s="1580">
        <v>0</v>
      </c>
      <c r="BG532" s="1580">
        <v>0.59700831682653477</v>
      </c>
      <c r="BH532" s="1580">
        <v>0</v>
      </c>
      <c r="BI532" s="1580">
        <v>0</v>
      </c>
      <c r="BJ532" s="1580">
        <v>0</v>
      </c>
      <c r="BK532" s="1580">
        <v>0</v>
      </c>
      <c r="BL532" s="1580">
        <v>0</v>
      </c>
      <c r="BM532" s="1580"/>
      <c r="BN532" s="1580"/>
      <c r="BO532" s="1580"/>
      <c r="BP532" s="1580"/>
      <c r="BQ532" s="1580"/>
      <c r="BR532" s="1580"/>
      <c r="BS532" s="1580"/>
      <c r="BT532" s="1580"/>
      <c r="BU532" s="1580"/>
      <c r="BV532" s="1580">
        <v>6.2338943595345855</v>
      </c>
      <c r="BW532" s="1580"/>
      <c r="BX532" s="1580"/>
      <c r="BY532" s="1580"/>
      <c r="BZ532" s="1580"/>
      <c r="CA532" s="1580"/>
      <c r="CB532" s="1580"/>
      <c r="CC532" s="1580"/>
      <c r="CD532" s="1580"/>
      <c r="CE532" s="1580"/>
      <c r="CF532" s="1580"/>
      <c r="CG532" s="1580"/>
      <c r="CH532" s="1580"/>
      <c r="CI532" s="1580">
        <v>26.863999999999997</v>
      </c>
      <c r="CJ532" s="1580">
        <v>-9.6772000000000062</v>
      </c>
      <c r="CK532" s="1580"/>
      <c r="CL532" s="1580"/>
      <c r="CM532" s="1580"/>
      <c r="CN532" s="1580"/>
      <c r="CO532" s="1580">
        <v>-7.2186400000000024</v>
      </c>
      <c r="CP532" s="1580">
        <v>0.25783999999999935</v>
      </c>
      <c r="CQ532" s="1580">
        <v>31</v>
      </c>
      <c r="CR532" s="1580">
        <v>0.18363355091078404</v>
      </c>
      <c r="CS532" s="1580">
        <v>3.0144925793605004E-2</v>
      </c>
      <c r="CT532" s="1580">
        <v>0.16079934477457414</v>
      </c>
      <c r="CU532" s="1580">
        <v>0</v>
      </c>
      <c r="CV532" s="1580">
        <v>0</v>
      </c>
      <c r="CW532" s="1580">
        <v>0</v>
      </c>
      <c r="CX532" s="1580">
        <v>0</v>
      </c>
      <c r="CY532" s="1580">
        <v>0</v>
      </c>
      <c r="CZ532" s="1580">
        <v>0</v>
      </c>
      <c r="DA532" s="1580">
        <v>0</v>
      </c>
      <c r="DB532" s="1580">
        <v>0</v>
      </c>
      <c r="DC532" s="1580">
        <v>0.25781510733198143</v>
      </c>
      <c r="DD532" s="1580">
        <v>0</v>
      </c>
      <c r="DE532" s="1580">
        <v>0</v>
      </c>
      <c r="DF532" s="1580">
        <v>0</v>
      </c>
      <c r="DG532" s="1580">
        <v>2.7305459453060843E-2</v>
      </c>
      <c r="DH532" s="1580">
        <v>0</v>
      </c>
      <c r="DI532" s="1580">
        <v>-0.25478193850427555</v>
      </c>
      <c r="DJ532" s="1580"/>
      <c r="DK532" s="1580">
        <v>0</v>
      </c>
      <c r="DL532" s="1580">
        <v>0</v>
      </c>
      <c r="DM532" s="1580">
        <v>0</v>
      </c>
      <c r="DN532" s="1580">
        <v>0</v>
      </c>
      <c r="DO532" s="1580">
        <v>-3.3213735788678311E-2</v>
      </c>
      <c r="DP532" s="1580">
        <v>-4.4356121494823209E-3</v>
      </c>
      <c r="DQ532" s="1580">
        <v>0</v>
      </c>
      <c r="DR532" s="1580">
        <v>0</v>
      </c>
      <c r="DS532" s="1580"/>
      <c r="DT532" s="1580"/>
      <c r="DU532" s="1580"/>
      <c r="DV532" s="1580">
        <v>23.106145032559514</v>
      </c>
      <c r="DW532" s="1580">
        <v>0</v>
      </c>
      <c r="DX532" s="1580">
        <v>0</v>
      </c>
      <c r="DY532" s="1580">
        <v>-7.2186400000000006</v>
      </c>
      <c r="DZ532" s="1580">
        <v>0.25783999999999896</v>
      </c>
      <c r="EA532" s="1580">
        <v>0</v>
      </c>
      <c r="EB532" s="1580">
        <v>0</v>
      </c>
      <c r="EC532" s="1580">
        <v>-7.1444414152430458</v>
      </c>
      <c r="ED532" s="1580">
        <v>0</v>
      </c>
      <c r="EE532" s="1580">
        <v>0</v>
      </c>
      <c r="EF532" s="1580">
        <v>0</v>
      </c>
      <c r="EG532" s="1580">
        <v>0</v>
      </c>
      <c r="EH532" s="1580">
        <v>0</v>
      </c>
      <c r="EI532" s="1580">
        <v>0</v>
      </c>
      <c r="EJ532" s="1580">
        <v>0</v>
      </c>
      <c r="EK532" s="1580">
        <v>0</v>
      </c>
      <c r="EL532" s="1580">
        <v>0</v>
      </c>
      <c r="EM532" s="1580">
        <v>0</v>
      </c>
      <c r="EN532" s="1580">
        <v>0</v>
      </c>
      <c r="EO532" s="1580">
        <v>0</v>
      </c>
      <c r="EP532" s="1580">
        <v>1.4079346533004455</v>
      </c>
      <c r="EQ532" s="1580">
        <v>0</v>
      </c>
      <c r="ER532" s="1580">
        <v>0</v>
      </c>
      <c r="ES532" s="1580">
        <v>0</v>
      </c>
      <c r="ET532" s="1580">
        <v>0</v>
      </c>
      <c r="EU532" s="1580">
        <v>0</v>
      </c>
      <c r="EV532" s="1580">
        <v>230</v>
      </c>
      <c r="EW532" s="1580">
        <v>0</v>
      </c>
      <c r="EX532" s="1580">
        <v>0</v>
      </c>
      <c r="EY532" s="1580">
        <v>0</v>
      </c>
      <c r="EZ532" s="1580"/>
      <c r="FA532" s="1580">
        <v>0</v>
      </c>
      <c r="FB532" s="1580"/>
      <c r="FC532" s="1580"/>
      <c r="FD532" s="1580"/>
      <c r="FE532" s="1580"/>
      <c r="FF532" s="1580">
        <v>0</v>
      </c>
      <c r="FG532" s="1580">
        <v>0</v>
      </c>
      <c r="FH532" s="1580">
        <v>0</v>
      </c>
      <c r="FI532" s="1580">
        <v>0</v>
      </c>
    </row>
    <row r="533" spans="1:165">
      <c r="A533" s="1580">
        <v>531</v>
      </c>
      <c r="B533" s="1580" t="s">
        <v>2351</v>
      </c>
      <c r="C533" s="1580" t="s">
        <v>2338</v>
      </c>
      <c r="D533" s="1580" t="s">
        <v>1823</v>
      </c>
      <c r="E533" s="1580" t="s">
        <v>889</v>
      </c>
      <c r="F533" s="1580" t="s">
        <v>889</v>
      </c>
      <c r="G533" s="1580" t="s">
        <v>1239</v>
      </c>
      <c r="H533" s="1580" t="s">
        <v>1239</v>
      </c>
      <c r="I533" s="1580" t="s">
        <v>2326</v>
      </c>
      <c r="J533" s="1580" t="s">
        <v>2329</v>
      </c>
      <c r="K533" s="1581">
        <v>44774</v>
      </c>
      <c r="L533" s="1580">
        <v>0</v>
      </c>
      <c r="M533" s="1580">
        <v>0</v>
      </c>
      <c r="N533" s="1580">
        <v>0.24299999999999999</v>
      </c>
      <c r="O533" s="1580">
        <v>0.24299999999999999</v>
      </c>
      <c r="P533" s="1580">
        <v>0.24299999999999999</v>
      </c>
      <c r="Q533" s="1580">
        <v>0.24299999999999999</v>
      </c>
      <c r="R533" s="1580"/>
      <c r="S533" s="1580">
        <v>234.02</v>
      </c>
      <c r="T533" s="1580">
        <v>128.11000000000001</v>
      </c>
      <c r="U533" s="1580"/>
      <c r="V533" s="1580">
        <v>87.997590000000002</v>
      </c>
      <c r="W533" s="1580">
        <v>87.997590000000002</v>
      </c>
      <c r="X533" s="1580">
        <v>80.275049999999993</v>
      </c>
      <c r="Y533" s="1580">
        <v>0</v>
      </c>
      <c r="Z533" s="1580">
        <v>14.875500258956777</v>
      </c>
      <c r="AA533" s="1580">
        <v>0</v>
      </c>
      <c r="AB533" s="1580">
        <v>0</v>
      </c>
      <c r="AC533" s="1580">
        <v>0</v>
      </c>
      <c r="AD533" s="1580">
        <v>0</v>
      </c>
      <c r="AE533" s="1580">
        <v>25.521779315642526</v>
      </c>
      <c r="AF533" s="1580">
        <v>31.130984281319467</v>
      </c>
      <c r="AG533" s="1580">
        <v>0</v>
      </c>
      <c r="AH533" s="1580">
        <v>0</v>
      </c>
      <c r="AI533" s="1580">
        <v>0</v>
      </c>
      <c r="AJ533" s="1580">
        <v>0</v>
      </c>
      <c r="AK533" s="1580">
        <v>0</v>
      </c>
      <c r="AL533" s="1580">
        <v>2.2972856503958314</v>
      </c>
      <c r="AM533" s="1580"/>
      <c r="AN533" s="1580">
        <v>0.20907426122223777</v>
      </c>
      <c r="AO533" s="1580">
        <v>0.45615857168157153</v>
      </c>
      <c r="AP533" s="1580">
        <v>2.433147933957414</v>
      </c>
      <c r="AQ533" s="1580">
        <v>0</v>
      </c>
      <c r="AR533" s="1580">
        <v>0</v>
      </c>
      <c r="AS533" s="1580">
        <v>0</v>
      </c>
      <c r="AT533" s="1580">
        <v>0</v>
      </c>
      <c r="AU533" s="1580">
        <v>0</v>
      </c>
      <c r="AV533" s="1580">
        <v>0</v>
      </c>
      <c r="AW533" s="1580">
        <v>0</v>
      </c>
      <c r="AX533" s="1580">
        <v>0</v>
      </c>
      <c r="AY533" s="1580">
        <v>0</v>
      </c>
      <c r="AZ533" s="1580">
        <v>0</v>
      </c>
      <c r="BA533" s="1580"/>
      <c r="BB533" s="1580">
        <v>0</v>
      </c>
      <c r="BC533" s="1580">
        <v>0</v>
      </c>
      <c r="BD533" s="1580">
        <v>0</v>
      </c>
      <c r="BE533" s="1580">
        <v>0</v>
      </c>
      <c r="BF533" s="1580">
        <v>0</v>
      </c>
      <c r="BG533" s="1580">
        <v>3.2971141133829081</v>
      </c>
      <c r="BH533" s="1580">
        <v>0</v>
      </c>
      <c r="BI533" s="1580">
        <v>0</v>
      </c>
      <c r="BJ533" s="1580">
        <v>0</v>
      </c>
      <c r="BK533" s="1580">
        <v>0</v>
      </c>
      <c r="BL533" s="1580">
        <v>0</v>
      </c>
      <c r="BM533" s="1580"/>
      <c r="BN533" s="1580"/>
      <c r="BO533" s="1580"/>
      <c r="BP533" s="1580"/>
      <c r="BQ533" s="1580"/>
      <c r="BR533" s="1580"/>
      <c r="BS533" s="1580"/>
      <c r="BT533" s="1580"/>
      <c r="BU533" s="1580"/>
      <c r="BV533" s="1580">
        <v>34.428098394702374</v>
      </c>
      <c r="BW533" s="1580"/>
      <c r="BX533" s="1580"/>
      <c r="BY533" s="1580"/>
      <c r="BZ533" s="1580"/>
      <c r="CA533" s="1580"/>
      <c r="CB533" s="1580"/>
      <c r="CC533" s="1580"/>
      <c r="CD533" s="1580"/>
      <c r="CE533" s="1580"/>
      <c r="CF533" s="1580"/>
      <c r="CG533" s="1580"/>
      <c r="CH533" s="1580"/>
      <c r="CI533" s="1580">
        <v>79.283999999999992</v>
      </c>
      <c r="CJ533" s="1580">
        <v>-8.7435900000000117</v>
      </c>
      <c r="CK533" s="1580"/>
      <c r="CL533" s="1580"/>
      <c r="CM533" s="1580"/>
      <c r="CN533" s="1580"/>
      <c r="CO533" s="1580">
        <v>-9.1465200000000042</v>
      </c>
      <c r="CP533" s="1580">
        <v>1.4239799999999965</v>
      </c>
      <c r="CQ533" s="1580">
        <v>31</v>
      </c>
      <c r="CR533" s="1580">
        <v>0.17053215828468637</v>
      </c>
      <c r="CS533" s="1580">
        <v>3.3297664491877488E-2</v>
      </c>
      <c r="CT533" s="1580">
        <v>0.17760960462795872</v>
      </c>
      <c r="CU533" s="1580">
        <v>0</v>
      </c>
      <c r="CV533" s="1580">
        <v>0</v>
      </c>
      <c r="CW533" s="1580">
        <v>0</v>
      </c>
      <c r="CX533" s="1580">
        <v>0</v>
      </c>
      <c r="CY533" s="1580">
        <v>0</v>
      </c>
      <c r="CZ533" s="1580">
        <v>0</v>
      </c>
      <c r="DA533" s="1580">
        <v>0</v>
      </c>
      <c r="DB533" s="1580">
        <v>0</v>
      </c>
      <c r="DC533" s="1580">
        <v>1.4238425245834385</v>
      </c>
      <c r="DD533" s="1580">
        <v>0</v>
      </c>
      <c r="DE533" s="1580">
        <v>0</v>
      </c>
      <c r="DF533" s="1580">
        <v>0</v>
      </c>
      <c r="DG533" s="1580">
        <v>0.15080060561576758</v>
      </c>
      <c r="DH533" s="1580">
        <v>0</v>
      </c>
      <c r="DI533" s="1580">
        <v>-1.4070911603758862</v>
      </c>
      <c r="DJ533" s="1580"/>
      <c r="DK533" s="1580">
        <v>0</v>
      </c>
      <c r="DL533" s="1580">
        <v>0</v>
      </c>
      <c r="DM533" s="1580">
        <v>0</v>
      </c>
      <c r="DN533" s="1580">
        <v>0</v>
      </c>
      <c r="DO533" s="1580">
        <v>-0.18343040446929137</v>
      </c>
      <c r="DP533" s="1580">
        <v>-2.4496676189186412E-2</v>
      </c>
      <c r="DQ533" s="1580">
        <v>0</v>
      </c>
      <c r="DR533" s="1580">
        <v>0</v>
      </c>
      <c r="DS533" s="1580"/>
      <c r="DT533" s="1580"/>
      <c r="DU533" s="1580"/>
      <c r="DV533" s="1580">
        <v>25.521779315642526</v>
      </c>
      <c r="DW533" s="1580">
        <v>0</v>
      </c>
      <c r="DX533" s="1580">
        <v>0</v>
      </c>
      <c r="DY533" s="1580">
        <v>-9.1465200000000024</v>
      </c>
      <c r="DZ533" s="1580">
        <v>1.4239799999999967</v>
      </c>
      <c r="EA533" s="1580">
        <v>0</v>
      </c>
      <c r="EB533" s="1580">
        <v>0</v>
      </c>
      <c r="EC533" s="1580">
        <v>-7.8913577698239621</v>
      </c>
      <c r="ED533" s="1580">
        <v>0</v>
      </c>
      <c r="EE533" s="1580">
        <v>0</v>
      </c>
      <c r="EF533" s="1580">
        <v>0</v>
      </c>
      <c r="EG533" s="1580">
        <v>0</v>
      </c>
      <c r="EH533" s="1580">
        <v>0</v>
      </c>
      <c r="EI533" s="1580">
        <v>0</v>
      </c>
      <c r="EJ533" s="1580">
        <v>0</v>
      </c>
      <c r="EK533" s="1580">
        <v>0</v>
      </c>
      <c r="EL533" s="1580">
        <v>0</v>
      </c>
      <c r="EM533" s="1580">
        <v>0</v>
      </c>
      <c r="EN533" s="1580">
        <v>0</v>
      </c>
      <c r="EO533" s="1580">
        <v>0</v>
      </c>
      <c r="EP533" s="1580">
        <v>7.7756391080001883</v>
      </c>
      <c r="EQ533" s="1580">
        <v>0</v>
      </c>
      <c r="ER533" s="1580">
        <v>0</v>
      </c>
      <c r="ES533" s="1580">
        <v>0</v>
      </c>
      <c r="ET533" s="1580">
        <v>0</v>
      </c>
      <c r="EU533" s="1580">
        <v>0</v>
      </c>
      <c r="EV533" s="1580">
        <v>230</v>
      </c>
      <c r="EW533" s="1580">
        <v>0</v>
      </c>
      <c r="EX533" s="1580">
        <v>0</v>
      </c>
      <c r="EY533" s="1580">
        <v>0</v>
      </c>
      <c r="EZ533" s="1580"/>
      <c r="FA533" s="1580">
        <v>0</v>
      </c>
      <c r="FB533" s="1580"/>
      <c r="FC533" s="1580"/>
      <c r="FD533" s="1580"/>
      <c r="FE533" s="1580"/>
      <c r="FF533" s="1580">
        <v>0</v>
      </c>
      <c r="FG533" s="1580">
        <v>0</v>
      </c>
      <c r="FH533" s="1580">
        <v>0</v>
      </c>
      <c r="FI533" s="1580">
        <v>0</v>
      </c>
    </row>
    <row r="534" spans="1:165">
      <c r="A534" s="1580">
        <v>532</v>
      </c>
      <c r="B534" s="1580" t="s">
        <v>2351</v>
      </c>
      <c r="C534" s="1580" t="s">
        <v>2338</v>
      </c>
      <c r="D534" s="1580" t="s">
        <v>1823</v>
      </c>
      <c r="E534" s="1580" t="s">
        <v>889</v>
      </c>
      <c r="F534" s="1580" t="s">
        <v>889</v>
      </c>
      <c r="G534" s="1580" t="s">
        <v>1239</v>
      </c>
      <c r="H534" s="1580" t="s">
        <v>1239</v>
      </c>
      <c r="I534" s="1580" t="s">
        <v>1239</v>
      </c>
      <c r="J534" s="1580" t="s">
        <v>2329</v>
      </c>
      <c r="K534" s="1581">
        <v>44774</v>
      </c>
      <c r="L534" s="1580">
        <v>0</v>
      </c>
      <c r="M534" s="1580">
        <v>0</v>
      </c>
      <c r="N534" s="1580">
        <v>0</v>
      </c>
      <c r="O534" s="1580">
        <v>0</v>
      </c>
      <c r="P534" s="1580">
        <v>0</v>
      </c>
      <c r="Q534" s="1580">
        <v>0</v>
      </c>
      <c r="R534" s="1580"/>
      <c r="S534" s="1580"/>
      <c r="T534" s="1580"/>
      <c r="U534" s="1580"/>
      <c r="V534" s="1580"/>
      <c r="W534" s="1580"/>
      <c r="X534" s="1580"/>
      <c r="Y534" s="1580"/>
      <c r="Z534" s="1580"/>
      <c r="AA534" s="1580">
        <v>0</v>
      </c>
      <c r="AB534" s="1580"/>
      <c r="AC534" s="1580"/>
      <c r="AD534" s="1580"/>
      <c r="AE534" s="1580"/>
      <c r="AF534" s="1580"/>
      <c r="AG534" s="1580"/>
      <c r="AH534" s="1580"/>
      <c r="AI534" s="1580"/>
      <c r="AJ534" s="1580"/>
      <c r="AK534" s="1580"/>
      <c r="AL534" s="1580"/>
      <c r="AM534" s="1580"/>
      <c r="AN534" s="1580"/>
      <c r="AO534" s="1580"/>
      <c r="AP534" s="1580"/>
      <c r="AQ534" s="1580"/>
      <c r="AR534" s="1580"/>
      <c r="AS534" s="1580"/>
      <c r="AT534" s="1580"/>
      <c r="AU534" s="1580"/>
      <c r="AV534" s="1580"/>
      <c r="AW534" s="1580"/>
      <c r="AX534" s="1580"/>
      <c r="AY534" s="1580"/>
      <c r="AZ534" s="1580">
        <v>0</v>
      </c>
      <c r="BA534" s="1580"/>
      <c r="BB534" s="1580"/>
      <c r="BC534" s="1580"/>
      <c r="BD534" s="1580"/>
      <c r="BE534" s="1580"/>
      <c r="BF534" s="1580"/>
      <c r="BG534" s="1580"/>
      <c r="BH534" s="1580"/>
      <c r="BI534" s="1580">
        <v>0</v>
      </c>
      <c r="BJ534" s="1580">
        <v>0</v>
      </c>
      <c r="BK534" s="1580">
        <v>20.25</v>
      </c>
      <c r="BL534" s="1580">
        <v>1</v>
      </c>
      <c r="BM534" s="1580"/>
      <c r="BN534" s="1580"/>
      <c r="BO534" s="1580"/>
      <c r="BP534" s="1580"/>
      <c r="BQ534" s="1580"/>
      <c r="BR534" s="1580"/>
      <c r="BS534" s="1580"/>
      <c r="BT534" s="1580"/>
      <c r="BU534" s="1580"/>
      <c r="BV534" s="1580"/>
      <c r="BW534" s="1580"/>
      <c r="BX534" s="1580"/>
      <c r="BY534" s="1580"/>
      <c r="BZ534" s="1580"/>
      <c r="CA534" s="1580"/>
      <c r="CB534" s="1580"/>
      <c r="CC534" s="1580"/>
      <c r="CD534" s="1580"/>
      <c r="CE534" s="1580"/>
      <c r="CF534" s="1580"/>
      <c r="CG534" s="1580"/>
      <c r="CH534" s="1580"/>
      <c r="CI534" s="1580"/>
      <c r="CJ534" s="1580">
        <v>-0.03</v>
      </c>
      <c r="CK534" s="1580"/>
      <c r="CL534" s="1580"/>
      <c r="CM534" s="1580"/>
      <c r="CN534" s="1580"/>
      <c r="CO534" s="1580">
        <v>0</v>
      </c>
      <c r="CP534" s="1580">
        <v>0</v>
      </c>
      <c r="CQ534" s="1580">
        <v>31</v>
      </c>
      <c r="CR534" s="1580"/>
      <c r="CS534" s="1580"/>
      <c r="CT534" s="1580"/>
      <c r="CU534" s="1580"/>
      <c r="CV534" s="1580"/>
      <c r="CW534" s="1580"/>
      <c r="CX534" s="1580"/>
      <c r="CY534" s="1580"/>
      <c r="CZ534" s="1580"/>
      <c r="DA534" s="1580"/>
      <c r="DB534" s="1580"/>
      <c r="DC534" s="1580"/>
      <c r="DD534" s="1580"/>
      <c r="DE534" s="1580"/>
      <c r="DF534" s="1580"/>
      <c r="DG534" s="1580"/>
      <c r="DH534" s="1580"/>
      <c r="DI534" s="1580"/>
      <c r="DJ534" s="1580"/>
      <c r="DK534" s="1580">
        <v>0</v>
      </c>
      <c r="DL534" s="1580"/>
      <c r="DM534" s="1580"/>
      <c r="DN534" s="1580"/>
      <c r="DO534" s="1580"/>
      <c r="DP534" s="1580"/>
      <c r="DQ534" s="1580"/>
      <c r="DR534" s="1580"/>
      <c r="DS534" s="1580"/>
      <c r="DT534" s="1580"/>
      <c r="DU534" s="1580"/>
      <c r="DV534" s="1580"/>
      <c r="DW534" s="1580"/>
      <c r="DX534" s="1580"/>
      <c r="DY534" s="1580"/>
      <c r="DZ534" s="1580"/>
      <c r="EA534" s="1580"/>
      <c r="EB534" s="1580"/>
      <c r="EC534" s="1580"/>
      <c r="ED534" s="1580"/>
      <c r="EE534" s="1580"/>
      <c r="EF534" s="1580"/>
      <c r="EG534" s="1580"/>
      <c r="EH534" s="1580"/>
      <c r="EI534" s="1580"/>
      <c r="EJ534" s="1580"/>
      <c r="EK534" s="1580"/>
      <c r="EL534" s="1580"/>
      <c r="EM534" s="1580"/>
      <c r="EN534" s="1580"/>
      <c r="EO534" s="1580"/>
      <c r="EP534" s="1580"/>
      <c r="EQ534" s="1580"/>
      <c r="ER534" s="1580"/>
      <c r="ES534" s="1580"/>
      <c r="ET534" s="1580"/>
      <c r="EU534" s="1580"/>
      <c r="EV534" s="1580">
        <v>230</v>
      </c>
      <c r="EW534" s="1580"/>
      <c r="EX534" s="1580"/>
      <c r="EY534" s="1580"/>
      <c r="EZ534" s="1580"/>
      <c r="FA534" s="1580">
        <v>0</v>
      </c>
      <c r="FB534" s="1580"/>
      <c r="FC534" s="1580"/>
      <c r="FD534" s="1580"/>
      <c r="FE534" s="1580"/>
      <c r="FF534" s="1580">
        <v>0</v>
      </c>
      <c r="FG534" s="1580">
        <v>0</v>
      </c>
      <c r="FH534" s="1580">
        <v>0</v>
      </c>
      <c r="FI534" s="1580">
        <v>0</v>
      </c>
    </row>
    <row r="535" spans="1:165">
      <c r="A535" s="1580">
        <v>533</v>
      </c>
      <c r="B535" s="1580" t="s">
        <v>2351</v>
      </c>
      <c r="C535" s="1580" t="s">
        <v>2338</v>
      </c>
      <c r="D535" s="1580" t="s">
        <v>1823</v>
      </c>
      <c r="E535" s="1580" t="s">
        <v>889</v>
      </c>
      <c r="F535" s="1580" t="s">
        <v>889</v>
      </c>
      <c r="G535" s="1580" t="s">
        <v>1239</v>
      </c>
      <c r="H535" s="1580" t="s">
        <v>1239</v>
      </c>
      <c r="I535" s="1580" t="s">
        <v>2339</v>
      </c>
      <c r="J535" s="1580" t="s">
        <v>2329</v>
      </c>
      <c r="K535" s="1581">
        <v>44774</v>
      </c>
      <c r="L535" s="1580">
        <v>0</v>
      </c>
      <c r="M535" s="1580">
        <v>0</v>
      </c>
      <c r="N535" s="1580">
        <v>2.4E-2</v>
      </c>
      <c r="O535" s="1580">
        <v>2.4E-2</v>
      </c>
      <c r="P535" s="1580">
        <v>2.4E-2</v>
      </c>
      <c r="Q535" s="1580">
        <v>2.4E-2</v>
      </c>
      <c r="R535" s="1580"/>
      <c r="S535" s="1580">
        <v>467.85</v>
      </c>
      <c r="T535" s="1580">
        <v>128.11000000000001</v>
      </c>
      <c r="U535" s="1580"/>
      <c r="V535" s="1580">
        <v>14.303040000000001</v>
      </c>
      <c r="W535" s="1580">
        <v>14.303040000000001</v>
      </c>
      <c r="X535" s="1580">
        <v>12.02352</v>
      </c>
      <c r="Y535" s="1580">
        <v>0</v>
      </c>
      <c r="Z535" s="1580">
        <v>1.4691852107611632</v>
      </c>
      <c r="AA535" s="1580">
        <v>0</v>
      </c>
      <c r="AB535" s="1580">
        <v>0</v>
      </c>
      <c r="AC535" s="1580">
        <v>0</v>
      </c>
      <c r="AD535" s="1580">
        <v>0</v>
      </c>
      <c r="AE535" s="1580">
        <v>7.562014724737824</v>
      </c>
      <c r="AF535" s="1580">
        <v>3.0746651142043917</v>
      </c>
      <c r="AG535" s="1580">
        <v>0</v>
      </c>
      <c r="AH535" s="1580">
        <v>0</v>
      </c>
      <c r="AI535" s="1580">
        <v>0</v>
      </c>
      <c r="AJ535" s="1580">
        <v>0</v>
      </c>
      <c r="AK535" s="1580">
        <v>0</v>
      </c>
      <c r="AL535" s="1580">
        <v>0.22689240991563769</v>
      </c>
      <c r="AM535" s="1580"/>
      <c r="AN535" s="1580">
        <v>2.0649309750344472E-2</v>
      </c>
      <c r="AO535" s="1580">
        <v>0.1351525761781277</v>
      </c>
      <c r="AP535" s="1580">
        <v>0.72093468555619444</v>
      </c>
      <c r="AQ535" s="1580">
        <v>0</v>
      </c>
      <c r="AR535" s="1580">
        <v>0</v>
      </c>
      <c r="AS535" s="1580">
        <v>0</v>
      </c>
      <c r="AT535" s="1580">
        <v>0</v>
      </c>
      <c r="AU535" s="1580">
        <v>0</v>
      </c>
      <c r="AV535" s="1580">
        <v>0</v>
      </c>
      <c r="AW535" s="1580">
        <v>0</v>
      </c>
      <c r="AX535" s="1580">
        <v>0</v>
      </c>
      <c r="AY535" s="1580">
        <v>0</v>
      </c>
      <c r="AZ535" s="1580">
        <v>0</v>
      </c>
      <c r="BA535" s="1580"/>
      <c r="BB535" s="1580">
        <v>0</v>
      </c>
      <c r="BC535" s="1580">
        <v>0</v>
      </c>
      <c r="BD535" s="1580">
        <v>0</v>
      </c>
      <c r="BE535" s="1580">
        <v>0</v>
      </c>
      <c r="BF535" s="1580">
        <v>0</v>
      </c>
      <c r="BG535" s="1580">
        <v>0.32564090008720081</v>
      </c>
      <c r="BH535" s="1580">
        <v>0</v>
      </c>
      <c r="BI535" s="1580">
        <v>0</v>
      </c>
      <c r="BJ535" s="1580">
        <v>0</v>
      </c>
      <c r="BK535" s="1580">
        <v>0</v>
      </c>
      <c r="BL535" s="1580">
        <v>0</v>
      </c>
      <c r="BM535" s="1580"/>
      <c r="BN535" s="1580"/>
      <c r="BO535" s="1580"/>
      <c r="BP535" s="1580"/>
      <c r="BQ535" s="1580"/>
      <c r="BR535" s="1580"/>
      <c r="BS535" s="1580"/>
      <c r="BT535" s="1580"/>
      <c r="BU535" s="1580"/>
      <c r="BV535" s="1580">
        <v>3.4003060142915924</v>
      </c>
      <c r="BW535" s="1580"/>
      <c r="BX535" s="1580"/>
      <c r="BY535" s="1580"/>
      <c r="BZ535" s="1580"/>
      <c r="CA535" s="1580"/>
      <c r="CB535" s="1580"/>
      <c r="CC535" s="1580"/>
      <c r="CD535" s="1580"/>
      <c r="CE535" s="1580"/>
      <c r="CF535" s="1580"/>
      <c r="CG535" s="1580"/>
      <c r="CH535" s="1580"/>
      <c r="CI535" s="1580">
        <v>10.019600000000001</v>
      </c>
      <c r="CJ535" s="1580">
        <v>-4.3134399999999999</v>
      </c>
      <c r="CK535" s="1580"/>
      <c r="CL535" s="1580"/>
      <c r="CM535" s="1580"/>
      <c r="CN535" s="1580"/>
      <c r="CO535" s="1580">
        <v>-2.420160000000001</v>
      </c>
      <c r="CP535" s="1580">
        <v>0.14063999999999965</v>
      </c>
      <c r="CQ535" s="1580">
        <v>31</v>
      </c>
      <c r="CR535" s="1580">
        <v>5.8503117952553474E-2</v>
      </c>
      <c r="CS535" s="1580">
        <v>9.8655717905344609E-3</v>
      </c>
      <c r="CT535" s="1580">
        <v>5.2625211429688679E-2</v>
      </c>
      <c r="CU535" s="1580">
        <v>0</v>
      </c>
      <c r="CV535" s="1580">
        <v>0</v>
      </c>
      <c r="CW535" s="1580">
        <v>0</v>
      </c>
      <c r="CX535" s="1580">
        <v>0</v>
      </c>
      <c r="CY535" s="1580">
        <v>0</v>
      </c>
      <c r="CZ535" s="1580">
        <v>0</v>
      </c>
      <c r="DA535" s="1580">
        <v>0</v>
      </c>
      <c r="DB535" s="1580">
        <v>0</v>
      </c>
      <c r="DC535" s="1580">
        <v>0.14062642218108046</v>
      </c>
      <c r="DD535" s="1580">
        <v>0</v>
      </c>
      <c r="DE535" s="1580">
        <v>0</v>
      </c>
      <c r="DF535" s="1580">
        <v>0</v>
      </c>
      <c r="DG535" s="1580">
        <v>1.4893886974396808E-2</v>
      </c>
      <c r="DH535" s="1580">
        <v>0</v>
      </c>
      <c r="DI535" s="1580">
        <v>-0.13897196645687759</v>
      </c>
      <c r="DJ535" s="1580"/>
      <c r="DK535" s="1580">
        <v>0</v>
      </c>
      <c r="DL535" s="1580">
        <v>0</v>
      </c>
      <c r="DM535" s="1580">
        <v>0</v>
      </c>
      <c r="DN535" s="1580">
        <v>0</v>
      </c>
      <c r="DO535" s="1580">
        <v>-1.8116583157460897E-2</v>
      </c>
      <c r="DP535" s="1580">
        <v>-2.4194248088085374E-3</v>
      </c>
      <c r="DQ535" s="1580">
        <v>0</v>
      </c>
      <c r="DR535" s="1580">
        <v>0</v>
      </c>
      <c r="DS535" s="1580"/>
      <c r="DT535" s="1580"/>
      <c r="DU535" s="1580"/>
      <c r="DV535" s="1580">
        <v>7.562014724737824</v>
      </c>
      <c r="DW535" s="1580">
        <v>0</v>
      </c>
      <c r="DX535" s="1580">
        <v>0</v>
      </c>
      <c r="DY535" s="1580">
        <v>-2.420160000000001</v>
      </c>
      <c r="DZ535" s="1580">
        <v>0.14063999999999943</v>
      </c>
      <c r="EA535" s="1580">
        <v>0</v>
      </c>
      <c r="EB535" s="1580">
        <v>0</v>
      </c>
      <c r="EC535" s="1580">
        <v>-2.3381819470952161</v>
      </c>
      <c r="ED535" s="1580">
        <v>0</v>
      </c>
      <c r="EE535" s="1580">
        <v>0</v>
      </c>
      <c r="EF535" s="1580">
        <v>0</v>
      </c>
      <c r="EG535" s="1580">
        <v>0</v>
      </c>
      <c r="EH535" s="1580">
        <v>0</v>
      </c>
      <c r="EI535" s="1580">
        <v>0</v>
      </c>
      <c r="EJ535" s="1580">
        <v>0</v>
      </c>
      <c r="EK535" s="1580">
        <v>0</v>
      </c>
      <c r="EL535" s="1580">
        <v>0</v>
      </c>
      <c r="EM535" s="1580">
        <v>0</v>
      </c>
      <c r="EN535" s="1580">
        <v>0</v>
      </c>
      <c r="EO535" s="1580">
        <v>0</v>
      </c>
      <c r="EP535" s="1580">
        <v>0.7679643563456976</v>
      </c>
      <c r="EQ535" s="1580">
        <v>0</v>
      </c>
      <c r="ER535" s="1580">
        <v>0</v>
      </c>
      <c r="ES535" s="1580">
        <v>0</v>
      </c>
      <c r="ET535" s="1580">
        <v>0</v>
      </c>
      <c r="EU535" s="1580">
        <v>0</v>
      </c>
      <c r="EV535" s="1580">
        <v>230</v>
      </c>
      <c r="EW535" s="1580">
        <v>0</v>
      </c>
      <c r="EX535" s="1580">
        <v>0</v>
      </c>
      <c r="EY535" s="1580">
        <v>0</v>
      </c>
      <c r="EZ535" s="1580"/>
      <c r="FA535" s="1580">
        <v>0</v>
      </c>
      <c r="FB535" s="1580"/>
      <c r="FC535" s="1580"/>
      <c r="FD535" s="1580"/>
      <c r="FE535" s="1580"/>
      <c r="FF535" s="1580">
        <v>0</v>
      </c>
      <c r="FG535" s="1580">
        <v>0</v>
      </c>
      <c r="FH535" s="1580">
        <v>0</v>
      </c>
      <c r="FI535" s="1580">
        <v>0</v>
      </c>
    </row>
    <row r="536" spans="1:165">
      <c r="A536" s="1580">
        <v>534</v>
      </c>
      <c r="B536" s="1580" t="s">
        <v>2351</v>
      </c>
      <c r="C536" s="1580" t="s">
        <v>2328</v>
      </c>
      <c r="D536" s="1580" t="s">
        <v>1826</v>
      </c>
      <c r="E536" s="1580" t="s">
        <v>890</v>
      </c>
      <c r="F536" s="1580" t="s">
        <v>1239</v>
      </c>
      <c r="G536" s="1580" t="s">
        <v>1239</v>
      </c>
      <c r="H536" s="1580" t="s">
        <v>1239</v>
      </c>
      <c r="I536" s="1580" t="s">
        <v>1239</v>
      </c>
      <c r="J536" s="1580" t="s">
        <v>2329</v>
      </c>
      <c r="K536" s="1581">
        <v>44774</v>
      </c>
      <c r="L536" s="1580">
        <v>0</v>
      </c>
      <c r="M536" s="1580">
        <v>0</v>
      </c>
      <c r="N536" s="1580">
        <v>377.15899999999999</v>
      </c>
      <c r="O536" s="1580">
        <v>377.15899999999999</v>
      </c>
      <c r="P536" s="1580">
        <v>377.15899999999999</v>
      </c>
      <c r="Q536" s="1580">
        <v>377.15899999999999</v>
      </c>
      <c r="R536" s="1580"/>
      <c r="S536" s="1580">
        <v>333.61</v>
      </c>
      <c r="T536" s="1580">
        <v>128.11000000000001</v>
      </c>
      <c r="U536" s="1580"/>
      <c r="V536" s="1580">
        <v>174141.85348000002</v>
      </c>
      <c r="W536" s="1580">
        <v>174141.85348000002</v>
      </c>
      <c r="X536" s="1580">
        <v>152006.39176999999</v>
      </c>
      <c r="Y536" s="1580">
        <v>0</v>
      </c>
      <c r="Z536" s="1580">
        <v>23088.18437106123</v>
      </c>
      <c r="AA536" s="1580">
        <v>0</v>
      </c>
      <c r="AB536" s="1580">
        <v>0</v>
      </c>
      <c r="AC536" s="1580">
        <v>0</v>
      </c>
      <c r="AD536" s="1580">
        <v>0</v>
      </c>
      <c r="AE536" s="1580">
        <v>73355.991641173052</v>
      </c>
      <c r="AF536" s="1580">
        <v>48318.234158675594</v>
      </c>
      <c r="AG536" s="1580">
        <v>0</v>
      </c>
      <c r="AH536" s="1580">
        <v>0</v>
      </c>
      <c r="AI536" s="1580">
        <v>0</v>
      </c>
      <c r="AJ536" s="1580">
        <v>0</v>
      </c>
      <c r="AK536" s="1580">
        <v>0</v>
      </c>
      <c r="AL536" s="1580">
        <v>3565.6047679738331</v>
      </c>
      <c r="AM536" s="1580"/>
      <c r="AN536" s="1580">
        <v>324.5030423387571</v>
      </c>
      <c r="AO536" s="1580">
        <v>1311.0122906998554</v>
      </c>
      <c r="AP536" s="1580">
        <v>6993.5218933856968</v>
      </c>
      <c r="AQ536" s="1580">
        <v>0</v>
      </c>
      <c r="AR536" s="1580">
        <v>0</v>
      </c>
      <c r="AS536" s="1580">
        <v>0</v>
      </c>
      <c r="AT536" s="1580">
        <v>0</v>
      </c>
      <c r="AU536" s="1580">
        <v>0</v>
      </c>
      <c r="AV536" s="1580">
        <v>0</v>
      </c>
      <c r="AW536" s="1580">
        <v>0</v>
      </c>
      <c r="AX536" s="1580">
        <v>0</v>
      </c>
      <c r="AY536" s="1580">
        <v>0</v>
      </c>
      <c r="AZ536" s="1580">
        <v>0</v>
      </c>
      <c r="BA536" s="1580"/>
      <c r="BB536" s="1580">
        <v>0</v>
      </c>
      <c r="BC536" s="1580">
        <v>0</v>
      </c>
      <c r="BD536" s="1580">
        <v>0</v>
      </c>
      <c r="BE536" s="1580">
        <v>0</v>
      </c>
      <c r="BF536" s="1580">
        <v>0</v>
      </c>
      <c r="BG536" s="1580">
        <v>5117.4331764995231</v>
      </c>
      <c r="BH536" s="1580">
        <v>0</v>
      </c>
      <c r="BI536" s="1580">
        <v>0</v>
      </c>
      <c r="BJ536" s="1580">
        <v>0</v>
      </c>
      <c r="BK536" s="1580">
        <v>31133.7</v>
      </c>
      <c r="BL536" s="1580">
        <v>224</v>
      </c>
      <c r="BM536" s="1580"/>
      <c r="BN536" s="1580"/>
      <c r="BO536" s="1580"/>
      <c r="BP536" s="1580"/>
      <c r="BQ536" s="1580"/>
      <c r="BR536" s="1580"/>
      <c r="BS536" s="1580"/>
      <c r="BT536" s="1580"/>
      <c r="BU536" s="1580"/>
      <c r="BV536" s="1580">
        <v>53435.667335175116</v>
      </c>
      <c r="BW536" s="1580"/>
      <c r="BX536" s="1580"/>
      <c r="BY536" s="1580"/>
      <c r="BZ536" s="1580"/>
      <c r="CA536" s="1580"/>
      <c r="CB536" s="1580"/>
      <c r="CC536" s="1580"/>
      <c r="CD536" s="1580"/>
      <c r="CE536" s="1580"/>
      <c r="CF536" s="1580"/>
      <c r="CG536" s="1580"/>
      <c r="CH536" s="1580"/>
      <c r="CI536" s="1580">
        <v>152006.7948</v>
      </c>
      <c r="CJ536" s="1580">
        <v>-22135.088680000015</v>
      </c>
      <c r="CK536" s="1580"/>
      <c r="CL536" s="1580"/>
      <c r="CM536" s="1580"/>
      <c r="CN536" s="1580"/>
      <c r="CO536" s="1580">
        <v>-24345.613450000004</v>
      </c>
      <c r="CP536" s="1580">
        <v>2210.1517399999943</v>
      </c>
      <c r="CQ536" s="1580">
        <v>31</v>
      </c>
      <c r="CR536" s="1580">
        <v>543.53020706807729</v>
      </c>
      <c r="CS536" s="1580">
        <v>95.698404262204122</v>
      </c>
      <c r="CT536" s="1580">
        <v>510.49779633458729</v>
      </c>
      <c r="CU536" s="1580">
        <v>0</v>
      </c>
      <c r="CV536" s="1580">
        <v>0</v>
      </c>
      <c r="CW536" s="1580">
        <v>0</v>
      </c>
      <c r="CX536" s="1580">
        <v>0</v>
      </c>
      <c r="CY536" s="1580">
        <v>0</v>
      </c>
      <c r="CZ536" s="1580">
        <v>0</v>
      </c>
      <c r="DA536" s="1580">
        <v>0</v>
      </c>
      <c r="DB536" s="1580">
        <v>0</v>
      </c>
      <c r="DC536" s="1580">
        <v>2209.9383651414173</v>
      </c>
      <c r="DD536" s="1580">
        <v>0</v>
      </c>
      <c r="DE536" s="1580">
        <v>0</v>
      </c>
      <c r="DF536" s="1580">
        <v>0</v>
      </c>
      <c r="DG536" s="1580">
        <v>234.05681322402233</v>
      </c>
      <c r="DH536" s="1580">
        <v>0</v>
      </c>
      <c r="DI536" s="1580">
        <v>-2183.9386623712271</v>
      </c>
      <c r="DJ536" s="1580"/>
      <c r="DK536" s="1580">
        <v>0</v>
      </c>
      <c r="DL536" s="1580">
        <v>0</v>
      </c>
      <c r="DM536" s="1580">
        <v>0</v>
      </c>
      <c r="DN536" s="1580">
        <v>0</v>
      </c>
      <c r="DO536" s="1580">
        <v>-284.70134946186636</v>
      </c>
      <c r="DP536" s="1580">
        <v>-38.021160061059106</v>
      </c>
      <c r="DQ536" s="1580">
        <v>0</v>
      </c>
      <c r="DR536" s="1580">
        <v>0</v>
      </c>
      <c r="DS536" s="1580"/>
      <c r="DT536" s="1580"/>
      <c r="DU536" s="1580"/>
      <c r="DV536" s="1580">
        <v>73355.991641173052</v>
      </c>
      <c r="DW536" s="1580">
        <v>0</v>
      </c>
      <c r="DX536" s="1580">
        <v>0</v>
      </c>
      <c r="DY536" s="1580">
        <v>-24345.613450000004</v>
      </c>
      <c r="DZ536" s="1580">
        <v>2210.1517399999939</v>
      </c>
      <c r="EA536" s="1580">
        <v>0</v>
      </c>
      <c r="EB536" s="1580">
        <v>0</v>
      </c>
      <c r="EC536" s="1580">
        <v>-22681.740463366565</v>
      </c>
      <c r="ED536" s="1580">
        <v>0</v>
      </c>
      <c r="EE536" s="1580">
        <v>0</v>
      </c>
      <c r="EF536" s="1580">
        <v>0</v>
      </c>
      <c r="EG536" s="1580">
        <v>0</v>
      </c>
      <c r="EH536" s="1580">
        <v>0</v>
      </c>
      <c r="EI536" s="1580">
        <v>0</v>
      </c>
      <c r="EJ536" s="1580">
        <v>0</v>
      </c>
      <c r="EK536" s="1580">
        <v>0</v>
      </c>
      <c r="EL536" s="1580">
        <v>0</v>
      </c>
      <c r="EM536" s="1580">
        <v>0</v>
      </c>
      <c r="EN536" s="1580">
        <v>0</v>
      </c>
      <c r="EO536" s="1580">
        <v>0</v>
      </c>
      <c r="EP536" s="1580">
        <v>12068.527861457789</v>
      </c>
      <c r="EQ536" s="1580">
        <v>0</v>
      </c>
      <c r="ER536" s="1580">
        <v>0</v>
      </c>
      <c r="ES536" s="1580">
        <v>0</v>
      </c>
      <c r="ET536" s="1580">
        <v>0</v>
      </c>
      <c r="EU536" s="1580">
        <v>0</v>
      </c>
      <c r="EV536" s="1580">
        <v>230</v>
      </c>
      <c r="EW536" s="1580">
        <v>0</v>
      </c>
      <c r="EX536" s="1580">
        <v>0</v>
      </c>
      <c r="EY536" s="1580">
        <v>0</v>
      </c>
      <c r="EZ536" s="1580"/>
      <c r="FA536" s="1580">
        <v>0</v>
      </c>
      <c r="FB536" s="1580"/>
      <c r="FC536" s="1580"/>
      <c r="FD536" s="1580"/>
      <c r="FE536" s="1580"/>
      <c r="FF536" s="1580">
        <v>0</v>
      </c>
      <c r="FG536" s="1580">
        <v>0</v>
      </c>
      <c r="FH536" s="1580">
        <v>0</v>
      </c>
      <c r="FI536" s="1580">
        <v>0</v>
      </c>
    </row>
    <row r="537" spans="1:165">
      <c r="A537" s="1580">
        <v>535</v>
      </c>
      <c r="B537" s="1580" t="s">
        <v>2351</v>
      </c>
      <c r="C537" s="1580" t="s">
        <v>2328</v>
      </c>
      <c r="D537" s="1580" t="s">
        <v>1826</v>
      </c>
      <c r="E537" s="1580" t="s">
        <v>890</v>
      </c>
      <c r="F537" s="1580" t="s">
        <v>1239</v>
      </c>
      <c r="G537" s="1580" t="s">
        <v>1239</v>
      </c>
      <c r="H537" s="1580" t="s">
        <v>1239</v>
      </c>
      <c r="I537" s="1580" t="s">
        <v>1239</v>
      </c>
      <c r="J537" s="1580" t="s">
        <v>2329</v>
      </c>
      <c r="K537" s="1581">
        <v>44774</v>
      </c>
      <c r="L537" s="1580">
        <v>0</v>
      </c>
      <c r="M537" s="1580">
        <v>0</v>
      </c>
      <c r="N537" s="1580">
        <v>10.179</v>
      </c>
      <c r="O537" s="1580">
        <v>10.179</v>
      </c>
      <c r="P537" s="1580">
        <v>10.179</v>
      </c>
      <c r="Q537" s="1580">
        <v>10.179</v>
      </c>
      <c r="R537" s="1580"/>
      <c r="S537" s="1580">
        <v>333.61</v>
      </c>
      <c r="T537" s="1580">
        <v>128.11000000000001</v>
      </c>
      <c r="U537" s="1580"/>
      <c r="V537" s="1580">
        <v>4699.8478800000003</v>
      </c>
      <c r="W537" s="1580">
        <v>4699.8478800000003</v>
      </c>
      <c r="X537" s="1580">
        <v>4102.4423699999998</v>
      </c>
      <c r="Y537" s="1580">
        <v>0</v>
      </c>
      <c r="Z537" s="1580">
        <v>623.11817751407841</v>
      </c>
      <c r="AA537" s="1580">
        <v>0</v>
      </c>
      <c r="AB537" s="1580">
        <v>0</v>
      </c>
      <c r="AC537" s="1580">
        <v>0</v>
      </c>
      <c r="AD537" s="1580">
        <v>0</v>
      </c>
      <c r="AE537" s="1580">
        <v>1979.7768021325237</v>
      </c>
      <c r="AF537" s="1580">
        <v>1304.0423415619377</v>
      </c>
      <c r="AG537" s="1580">
        <v>0</v>
      </c>
      <c r="AH537" s="1580">
        <v>0</v>
      </c>
      <c r="AI537" s="1580">
        <v>0</v>
      </c>
      <c r="AJ537" s="1580">
        <v>0</v>
      </c>
      <c r="AK537" s="1580">
        <v>0</v>
      </c>
      <c r="AL537" s="1580">
        <v>96.230743355469841</v>
      </c>
      <c r="AM537" s="1580"/>
      <c r="AN537" s="1580">
        <v>8.7578884978648492</v>
      </c>
      <c r="AO537" s="1580">
        <v>35.382409294313085</v>
      </c>
      <c r="AP537" s="1580">
        <v>188.74548758686129</v>
      </c>
      <c r="AQ537" s="1580">
        <v>0</v>
      </c>
      <c r="AR537" s="1580">
        <v>0</v>
      </c>
      <c r="AS537" s="1580">
        <v>0</v>
      </c>
      <c r="AT537" s="1580">
        <v>0</v>
      </c>
      <c r="AU537" s="1580">
        <v>0</v>
      </c>
      <c r="AV537" s="1580">
        <v>0</v>
      </c>
      <c r="AW537" s="1580">
        <v>0</v>
      </c>
      <c r="AX537" s="1580">
        <v>0</v>
      </c>
      <c r="AY537" s="1580">
        <v>0</v>
      </c>
      <c r="AZ537" s="1580">
        <v>0</v>
      </c>
      <c r="BA537" s="1580"/>
      <c r="BB537" s="1580">
        <v>0</v>
      </c>
      <c r="BC537" s="1580">
        <v>0</v>
      </c>
      <c r="BD537" s="1580">
        <v>0</v>
      </c>
      <c r="BE537" s="1580">
        <v>0</v>
      </c>
      <c r="BF537" s="1580">
        <v>0</v>
      </c>
      <c r="BG537" s="1580">
        <v>138.11244674948404</v>
      </c>
      <c r="BH537" s="1580">
        <v>0</v>
      </c>
      <c r="BI537" s="1580">
        <v>0</v>
      </c>
      <c r="BJ537" s="1580">
        <v>0</v>
      </c>
      <c r="BK537" s="1580">
        <v>1155.2</v>
      </c>
      <c r="BL537" s="1580">
        <v>5</v>
      </c>
      <c r="BM537" s="1580"/>
      <c r="BN537" s="1580"/>
      <c r="BO537" s="1580"/>
      <c r="BP537" s="1580"/>
      <c r="BQ537" s="1580"/>
      <c r="BR537" s="1580"/>
      <c r="BS537" s="1580"/>
      <c r="BT537" s="1580"/>
      <c r="BU537" s="1580"/>
      <c r="BV537" s="1580">
        <v>1442.1547883114217</v>
      </c>
      <c r="BW537" s="1580"/>
      <c r="BX537" s="1580"/>
      <c r="BY537" s="1580"/>
      <c r="BZ537" s="1580"/>
      <c r="CA537" s="1580"/>
      <c r="CB537" s="1580"/>
      <c r="CC537" s="1580"/>
      <c r="CD537" s="1580"/>
      <c r="CE537" s="1580"/>
      <c r="CF537" s="1580"/>
      <c r="CG537" s="1580"/>
      <c r="CH537" s="1580"/>
      <c r="CI537" s="1580">
        <v>4102.8454000000002</v>
      </c>
      <c r="CJ537" s="1580">
        <v>-597.03248000000076</v>
      </c>
      <c r="CK537" s="1580"/>
      <c r="CL537" s="1580"/>
      <c r="CM537" s="1580"/>
      <c r="CN537" s="1580"/>
      <c r="CO537" s="1580">
        <v>-657.05445000000009</v>
      </c>
      <c r="CP537" s="1580">
        <v>59.648939999999854</v>
      </c>
      <c r="CQ537" s="1580">
        <v>31</v>
      </c>
      <c r="CR537" s="1580">
        <v>14.669128876007107</v>
      </c>
      <c r="CS537" s="1580">
        <v>2.5827676311183794</v>
      </c>
      <c r="CT537" s="1580">
        <v>13.777629776539243</v>
      </c>
      <c r="CU537" s="1580">
        <v>0</v>
      </c>
      <c r="CV537" s="1580">
        <v>0</v>
      </c>
      <c r="CW537" s="1580">
        <v>0</v>
      </c>
      <c r="CX537" s="1580">
        <v>0</v>
      </c>
      <c r="CY537" s="1580">
        <v>0</v>
      </c>
      <c r="CZ537" s="1580">
        <v>0</v>
      </c>
      <c r="DA537" s="1580">
        <v>0</v>
      </c>
      <c r="DB537" s="1580">
        <v>0</v>
      </c>
      <c r="DC537" s="1580">
        <v>59.643181307550776</v>
      </c>
      <c r="DD537" s="1580">
        <v>0</v>
      </c>
      <c r="DE537" s="1580">
        <v>0</v>
      </c>
      <c r="DF537" s="1580">
        <v>0</v>
      </c>
      <c r="DG537" s="1580">
        <v>6.3168698130160692</v>
      </c>
      <c r="DH537" s="1580">
        <v>0</v>
      </c>
      <c r="DI537" s="1580">
        <v>-58.941485273523313</v>
      </c>
      <c r="DJ537" s="1580"/>
      <c r="DK537" s="1580">
        <v>0</v>
      </c>
      <c r="DL537" s="1580">
        <v>0</v>
      </c>
      <c r="DM537" s="1580">
        <v>0</v>
      </c>
      <c r="DN537" s="1580">
        <v>0</v>
      </c>
      <c r="DO537" s="1580">
        <v>-7.683695831658099</v>
      </c>
      <c r="DP537" s="1580">
        <v>-1.0261385470359201</v>
      </c>
      <c r="DQ537" s="1580">
        <v>0</v>
      </c>
      <c r="DR537" s="1580">
        <v>0</v>
      </c>
      <c r="DS537" s="1580"/>
      <c r="DT537" s="1580"/>
      <c r="DU537" s="1580"/>
      <c r="DV537" s="1580">
        <v>1979.7768021325237</v>
      </c>
      <c r="DW537" s="1580">
        <v>0</v>
      </c>
      <c r="DX537" s="1580">
        <v>0</v>
      </c>
      <c r="DY537" s="1580">
        <v>-657.05445000000009</v>
      </c>
      <c r="DZ537" s="1580">
        <v>59.648939999999811</v>
      </c>
      <c r="EA537" s="1580">
        <v>0</v>
      </c>
      <c r="EB537" s="1580">
        <v>0</v>
      </c>
      <c r="EC537" s="1580">
        <v>-612.1488183408278</v>
      </c>
      <c r="ED537" s="1580">
        <v>0</v>
      </c>
      <c r="EE537" s="1580">
        <v>0</v>
      </c>
      <c r="EF537" s="1580">
        <v>0</v>
      </c>
      <c r="EG537" s="1580">
        <v>0</v>
      </c>
      <c r="EH537" s="1580">
        <v>0</v>
      </c>
      <c r="EI537" s="1580">
        <v>0</v>
      </c>
      <c r="EJ537" s="1580">
        <v>0</v>
      </c>
      <c r="EK537" s="1580">
        <v>0</v>
      </c>
      <c r="EL537" s="1580">
        <v>0</v>
      </c>
      <c r="EM537" s="1580">
        <v>0</v>
      </c>
      <c r="EN537" s="1580">
        <v>0</v>
      </c>
      <c r="EO537" s="1580">
        <v>0</v>
      </c>
      <c r="EP537" s="1580">
        <v>325.712882635119</v>
      </c>
      <c r="EQ537" s="1580">
        <v>0</v>
      </c>
      <c r="ER537" s="1580">
        <v>0</v>
      </c>
      <c r="ES537" s="1580">
        <v>0</v>
      </c>
      <c r="ET537" s="1580">
        <v>0</v>
      </c>
      <c r="EU537" s="1580">
        <v>0</v>
      </c>
      <c r="EV537" s="1580">
        <v>230</v>
      </c>
      <c r="EW537" s="1580">
        <v>0</v>
      </c>
      <c r="EX537" s="1580">
        <v>0</v>
      </c>
      <c r="EY537" s="1580">
        <v>0</v>
      </c>
      <c r="EZ537" s="1580"/>
      <c r="FA537" s="1580">
        <v>0</v>
      </c>
      <c r="FB537" s="1580"/>
      <c r="FC537" s="1580"/>
      <c r="FD537" s="1580"/>
      <c r="FE537" s="1580"/>
      <c r="FF537" s="1580">
        <v>0</v>
      </c>
      <c r="FG537" s="1580">
        <v>0</v>
      </c>
      <c r="FH537" s="1580">
        <v>0</v>
      </c>
      <c r="FI537" s="1580">
        <v>0</v>
      </c>
    </row>
    <row r="538" spans="1:165">
      <c r="A538" s="1580">
        <v>536</v>
      </c>
      <c r="B538" s="1580" t="s">
        <v>2351</v>
      </c>
      <c r="C538" s="1580" t="s">
        <v>2336</v>
      </c>
      <c r="D538" s="1580" t="s">
        <v>535</v>
      </c>
      <c r="E538" s="1580" t="s">
        <v>890</v>
      </c>
      <c r="F538" s="1580" t="s">
        <v>1239</v>
      </c>
      <c r="G538" s="1580" t="s">
        <v>1239</v>
      </c>
      <c r="H538" s="1580" t="s">
        <v>1239</v>
      </c>
      <c r="I538" s="1580" t="s">
        <v>893</v>
      </c>
      <c r="J538" s="1580" t="s">
        <v>2329</v>
      </c>
      <c r="K538" s="1581">
        <v>44774</v>
      </c>
      <c r="L538" s="1580">
        <v>2437</v>
      </c>
      <c r="M538" s="1580">
        <v>2437</v>
      </c>
      <c r="N538" s="1580">
        <v>84.813999999999993</v>
      </c>
      <c r="O538" s="1580">
        <v>84.813999999999993</v>
      </c>
      <c r="P538" s="1580">
        <v>84.813999999999993</v>
      </c>
      <c r="Q538" s="1580">
        <v>84.813999999999993</v>
      </c>
      <c r="R538" s="1580">
        <v>28.46</v>
      </c>
      <c r="S538" s="1580">
        <v>75.12</v>
      </c>
      <c r="T538" s="1580">
        <v>128.11000000000001</v>
      </c>
      <c r="U538" s="1580">
        <v>69357.02</v>
      </c>
      <c r="V538" s="1580">
        <v>17236.749219999998</v>
      </c>
      <c r="W538" s="1580">
        <v>86593.769220000002</v>
      </c>
      <c r="X538" s="1580">
        <v>70354.30184</v>
      </c>
      <c r="Y538" s="1580">
        <v>0</v>
      </c>
      <c r="Z538" s="1580">
        <v>3478.6253288284652</v>
      </c>
      <c r="AA538" s="1580">
        <v>0</v>
      </c>
      <c r="AB538" s="1580">
        <v>0</v>
      </c>
      <c r="AC538" s="1580">
        <v>0</v>
      </c>
      <c r="AD538" s="1580">
        <v>0</v>
      </c>
      <c r="AE538" s="1580">
        <v>56031.424671773952</v>
      </c>
      <c r="AF538" s="1580">
        <v>10865.610291505469</v>
      </c>
      <c r="AG538" s="1580">
        <v>0</v>
      </c>
      <c r="AH538" s="1580">
        <v>0</v>
      </c>
      <c r="AI538" s="1580">
        <v>0</v>
      </c>
      <c r="AJ538" s="1580">
        <v>0</v>
      </c>
      <c r="AK538" s="1580">
        <v>0</v>
      </c>
      <c r="AL538" s="1580">
        <v>801.81886894103729</v>
      </c>
      <c r="AM538" s="1580"/>
      <c r="AN538" s="1580">
        <v>20.758735372083969</v>
      </c>
      <c r="AO538" s="1580">
        <v>2006.3113306568996</v>
      </c>
      <c r="AP538" s="1580">
        <v>11309.966336009065</v>
      </c>
      <c r="AQ538" s="1580">
        <v>0</v>
      </c>
      <c r="AR538" s="1580">
        <v>0</v>
      </c>
      <c r="AS538" s="1580">
        <v>0</v>
      </c>
      <c r="AT538" s="1580">
        <v>0</v>
      </c>
      <c r="AU538" s="1580">
        <v>0</v>
      </c>
      <c r="AV538" s="1580">
        <v>0</v>
      </c>
      <c r="AW538" s="1580">
        <v>0</v>
      </c>
      <c r="AX538" s="1580">
        <v>0</v>
      </c>
      <c r="AY538" s="1580">
        <v>0</v>
      </c>
      <c r="AZ538" s="1580">
        <v>0</v>
      </c>
      <c r="BA538" s="1580"/>
      <c r="BB538" s="1580">
        <v>0</v>
      </c>
      <c r="BC538" s="1580">
        <v>0</v>
      </c>
      <c r="BD538" s="1580">
        <v>0</v>
      </c>
      <c r="BE538" s="1580">
        <v>0</v>
      </c>
      <c r="BF538" s="1580">
        <v>0</v>
      </c>
      <c r="BG538" s="1580">
        <v>251.67543947830933</v>
      </c>
      <c r="BH538" s="1580">
        <v>0</v>
      </c>
      <c r="BI538" s="1580">
        <v>0</v>
      </c>
      <c r="BJ538" s="1580">
        <v>0</v>
      </c>
      <c r="BK538" s="1580">
        <v>0</v>
      </c>
      <c r="BL538" s="1580">
        <v>0</v>
      </c>
      <c r="BM538" s="1580"/>
      <c r="BN538" s="1580"/>
      <c r="BO538" s="1580"/>
      <c r="BP538" s="1580"/>
      <c r="BQ538" s="1580"/>
      <c r="BR538" s="1580"/>
      <c r="BS538" s="1580"/>
      <c r="BT538" s="1580"/>
      <c r="BU538" s="1580"/>
      <c r="BV538" s="1580">
        <v>11117.285730983778</v>
      </c>
      <c r="BW538" s="1580"/>
      <c r="BX538" s="1580"/>
      <c r="BY538" s="1580"/>
      <c r="BZ538" s="1580"/>
      <c r="CA538" s="1580"/>
      <c r="CB538" s="1580"/>
      <c r="CC538" s="1580"/>
      <c r="CD538" s="1580"/>
      <c r="CE538" s="1580"/>
      <c r="CF538" s="1580"/>
      <c r="CG538" s="1580"/>
      <c r="CH538" s="1580"/>
      <c r="CI538" s="1580">
        <v>70353.483600000007</v>
      </c>
      <c r="CJ538" s="1580">
        <v>-16240.315619999979</v>
      </c>
      <c r="CK538" s="1580"/>
      <c r="CL538" s="1580"/>
      <c r="CM538" s="1580"/>
      <c r="CN538" s="1580"/>
      <c r="CO538" s="1580">
        <v>-16736.477420000003</v>
      </c>
      <c r="CP538" s="1580">
        <v>497.0100399999987</v>
      </c>
      <c r="CQ538" s="1580">
        <v>31</v>
      </c>
      <c r="CR538" s="1580">
        <v>1085.0034264305505</v>
      </c>
      <c r="CS538" s="1580">
        <v>146.45232097293797</v>
      </c>
      <c r="CT538" s="1580">
        <v>825.58015534508013</v>
      </c>
      <c r="CU538" s="1580">
        <v>0</v>
      </c>
      <c r="CV538" s="1580">
        <v>0</v>
      </c>
      <c r="CW538" s="1580">
        <v>0</v>
      </c>
      <c r="CX538" s="1580">
        <v>0</v>
      </c>
      <c r="CY538" s="1580">
        <v>0</v>
      </c>
      <c r="CZ538" s="1580">
        <v>0</v>
      </c>
      <c r="DA538" s="1580">
        <v>0</v>
      </c>
      <c r="DB538" s="1580">
        <v>0</v>
      </c>
      <c r="DC538" s="1580">
        <v>496.96205711942275</v>
      </c>
      <c r="DD538" s="1580">
        <v>0</v>
      </c>
      <c r="DE538" s="1580">
        <v>0</v>
      </c>
      <c r="DF538" s="1580">
        <v>0</v>
      </c>
      <c r="DG538" s="1580">
        <v>11.51091754389148</v>
      </c>
      <c r="DH538" s="1580">
        <v>0</v>
      </c>
      <c r="DI538" s="1580">
        <v>-329.04728346914362</v>
      </c>
      <c r="DJ538" s="1580"/>
      <c r="DK538" s="1580">
        <v>0</v>
      </c>
      <c r="DL538" s="1580">
        <v>0</v>
      </c>
      <c r="DM538" s="1580">
        <v>0</v>
      </c>
      <c r="DN538" s="1580">
        <v>0</v>
      </c>
      <c r="DO538" s="1580">
        <v>-64.022495163203757</v>
      </c>
      <c r="DP538" s="1580">
        <v>-2.4322459184318745</v>
      </c>
      <c r="DQ538" s="1580">
        <v>0</v>
      </c>
      <c r="DR538" s="1580">
        <v>0</v>
      </c>
      <c r="DS538" s="1580"/>
      <c r="DT538" s="1580"/>
      <c r="DU538" s="1580">
        <v>56031.424671773952</v>
      </c>
      <c r="DV538" s="1580">
        <v>0</v>
      </c>
      <c r="DW538" s="1580">
        <v>0</v>
      </c>
      <c r="DX538" s="1580">
        <v>0</v>
      </c>
      <c r="DY538" s="1580">
        <v>-16736.477420000003</v>
      </c>
      <c r="DZ538" s="1580">
        <v>497.01003999999921</v>
      </c>
      <c r="EA538" s="1580">
        <v>0</v>
      </c>
      <c r="EB538" s="1580">
        <v>0</v>
      </c>
      <c r="EC538" s="1580">
        <v>-17324.968332709723</v>
      </c>
      <c r="ED538" s="1580">
        <v>0</v>
      </c>
      <c r="EE538" s="1580">
        <v>0</v>
      </c>
      <c r="EF538" s="1580">
        <v>0</v>
      </c>
      <c r="EG538" s="1580">
        <v>0</v>
      </c>
      <c r="EH538" s="1580">
        <v>0</v>
      </c>
      <c r="EI538" s="1580">
        <v>0</v>
      </c>
      <c r="EJ538" s="1580">
        <v>0</v>
      </c>
      <c r="EK538" s="1580">
        <v>0</v>
      </c>
      <c r="EL538" s="1580">
        <v>0</v>
      </c>
      <c r="EM538" s="1580">
        <v>0</v>
      </c>
      <c r="EN538" s="1580">
        <v>0</v>
      </c>
      <c r="EO538" s="1580">
        <v>0</v>
      </c>
      <c r="EP538" s="1580">
        <v>1818.3277656583232</v>
      </c>
      <c r="EQ538" s="1580">
        <v>0</v>
      </c>
      <c r="ER538" s="1580">
        <v>0</v>
      </c>
      <c r="ES538" s="1580">
        <v>0</v>
      </c>
      <c r="ET538" s="1580">
        <v>0</v>
      </c>
      <c r="EU538" s="1580">
        <v>0</v>
      </c>
      <c r="EV538" s="1580">
        <v>230</v>
      </c>
      <c r="EW538" s="1580">
        <v>0</v>
      </c>
      <c r="EX538" s="1580">
        <v>0</v>
      </c>
      <c r="EY538" s="1580">
        <v>0</v>
      </c>
      <c r="EZ538" s="1580"/>
      <c r="FA538" s="1580">
        <v>0</v>
      </c>
      <c r="FB538" s="1580"/>
      <c r="FC538" s="1580"/>
      <c r="FD538" s="1580"/>
      <c r="FE538" s="1580"/>
      <c r="FF538" s="1580">
        <v>0</v>
      </c>
      <c r="FG538" s="1580">
        <v>0</v>
      </c>
      <c r="FH538" s="1580">
        <v>0</v>
      </c>
      <c r="FI538" s="1580">
        <v>0</v>
      </c>
    </row>
    <row r="539" spans="1:165">
      <c r="A539" s="1580">
        <v>537</v>
      </c>
      <c r="B539" s="1580" t="s">
        <v>2351</v>
      </c>
      <c r="C539" s="1580" t="s">
        <v>2336</v>
      </c>
      <c r="D539" s="1580" t="s">
        <v>535</v>
      </c>
      <c r="E539" s="1580" t="s">
        <v>890</v>
      </c>
      <c r="F539" s="1580" t="s">
        <v>1239</v>
      </c>
      <c r="G539" s="1580" t="s">
        <v>1239</v>
      </c>
      <c r="H539" s="1580" t="s">
        <v>1239</v>
      </c>
      <c r="I539" s="1580" t="s">
        <v>2326</v>
      </c>
      <c r="J539" s="1580" t="s">
        <v>2329</v>
      </c>
      <c r="K539" s="1581">
        <v>44774</v>
      </c>
      <c r="L539" s="1580">
        <v>2434</v>
      </c>
      <c r="M539" s="1580">
        <v>2434</v>
      </c>
      <c r="N539" s="1580">
        <v>869.30399999999997</v>
      </c>
      <c r="O539" s="1580">
        <v>869.30399999999997</v>
      </c>
      <c r="P539" s="1580">
        <v>869.30399999999997</v>
      </c>
      <c r="Q539" s="1580">
        <v>869.30399999999997</v>
      </c>
      <c r="R539" s="1580">
        <v>9.92</v>
      </c>
      <c r="S539" s="1580">
        <v>75.12</v>
      </c>
      <c r="T539" s="1580">
        <v>128.11000000000001</v>
      </c>
      <c r="U539" s="1580">
        <v>24145.279999999999</v>
      </c>
      <c r="V539" s="1580">
        <v>176668.65192</v>
      </c>
      <c r="W539" s="1580">
        <v>200813.93192</v>
      </c>
      <c r="X539" s="1580">
        <v>199146.66623999999</v>
      </c>
      <c r="Y539" s="1580">
        <v>0</v>
      </c>
      <c r="Z539" s="1580">
        <v>35654.28953771665</v>
      </c>
      <c r="AA539" s="1580">
        <v>0</v>
      </c>
      <c r="AB539" s="1580">
        <v>0</v>
      </c>
      <c r="AC539" s="1580">
        <v>0</v>
      </c>
      <c r="AD539" s="1580">
        <v>0</v>
      </c>
      <c r="AE539" s="1580">
        <v>11975.811748997899</v>
      </c>
      <c r="AF539" s="1580">
        <v>111367.44510159727</v>
      </c>
      <c r="AG539" s="1580">
        <v>0</v>
      </c>
      <c r="AH539" s="1580">
        <v>0</v>
      </c>
      <c r="AI539" s="1580">
        <v>0</v>
      </c>
      <c r="AJ539" s="1580">
        <v>0</v>
      </c>
      <c r="AK539" s="1580">
        <v>0</v>
      </c>
      <c r="AL539" s="1580">
        <v>8218.2699795543122</v>
      </c>
      <c r="AM539" s="1580"/>
      <c r="AN539" s="1580">
        <v>212.76736970186624</v>
      </c>
      <c r="AO539" s="1580">
        <v>1809.0546886733002</v>
      </c>
      <c r="AP539" s="1580">
        <v>10353.129393207488</v>
      </c>
      <c r="AQ539" s="1580">
        <v>0</v>
      </c>
      <c r="AR539" s="1580">
        <v>0</v>
      </c>
      <c r="AS539" s="1580">
        <v>0</v>
      </c>
      <c r="AT539" s="1580">
        <v>0</v>
      </c>
      <c r="AU539" s="1580">
        <v>0</v>
      </c>
      <c r="AV539" s="1580">
        <v>0</v>
      </c>
      <c r="AW539" s="1580">
        <v>0</v>
      </c>
      <c r="AX539" s="1580">
        <v>0</v>
      </c>
      <c r="AY539" s="1580">
        <v>0</v>
      </c>
      <c r="AZ539" s="1580">
        <v>0</v>
      </c>
      <c r="BA539" s="1580"/>
      <c r="BB539" s="1580">
        <v>0</v>
      </c>
      <c r="BC539" s="1580">
        <v>0</v>
      </c>
      <c r="BD539" s="1580">
        <v>0</v>
      </c>
      <c r="BE539" s="1580">
        <v>0</v>
      </c>
      <c r="BF539" s="1580">
        <v>0</v>
      </c>
      <c r="BG539" s="1580">
        <v>2579.5560431090648</v>
      </c>
      <c r="BH539" s="1580">
        <v>0</v>
      </c>
      <c r="BI539" s="1580">
        <v>0</v>
      </c>
      <c r="BJ539" s="1580">
        <v>0</v>
      </c>
      <c r="BK539" s="1580">
        <v>0</v>
      </c>
      <c r="BL539" s="1580">
        <v>0</v>
      </c>
      <c r="BM539" s="1580"/>
      <c r="BN539" s="1580"/>
      <c r="BO539" s="1580"/>
      <c r="BP539" s="1580"/>
      <c r="BQ539" s="1580"/>
      <c r="BR539" s="1580"/>
      <c r="BS539" s="1580"/>
      <c r="BT539" s="1580"/>
      <c r="BU539" s="1580"/>
      <c r="BV539" s="1580">
        <v>113947.00114470634</v>
      </c>
      <c r="BW539" s="1580"/>
      <c r="BX539" s="1580"/>
      <c r="BY539" s="1580"/>
      <c r="BZ539" s="1580"/>
      <c r="CA539" s="1580"/>
      <c r="CB539" s="1580"/>
      <c r="CC539" s="1580"/>
      <c r="CD539" s="1580"/>
      <c r="CE539" s="1580"/>
      <c r="CF539" s="1580"/>
      <c r="CG539" s="1580"/>
      <c r="CH539" s="1580"/>
      <c r="CI539" s="1580">
        <v>199145.848</v>
      </c>
      <c r="CJ539" s="1580">
        <v>-1668.1139200000325</v>
      </c>
      <c r="CK539" s="1580"/>
      <c r="CL539" s="1580"/>
      <c r="CM539" s="1580"/>
      <c r="CN539" s="1580"/>
      <c r="CO539" s="1580">
        <v>-6761.3871200000012</v>
      </c>
      <c r="CP539" s="1580">
        <v>5094.1214399999872</v>
      </c>
      <c r="CQ539" s="1580">
        <v>31</v>
      </c>
      <c r="CR539" s="1580">
        <v>2045.6881053779798</v>
      </c>
      <c r="CS539" s="1580">
        <v>132.05341258598787</v>
      </c>
      <c r="CT539" s="1580">
        <v>755.73506753406946</v>
      </c>
      <c r="CU539" s="1580">
        <v>0</v>
      </c>
      <c r="CV539" s="1580">
        <v>0</v>
      </c>
      <c r="CW539" s="1580">
        <v>0</v>
      </c>
      <c r="CX539" s="1580">
        <v>0</v>
      </c>
      <c r="CY539" s="1580">
        <v>0</v>
      </c>
      <c r="CZ539" s="1580">
        <v>0</v>
      </c>
      <c r="DA539" s="1580">
        <v>0</v>
      </c>
      <c r="DB539" s="1580">
        <v>0</v>
      </c>
      <c r="DC539" s="1580">
        <v>5093.6296378209081</v>
      </c>
      <c r="DD539" s="1580">
        <v>0</v>
      </c>
      <c r="DE539" s="1580">
        <v>0</v>
      </c>
      <c r="DF539" s="1580">
        <v>0</v>
      </c>
      <c r="DG539" s="1580">
        <v>117.9815439028348</v>
      </c>
      <c r="DH539" s="1580">
        <v>0</v>
      </c>
      <c r="DI539" s="1580">
        <v>-3372.5814100132084</v>
      </c>
      <c r="DJ539" s="1580"/>
      <c r="DK539" s="1580">
        <v>0</v>
      </c>
      <c r="DL539" s="1580">
        <v>0</v>
      </c>
      <c r="DM539" s="1580">
        <v>0</v>
      </c>
      <c r="DN539" s="1580">
        <v>0</v>
      </c>
      <c r="DO539" s="1580">
        <v>-656.20075854639072</v>
      </c>
      <c r="DP539" s="1580">
        <v>-24.929387906200645</v>
      </c>
      <c r="DQ539" s="1580">
        <v>0</v>
      </c>
      <c r="DR539" s="1580">
        <v>0</v>
      </c>
      <c r="DS539" s="1580"/>
      <c r="DT539" s="1580"/>
      <c r="DU539" s="1580">
        <v>11975.811748997899</v>
      </c>
      <c r="DV539" s="1580">
        <v>0</v>
      </c>
      <c r="DW539" s="1580">
        <v>0</v>
      </c>
      <c r="DX539" s="1580">
        <v>0</v>
      </c>
      <c r="DY539" s="1580">
        <v>-6761.3871199999994</v>
      </c>
      <c r="DZ539" s="1580">
        <v>5094.1214399999881</v>
      </c>
      <c r="EA539" s="1580">
        <v>0</v>
      </c>
      <c r="EB539" s="1580">
        <v>0</v>
      </c>
      <c r="EC539" s="1580">
        <v>-3702.9320693750196</v>
      </c>
      <c r="ED539" s="1580">
        <v>0</v>
      </c>
      <c r="EE539" s="1580">
        <v>0</v>
      </c>
      <c r="EF539" s="1580">
        <v>0</v>
      </c>
      <c r="EG539" s="1580">
        <v>0</v>
      </c>
      <c r="EH539" s="1580">
        <v>0</v>
      </c>
      <c r="EI539" s="1580">
        <v>0</v>
      </c>
      <c r="EJ539" s="1580">
        <v>0</v>
      </c>
      <c r="EK539" s="1580">
        <v>0</v>
      </c>
      <c r="EL539" s="1580">
        <v>0</v>
      </c>
      <c r="EM539" s="1580">
        <v>0</v>
      </c>
      <c r="EN539" s="1580">
        <v>0</v>
      </c>
      <c r="EO539" s="1580">
        <v>0</v>
      </c>
      <c r="EP539" s="1580">
        <v>18637.012757302367</v>
      </c>
      <c r="EQ539" s="1580">
        <v>0</v>
      </c>
      <c r="ER539" s="1580">
        <v>0</v>
      </c>
      <c r="ES539" s="1580">
        <v>0</v>
      </c>
      <c r="ET539" s="1580">
        <v>0</v>
      </c>
      <c r="EU539" s="1580">
        <v>0</v>
      </c>
      <c r="EV539" s="1580">
        <v>230</v>
      </c>
      <c r="EW539" s="1580">
        <v>0</v>
      </c>
      <c r="EX539" s="1580">
        <v>0</v>
      </c>
      <c r="EY539" s="1580">
        <v>0</v>
      </c>
      <c r="EZ539" s="1580"/>
      <c r="FA539" s="1580">
        <v>0</v>
      </c>
      <c r="FB539" s="1580"/>
      <c r="FC539" s="1580"/>
      <c r="FD539" s="1580"/>
      <c r="FE539" s="1580"/>
      <c r="FF539" s="1580">
        <v>0</v>
      </c>
      <c r="FG539" s="1580">
        <v>0</v>
      </c>
      <c r="FH539" s="1580">
        <v>0</v>
      </c>
      <c r="FI539" s="1580">
        <v>0</v>
      </c>
    </row>
    <row r="540" spans="1:165">
      <c r="A540" s="1580">
        <v>538</v>
      </c>
      <c r="B540" s="1580" t="s">
        <v>2351</v>
      </c>
      <c r="C540" s="1580" t="s">
        <v>2336</v>
      </c>
      <c r="D540" s="1580" t="s">
        <v>535</v>
      </c>
      <c r="E540" s="1580" t="s">
        <v>890</v>
      </c>
      <c r="F540" s="1580" t="s">
        <v>1239</v>
      </c>
      <c r="G540" s="1580" t="s">
        <v>1239</v>
      </c>
      <c r="H540" s="1580" t="s">
        <v>1239</v>
      </c>
      <c r="I540" s="1580" t="s">
        <v>1239</v>
      </c>
      <c r="J540" s="1580" t="s">
        <v>2329</v>
      </c>
      <c r="K540" s="1581">
        <v>44774</v>
      </c>
      <c r="L540" s="1580">
        <v>0</v>
      </c>
      <c r="M540" s="1580">
        <v>0</v>
      </c>
      <c r="N540" s="1580">
        <v>0</v>
      </c>
      <c r="O540" s="1580">
        <v>0</v>
      </c>
      <c r="P540" s="1580">
        <v>0</v>
      </c>
      <c r="Q540" s="1580">
        <v>0</v>
      </c>
      <c r="R540" s="1580"/>
      <c r="S540" s="1580"/>
      <c r="T540" s="1580"/>
      <c r="U540" s="1580"/>
      <c r="V540" s="1580"/>
      <c r="W540" s="1580"/>
      <c r="X540" s="1580"/>
      <c r="Y540" s="1580"/>
      <c r="Z540" s="1580"/>
      <c r="AA540" s="1580">
        <v>0</v>
      </c>
      <c r="AB540" s="1580"/>
      <c r="AC540" s="1580"/>
      <c r="AD540" s="1580"/>
      <c r="AE540" s="1580"/>
      <c r="AF540" s="1580"/>
      <c r="AG540" s="1580"/>
      <c r="AH540" s="1580"/>
      <c r="AI540" s="1580"/>
      <c r="AJ540" s="1580"/>
      <c r="AK540" s="1580"/>
      <c r="AL540" s="1580"/>
      <c r="AM540" s="1580"/>
      <c r="AN540" s="1580"/>
      <c r="AO540" s="1580"/>
      <c r="AP540" s="1580"/>
      <c r="AQ540" s="1580"/>
      <c r="AR540" s="1580"/>
      <c r="AS540" s="1580"/>
      <c r="AT540" s="1580"/>
      <c r="AU540" s="1580"/>
      <c r="AV540" s="1580"/>
      <c r="AW540" s="1580"/>
      <c r="AX540" s="1580"/>
      <c r="AY540" s="1580"/>
      <c r="AZ540" s="1580">
        <v>0</v>
      </c>
      <c r="BA540" s="1580"/>
      <c r="BB540" s="1580"/>
      <c r="BC540" s="1580"/>
      <c r="BD540" s="1580"/>
      <c r="BE540" s="1580"/>
      <c r="BF540" s="1580"/>
      <c r="BG540" s="1580"/>
      <c r="BH540" s="1580"/>
      <c r="BI540" s="1580">
        <v>0</v>
      </c>
      <c r="BJ540" s="1580">
        <v>0</v>
      </c>
      <c r="BK540" s="1580">
        <v>26180.65</v>
      </c>
      <c r="BL540" s="1580">
        <v>1</v>
      </c>
      <c r="BM540" s="1580"/>
      <c r="BN540" s="1580"/>
      <c r="BO540" s="1580"/>
      <c r="BP540" s="1580"/>
      <c r="BQ540" s="1580"/>
      <c r="BR540" s="1580"/>
      <c r="BS540" s="1580"/>
      <c r="BT540" s="1580"/>
      <c r="BU540" s="1580"/>
      <c r="BV540" s="1580"/>
      <c r="BW540" s="1580"/>
      <c r="BX540" s="1580"/>
      <c r="BY540" s="1580"/>
      <c r="BZ540" s="1580"/>
      <c r="CA540" s="1580"/>
      <c r="CB540" s="1580"/>
      <c r="CC540" s="1580"/>
      <c r="CD540" s="1580"/>
      <c r="CE540" s="1580"/>
      <c r="CF540" s="1580"/>
      <c r="CG540" s="1580"/>
      <c r="CH540" s="1580"/>
      <c r="CI540" s="1580"/>
      <c r="CJ540" s="1580">
        <v>-0.03</v>
      </c>
      <c r="CK540" s="1580"/>
      <c r="CL540" s="1580"/>
      <c r="CM540" s="1580"/>
      <c r="CN540" s="1580"/>
      <c r="CO540" s="1580">
        <v>0</v>
      </c>
      <c r="CP540" s="1580">
        <v>0</v>
      </c>
      <c r="CQ540" s="1580">
        <v>31</v>
      </c>
      <c r="CR540" s="1580"/>
      <c r="CS540" s="1580"/>
      <c r="CT540" s="1580"/>
      <c r="CU540" s="1580"/>
      <c r="CV540" s="1580"/>
      <c r="CW540" s="1580"/>
      <c r="CX540" s="1580"/>
      <c r="CY540" s="1580"/>
      <c r="CZ540" s="1580"/>
      <c r="DA540" s="1580"/>
      <c r="DB540" s="1580"/>
      <c r="DC540" s="1580"/>
      <c r="DD540" s="1580"/>
      <c r="DE540" s="1580"/>
      <c r="DF540" s="1580"/>
      <c r="DG540" s="1580"/>
      <c r="DH540" s="1580"/>
      <c r="DI540" s="1580"/>
      <c r="DJ540" s="1580"/>
      <c r="DK540" s="1580">
        <v>0</v>
      </c>
      <c r="DL540" s="1580"/>
      <c r="DM540" s="1580"/>
      <c r="DN540" s="1580"/>
      <c r="DO540" s="1580"/>
      <c r="DP540" s="1580"/>
      <c r="DQ540" s="1580"/>
      <c r="DR540" s="1580"/>
      <c r="DS540" s="1580"/>
      <c r="DT540" s="1580"/>
      <c r="DU540" s="1580"/>
      <c r="DV540" s="1580"/>
      <c r="DW540" s="1580"/>
      <c r="DX540" s="1580"/>
      <c r="DY540" s="1580"/>
      <c r="DZ540" s="1580"/>
      <c r="EA540" s="1580"/>
      <c r="EB540" s="1580"/>
      <c r="EC540" s="1580"/>
      <c r="ED540" s="1580"/>
      <c r="EE540" s="1580"/>
      <c r="EF540" s="1580"/>
      <c r="EG540" s="1580"/>
      <c r="EH540" s="1580"/>
      <c r="EI540" s="1580"/>
      <c r="EJ540" s="1580"/>
      <c r="EK540" s="1580"/>
      <c r="EL540" s="1580"/>
      <c r="EM540" s="1580"/>
      <c r="EN540" s="1580"/>
      <c r="EO540" s="1580"/>
      <c r="EP540" s="1580"/>
      <c r="EQ540" s="1580"/>
      <c r="ER540" s="1580"/>
      <c r="ES540" s="1580"/>
      <c r="ET540" s="1580"/>
      <c r="EU540" s="1580"/>
      <c r="EV540" s="1580">
        <v>230</v>
      </c>
      <c r="EW540" s="1580"/>
      <c r="EX540" s="1580"/>
      <c r="EY540" s="1580"/>
      <c r="EZ540" s="1580"/>
      <c r="FA540" s="1580">
        <v>0</v>
      </c>
      <c r="FB540" s="1580"/>
      <c r="FC540" s="1580"/>
      <c r="FD540" s="1580"/>
      <c r="FE540" s="1580"/>
      <c r="FF540" s="1580">
        <v>0</v>
      </c>
      <c r="FG540" s="1580">
        <v>0</v>
      </c>
      <c r="FH540" s="1580">
        <v>0</v>
      </c>
      <c r="FI540" s="1580">
        <v>0</v>
      </c>
    </row>
    <row r="541" spans="1:165">
      <c r="A541" s="1580">
        <v>539</v>
      </c>
      <c r="B541" s="1580" t="s">
        <v>2351</v>
      </c>
      <c r="C541" s="1580" t="s">
        <v>2336</v>
      </c>
      <c r="D541" s="1580" t="s">
        <v>533</v>
      </c>
      <c r="E541" s="1580" t="s">
        <v>890</v>
      </c>
      <c r="F541" s="1580" t="s">
        <v>1239</v>
      </c>
      <c r="G541" s="1580" t="s">
        <v>1239</v>
      </c>
      <c r="H541" s="1580" t="s">
        <v>1239</v>
      </c>
      <c r="I541" s="1580" t="s">
        <v>893</v>
      </c>
      <c r="J541" s="1580" t="s">
        <v>2329</v>
      </c>
      <c r="K541" s="1581">
        <v>44774</v>
      </c>
      <c r="L541" s="1580">
        <v>6156</v>
      </c>
      <c r="M541" s="1580">
        <v>6156</v>
      </c>
      <c r="N541" s="1580">
        <v>345.2</v>
      </c>
      <c r="O541" s="1580">
        <v>345.2</v>
      </c>
      <c r="P541" s="1580">
        <v>345.2</v>
      </c>
      <c r="Q541" s="1580">
        <v>345.2</v>
      </c>
      <c r="R541" s="1580">
        <v>52.19</v>
      </c>
      <c r="S541" s="1580">
        <v>96.28</v>
      </c>
      <c r="T541" s="1580">
        <v>128.11000000000001</v>
      </c>
      <c r="U541" s="1580">
        <v>321281.64</v>
      </c>
      <c r="V541" s="1580">
        <v>77459.428</v>
      </c>
      <c r="W541" s="1580">
        <v>398741.06800000003</v>
      </c>
      <c r="X541" s="1580">
        <v>312335.56800000003</v>
      </c>
      <c r="Y541" s="1580">
        <v>0</v>
      </c>
      <c r="Z541" s="1580">
        <v>18384.649134859828</v>
      </c>
      <c r="AA541" s="1580">
        <v>0</v>
      </c>
      <c r="AB541" s="1580">
        <v>0</v>
      </c>
      <c r="AC541" s="1580">
        <v>0</v>
      </c>
      <c r="AD541" s="1580">
        <v>0</v>
      </c>
      <c r="AE541" s="1580">
        <v>287692.32802998344</v>
      </c>
      <c r="AF541" s="1580">
        <v>44223.933225973167</v>
      </c>
      <c r="AG541" s="1580">
        <v>0</v>
      </c>
      <c r="AH541" s="1580">
        <v>0</v>
      </c>
      <c r="AI541" s="1580">
        <v>0</v>
      </c>
      <c r="AJ541" s="1580">
        <v>0</v>
      </c>
      <c r="AK541" s="1580">
        <v>0</v>
      </c>
      <c r="AL541" s="1580">
        <v>3263.4691626199219</v>
      </c>
      <c r="AM541" s="1580"/>
      <c r="AN541" s="1580">
        <v>169.70054530932464</v>
      </c>
      <c r="AO541" s="1580">
        <v>5316.504030879606</v>
      </c>
      <c r="AP541" s="1580">
        <v>28282.412705525283</v>
      </c>
      <c r="AQ541" s="1580">
        <v>0</v>
      </c>
      <c r="AR541" s="1580">
        <v>0</v>
      </c>
      <c r="AS541" s="1580">
        <v>0</v>
      </c>
      <c r="AT541" s="1580">
        <v>0</v>
      </c>
      <c r="AU541" s="1580">
        <v>0</v>
      </c>
      <c r="AV541" s="1580">
        <v>0</v>
      </c>
      <c r="AW541" s="1580">
        <v>0</v>
      </c>
      <c r="AX541" s="1580">
        <v>0</v>
      </c>
      <c r="AY541" s="1580">
        <v>0</v>
      </c>
      <c r="AZ541" s="1580">
        <v>0</v>
      </c>
      <c r="BA541" s="1580"/>
      <c r="BB541" s="1580">
        <v>0</v>
      </c>
      <c r="BC541" s="1580">
        <v>0</v>
      </c>
      <c r="BD541" s="1580">
        <v>0</v>
      </c>
      <c r="BE541" s="1580">
        <v>0</v>
      </c>
      <c r="BF541" s="1580">
        <v>0</v>
      </c>
      <c r="BG541" s="1580">
        <v>1808.3700064674667</v>
      </c>
      <c r="BH541" s="1580">
        <v>0</v>
      </c>
      <c r="BI541" s="1580">
        <v>0</v>
      </c>
      <c r="BJ541" s="1580">
        <v>0</v>
      </c>
      <c r="BK541" s="1580">
        <v>0</v>
      </c>
      <c r="BL541" s="1580">
        <v>0</v>
      </c>
      <c r="BM541" s="1580"/>
      <c r="BN541" s="1580"/>
      <c r="BO541" s="1580"/>
      <c r="BP541" s="1580"/>
      <c r="BQ541" s="1580"/>
      <c r="BR541" s="1580"/>
      <c r="BS541" s="1580"/>
      <c r="BT541" s="1580"/>
      <c r="BU541" s="1580"/>
      <c r="BV541" s="1580">
        <v>46032.303232440638</v>
      </c>
      <c r="BW541" s="1580"/>
      <c r="BX541" s="1580"/>
      <c r="BY541" s="1580"/>
      <c r="BZ541" s="1580"/>
      <c r="CA541" s="1580"/>
      <c r="CB541" s="1580"/>
      <c r="CC541" s="1580"/>
      <c r="CD541" s="1580"/>
      <c r="CE541" s="1580"/>
      <c r="CF541" s="1580"/>
      <c r="CG541" s="1580"/>
      <c r="CH541" s="1580"/>
      <c r="CI541" s="1580">
        <v>312335.56800000003</v>
      </c>
      <c r="CJ541" s="1580">
        <v>-86405.530000000028</v>
      </c>
      <c r="CK541" s="1580"/>
      <c r="CL541" s="1580"/>
      <c r="CM541" s="1580"/>
      <c r="CN541" s="1580"/>
      <c r="CO541" s="1580">
        <v>-88428.371999999988</v>
      </c>
      <c r="CP541" s="1580">
        <v>2022.8719999999948</v>
      </c>
      <c r="CQ541" s="1580">
        <v>31</v>
      </c>
      <c r="CR541" s="1580">
        <v>2538.4806253944116</v>
      </c>
      <c r="CS541" s="1580">
        <v>388.08251884285801</v>
      </c>
      <c r="CT541" s="1580">
        <v>2064.4976281335585</v>
      </c>
      <c r="CU541" s="1580">
        <v>0</v>
      </c>
      <c r="CV541" s="1580">
        <v>0</v>
      </c>
      <c r="CW541" s="1580">
        <v>0</v>
      </c>
      <c r="CX541" s="1580">
        <v>0</v>
      </c>
      <c r="CY541" s="1580">
        <v>0</v>
      </c>
      <c r="CZ541" s="1580">
        <v>0</v>
      </c>
      <c r="DA541" s="1580">
        <v>0</v>
      </c>
      <c r="DB541" s="1580">
        <v>0</v>
      </c>
      <c r="DC541" s="1580">
        <v>2022.6767057045436</v>
      </c>
      <c r="DD541" s="1580">
        <v>0</v>
      </c>
      <c r="DE541" s="1580">
        <v>0</v>
      </c>
      <c r="DF541" s="1580">
        <v>0</v>
      </c>
      <c r="DG541" s="1580">
        <v>82.709691801632289</v>
      </c>
      <c r="DH541" s="1580">
        <v>0</v>
      </c>
      <c r="DI541" s="1580">
        <v>-1739.0257022581682</v>
      </c>
      <c r="DJ541" s="1580"/>
      <c r="DK541" s="1580">
        <v>0</v>
      </c>
      <c r="DL541" s="1580">
        <v>0</v>
      </c>
      <c r="DM541" s="1580">
        <v>0</v>
      </c>
      <c r="DN541" s="1580">
        <v>0</v>
      </c>
      <c r="DO541" s="1580">
        <v>-260.57685441481226</v>
      </c>
      <c r="DP541" s="1580">
        <v>-19.883362415194767</v>
      </c>
      <c r="DQ541" s="1580">
        <v>0</v>
      </c>
      <c r="DR541" s="1580">
        <v>0</v>
      </c>
      <c r="DS541" s="1580"/>
      <c r="DT541" s="1580"/>
      <c r="DU541" s="1580">
        <v>287692.32802998344</v>
      </c>
      <c r="DV541" s="1580">
        <v>0</v>
      </c>
      <c r="DW541" s="1580">
        <v>0</v>
      </c>
      <c r="DX541" s="1580">
        <v>0</v>
      </c>
      <c r="DY541" s="1580">
        <v>-88428.372000000032</v>
      </c>
      <c r="DZ541" s="1580">
        <v>2022.8719999999958</v>
      </c>
      <c r="EA541" s="1580">
        <v>0</v>
      </c>
      <c r="EB541" s="1580">
        <v>0</v>
      </c>
      <c r="EC541" s="1580">
        <v>-88954.733917266625</v>
      </c>
      <c r="ED541" s="1580">
        <v>0</v>
      </c>
      <c r="EE541" s="1580">
        <v>0</v>
      </c>
      <c r="EF541" s="1580">
        <v>0</v>
      </c>
      <c r="EG541" s="1580">
        <v>0</v>
      </c>
      <c r="EH541" s="1580">
        <v>0</v>
      </c>
      <c r="EI541" s="1580">
        <v>0</v>
      </c>
      <c r="EJ541" s="1580">
        <v>0</v>
      </c>
      <c r="EK541" s="1580">
        <v>0</v>
      </c>
      <c r="EL541" s="1580">
        <v>0</v>
      </c>
      <c r="EM541" s="1580">
        <v>0</v>
      </c>
      <c r="EN541" s="1580">
        <v>0</v>
      </c>
      <c r="EO541" s="1580">
        <v>0</v>
      </c>
      <c r="EP541" s="1580">
        <v>9609.9219731318735</v>
      </c>
      <c r="EQ541" s="1580">
        <v>0</v>
      </c>
      <c r="ER541" s="1580">
        <v>0</v>
      </c>
      <c r="ES541" s="1580">
        <v>0</v>
      </c>
      <c r="ET541" s="1580">
        <v>0</v>
      </c>
      <c r="EU541" s="1580">
        <v>0</v>
      </c>
      <c r="EV541" s="1580">
        <v>230</v>
      </c>
      <c r="EW541" s="1580">
        <v>0</v>
      </c>
      <c r="EX541" s="1580">
        <v>0</v>
      </c>
      <c r="EY541" s="1580">
        <v>0</v>
      </c>
      <c r="EZ541" s="1580"/>
      <c r="FA541" s="1580">
        <v>0</v>
      </c>
      <c r="FB541" s="1580"/>
      <c r="FC541" s="1580"/>
      <c r="FD541" s="1580"/>
      <c r="FE541" s="1580"/>
      <c r="FF541" s="1580">
        <v>0</v>
      </c>
      <c r="FG541" s="1580">
        <v>0</v>
      </c>
      <c r="FH541" s="1580">
        <v>0</v>
      </c>
      <c r="FI541" s="1580">
        <v>0</v>
      </c>
    </row>
    <row r="542" spans="1:165">
      <c r="A542" s="1580">
        <v>540</v>
      </c>
      <c r="B542" s="1580" t="s">
        <v>2351</v>
      </c>
      <c r="C542" s="1580" t="s">
        <v>2336</v>
      </c>
      <c r="D542" s="1580" t="s">
        <v>533</v>
      </c>
      <c r="E542" s="1580" t="s">
        <v>890</v>
      </c>
      <c r="F542" s="1580" t="s">
        <v>1239</v>
      </c>
      <c r="G542" s="1580" t="s">
        <v>1239</v>
      </c>
      <c r="H542" s="1580" t="s">
        <v>1239</v>
      </c>
      <c r="I542" s="1580" t="s">
        <v>2326</v>
      </c>
      <c r="J542" s="1580" t="s">
        <v>2329</v>
      </c>
      <c r="K542" s="1581">
        <v>44774</v>
      </c>
      <c r="L542" s="1580">
        <v>6209</v>
      </c>
      <c r="M542" s="1580">
        <v>6209</v>
      </c>
      <c r="N542" s="1580">
        <v>3121.3009999999999</v>
      </c>
      <c r="O542" s="1580">
        <v>3121.3009999999999</v>
      </c>
      <c r="P542" s="1580">
        <v>3121.3009999999999</v>
      </c>
      <c r="Q542" s="1580">
        <v>3121.3009999999999</v>
      </c>
      <c r="R542" s="1580">
        <v>18.12</v>
      </c>
      <c r="S542" s="1580">
        <v>96.28</v>
      </c>
      <c r="T542" s="1580">
        <v>128.11000000000001</v>
      </c>
      <c r="U542" s="1580">
        <v>112507.08</v>
      </c>
      <c r="V542" s="1580">
        <v>700388.73139000009</v>
      </c>
      <c r="W542" s="1580">
        <v>812895.81139000005</v>
      </c>
      <c r="X542" s="1580">
        <v>790889.10664000001</v>
      </c>
      <c r="Y542" s="1580">
        <v>0</v>
      </c>
      <c r="Z542" s="1580">
        <v>166234.13594810865</v>
      </c>
      <c r="AA542" s="1580">
        <v>0</v>
      </c>
      <c r="AB542" s="1580">
        <v>0</v>
      </c>
      <c r="AC542" s="1580">
        <v>0</v>
      </c>
      <c r="AD542" s="1580">
        <v>0</v>
      </c>
      <c r="AE542" s="1580">
        <v>81082.948016380658</v>
      </c>
      <c r="AF542" s="1580">
        <v>399873.1373179701</v>
      </c>
      <c r="AG542" s="1580">
        <v>0</v>
      </c>
      <c r="AH542" s="1580">
        <v>0</v>
      </c>
      <c r="AI542" s="1580">
        <v>0</v>
      </c>
      <c r="AJ542" s="1580">
        <v>0</v>
      </c>
      <c r="AK542" s="1580">
        <v>0</v>
      </c>
      <c r="AL542" s="1580">
        <v>29508.312748420409</v>
      </c>
      <c r="AM542" s="1580"/>
      <c r="AN542" s="1580">
        <v>1534.4336088486104</v>
      </c>
      <c r="AO542" s="1580">
        <v>4935.3503879215805</v>
      </c>
      <c r="AP542" s="1580">
        <v>26458.542336427592</v>
      </c>
      <c r="AQ542" s="1580">
        <v>0</v>
      </c>
      <c r="AR542" s="1580">
        <v>0</v>
      </c>
      <c r="AS542" s="1580">
        <v>0</v>
      </c>
      <c r="AT542" s="1580">
        <v>0</v>
      </c>
      <c r="AU542" s="1580">
        <v>0</v>
      </c>
      <c r="AV542" s="1580">
        <v>0</v>
      </c>
      <c r="AW542" s="1580">
        <v>0</v>
      </c>
      <c r="AX542" s="1580">
        <v>0</v>
      </c>
      <c r="AY542" s="1580">
        <v>0</v>
      </c>
      <c r="AZ542" s="1580">
        <v>0</v>
      </c>
      <c r="BA542" s="1580"/>
      <c r="BB542" s="1580">
        <v>0</v>
      </c>
      <c r="BC542" s="1580">
        <v>0</v>
      </c>
      <c r="BD542" s="1580">
        <v>0</v>
      </c>
      <c r="BE542" s="1580">
        <v>0</v>
      </c>
      <c r="BF542" s="1580">
        <v>0</v>
      </c>
      <c r="BG542" s="1580">
        <v>16351.295218878651</v>
      </c>
      <c r="BH542" s="1580">
        <v>0</v>
      </c>
      <c r="BI542" s="1580">
        <v>0</v>
      </c>
      <c r="BJ542" s="1580">
        <v>0</v>
      </c>
      <c r="BK542" s="1580">
        <v>0</v>
      </c>
      <c r="BL542" s="1580">
        <v>0</v>
      </c>
      <c r="BM542" s="1580"/>
      <c r="BN542" s="1580"/>
      <c r="BO542" s="1580"/>
      <c r="BP542" s="1580"/>
      <c r="BQ542" s="1580"/>
      <c r="BR542" s="1580"/>
      <c r="BS542" s="1580"/>
      <c r="BT542" s="1580"/>
      <c r="BU542" s="1580"/>
      <c r="BV542" s="1580">
        <v>416224.43253684876</v>
      </c>
      <c r="BW542" s="1580"/>
      <c r="BX542" s="1580"/>
      <c r="BY542" s="1580"/>
      <c r="BZ542" s="1580"/>
      <c r="CA542" s="1580"/>
      <c r="CB542" s="1580"/>
      <c r="CC542" s="1580"/>
      <c r="CD542" s="1580"/>
      <c r="CE542" s="1580"/>
      <c r="CF542" s="1580"/>
      <c r="CG542" s="1580"/>
      <c r="CH542" s="1580"/>
      <c r="CI542" s="1580">
        <v>790888.88199999998</v>
      </c>
      <c r="CJ542" s="1580">
        <v>-22006.959389999975</v>
      </c>
      <c r="CK542" s="1580"/>
      <c r="CL542" s="1580"/>
      <c r="CM542" s="1580"/>
      <c r="CN542" s="1580"/>
      <c r="CO542" s="1580">
        <v>-40297.528610000008</v>
      </c>
      <c r="CP542" s="1580">
        <v>18290.823859999953</v>
      </c>
      <c r="CQ542" s="1580">
        <v>31</v>
      </c>
      <c r="CR542" s="1580">
        <v>3068.3354056861717</v>
      </c>
      <c r="CS542" s="1580">
        <v>360.25989988759193</v>
      </c>
      <c r="CT542" s="1580">
        <v>1931.3627329522387</v>
      </c>
      <c r="CU542" s="1580">
        <v>0</v>
      </c>
      <c r="CV542" s="1580">
        <v>0</v>
      </c>
      <c r="CW542" s="1580">
        <v>0</v>
      </c>
      <c r="CX542" s="1580">
        <v>0</v>
      </c>
      <c r="CY542" s="1580">
        <v>0</v>
      </c>
      <c r="CZ542" s="1580">
        <v>0</v>
      </c>
      <c r="DA542" s="1580">
        <v>0</v>
      </c>
      <c r="DB542" s="1580">
        <v>0</v>
      </c>
      <c r="DC542" s="1580">
        <v>18289.058007509506</v>
      </c>
      <c r="DD542" s="1580">
        <v>0</v>
      </c>
      <c r="DE542" s="1580">
        <v>0</v>
      </c>
      <c r="DF542" s="1580">
        <v>0</v>
      </c>
      <c r="DG542" s="1580">
        <v>747.86165622864064</v>
      </c>
      <c r="DH542" s="1580">
        <v>0</v>
      </c>
      <c r="DI542" s="1580">
        <v>-15724.283497926168</v>
      </c>
      <c r="DJ542" s="1580"/>
      <c r="DK542" s="1580">
        <v>0</v>
      </c>
      <c r="DL542" s="1580">
        <v>0</v>
      </c>
      <c r="DM542" s="1580">
        <v>0</v>
      </c>
      <c r="DN542" s="1580">
        <v>0</v>
      </c>
      <c r="DO542" s="1580">
        <v>-2356.1378802485742</v>
      </c>
      <c r="DP542" s="1580">
        <v>-179.78551271700417</v>
      </c>
      <c r="DQ542" s="1580">
        <v>0</v>
      </c>
      <c r="DR542" s="1580">
        <v>0</v>
      </c>
      <c r="DS542" s="1580"/>
      <c r="DT542" s="1580"/>
      <c r="DU542" s="1580">
        <v>81082.948016380658</v>
      </c>
      <c r="DV542" s="1580">
        <v>0</v>
      </c>
      <c r="DW542" s="1580">
        <v>0</v>
      </c>
      <c r="DX542" s="1580">
        <v>0</v>
      </c>
      <c r="DY542" s="1580">
        <v>-40297.528610000038</v>
      </c>
      <c r="DZ542" s="1580">
        <v>18290.823860000004</v>
      </c>
      <c r="EA542" s="1580">
        <v>0</v>
      </c>
      <c r="EB542" s="1580">
        <v>0</v>
      </c>
      <c r="EC542" s="1580">
        <v>-25070.92252134376</v>
      </c>
      <c r="ED542" s="1580">
        <v>0</v>
      </c>
      <c r="EE542" s="1580">
        <v>0</v>
      </c>
      <c r="EF542" s="1580">
        <v>0</v>
      </c>
      <c r="EG542" s="1580">
        <v>0</v>
      </c>
      <c r="EH542" s="1580">
        <v>0</v>
      </c>
      <c r="EI542" s="1580">
        <v>0</v>
      </c>
      <c r="EJ542" s="1580">
        <v>0</v>
      </c>
      <c r="EK542" s="1580">
        <v>0</v>
      </c>
      <c r="EL542" s="1580">
        <v>0</v>
      </c>
      <c r="EM542" s="1580">
        <v>0</v>
      </c>
      <c r="EN542" s="1580">
        <v>0</v>
      </c>
      <c r="EO542" s="1580">
        <v>0</v>
      </c>
      <c r="EP542" s="1580">
        <v>86892.986861698984</v>
      </c>
      <c r="EQ542" s="1580">
        <v>0</v>
      </c>
      <c r="ER542" s="1580">
        <v>0</v>
      </c>
      <c r="ES542" s="1580">
        <v>0</v>
      </c>
      <c r="ET542" s="1580">
        <v>0</v>
      </c>
      <c r="EU542" s="1580">
        <v>0</v>
      </c>
      <c r="EV542" s="1580">
        <v>230</v>
      </c>
      <c r="EW542" s="1580">
        <v>0</v>
      </c>
      <c r="EX542" s="1580">
        <v>0</v>
      </c>
      <c r="EY542" s="1580">
        <v>0</v>
      </c>
      <c r="EZ542" s="1580"/>
      <c r="FA542" s="1580">
        <v>0</v>
      </c>
      <c r="FB542" s="1580"/>
      <c r="FC542" s="1580"/>
      <c r="FD542" s="1580"/>
      <c r="FE542" s="1580"/>
      <c r="FF542" s="1580">
        <v>0</v>
      </c>
      <c r="FG542" s="1580">
        <v>0</v>
      </c>
      <c r="FH542" s="1580">
        <v>0</v>
      </c>
      <c r="FI542" s="1580">
        <v>0</v>
      </c>
    </row>
    <row r="543" spans="1:165">
      <c r="A543" s="1580">
        <v>541</v>
      </c>
      <c r="B543" s="1580" t="s">
        <v>2351</v>
      </c>
      <c r="C543" s="1580" t="s">
        <v>2336</v>
      </c>
      <c r="D543" s="1580" t="s">
        <v>533</v>
      </c>
      <c r="E543" s="1580" t="s">
        <v>890</v>
      </c>
      <c r="F543" s="1580" t="s">
        <v>1239</v>
      </c>
      <c r="G543" s="1580" t="s">
        <v>1239</v>
      </c>
      <c r="H543" s="1580" t="s">
        <v>1239</v>
      </c>
      <c r="I543" s="1580" t="s">
        <v>1239</v>
      </c>
      <c r="J543" s="1580" t="s">
        <v>2329</v>
      </c>
      <c r="K543" s="1581">
        <v>44774</v>
      </c>
      <c r="L543" s="1580">
        <v>0</v>
      </c>
      <c r="M543" s="1580">
        <v>0</v>
      </c>
      <c r="N543" s="1580">
        <v>0</v>
      </c>
      <c r="O543" s="1580">
        <v>0</v>
      </c>
      <c r="P543" s="1580">
        <v>0</v>
      </c>
      <c r="Q543" s="1580">
        <v>0</v>
      </c>
      <c r="R543" s="1580"/>
      <c r="S543" s="1580"/>
      <c r="T543" s="1580"/>
      <c r="U543" s="1580"/>
      <c r="V543" s="1580"/>
      <c r="W543" s="1580"/>
      <c r="X543" s="1580"/>
      <c r="Y543" s="1580"/>
      <c r="Z543" s="1580"/>
      <c r="AA543" s="1580">
        <v>0</v>
      </c>
      <c r="AB543" s="1580"/>
      <c r="AC543" s="1580"/>
      <c r="AD543" s="1580"/>
      <c r="AE543" s="1580"/>
      <c r="AF543" s="1580"/>
      <c r="AG543" s="1580"/>
      <c r="AH543" s="1580"/>
      <c r="AI543" s="1580"/>
      <c r="AJ543" s="1580"/>
      <c r="AK543" s="1580"/>
      <c r="AL543" s="1580"/>
      <c r="AM543" s="1580"/>
      <c r="AN543" s="1580"/>
      <c r="AO543" s="1580"/>
      <c r="AP543" s="1580"/>
      <c r="AQ543" s="1580"/>
      <c r="AR543" s="1580"/>
      <c r="AS543" s="1580"/>
      <c r="AT543" s="1580"/>
      <c r="AU543" s="1580"/>
      <c r="AV543" s="1580"/>
      <c r="AW543" s="1580"/>
      <c r="AX543" s="1580"/>
      <c r="AY543" s="1580"/>
      <c r="AZ543" s="1580">
        <v>0</v>
      </c>
      <c r="BA543" s="1580"/>
      <c r="BB543" s="1580"/>
      <c r="BC543" s="1580"/>
      <c r="BD543" s="1580"/>
      <c r="BE543" s="1580"/>
      <c r="BF543" s="1580"/>
      <c r="BG543" s="1580"/>
      <c r="BH543" s="1580"/>
      <c r="BI543" s="1580">
        <v>0</v>
      </c>
      <c r="BJ543" s="1580">
        <v>0</v>
      </c>
      <c r="BK543" s="1580">
        <v>0</v>
      </c>
      <c r="BL543" s="1580">
        <v>1</v>
      </c>
      <c r="BM543" s="1580"/>
      <c r="BN543" s="1580"/>
      <c r="BO543" s="1580"/>
      <c r="BP543" s="1580"/>
      <c r="BQ543" s="1580"/>
      <c r="BR543" s="1580"/>
      <c r="BS543" s="1580"/>
      <c r="BT543" s="1580"/>
      <c r="BU543" s="1580"/>
      <c r="BV543" s="1580"/>
      <c r="BW543" s="1580"/>
      <c r="BX543" s="1580"/>
      <c r="BY543" s="1580"/>
      <c r="BZ543" s="1580"/>
      <c r="CA543" s="1580"/>
      <c r="CB543" s="1580"/>
      <c r="CC543" s="1580"/>
      <c r="CD543" s="1580"/>
      <c r="CE543" s="1580"/>
      <c r="CF543" s="1580"/>
      <c r="CG543" s="1580"/>
      <c r="CH543" s="1580"/>
      <c r="CI543" s="1580"/>
      <c r="CJ543" s="1580">
        <v>-0.03</v>
      </c>
      <c r="CK543" s="1580"/>
      <c r="CL543" s="1580"/>
      <c r="CM543" s="1580"/>
      <c r="CN543" s="1580"/>
      <c r="CO543" s="1580">
        <v>0</v>
      </c>
      <c r="CP543" s="1580">
        <v>0</v>
      </c>
      <c r="CQ543" s="1580">
        <v>31</v>
      </c>
      <c r="CR543" s="1580"/>
      <c r="CS543" s="1580"/>
      <c r="CT543" s="1580"/>
      <c r="CU543" s="1580"/>
      <c r="CV543" s="1580"/>
      <c r="CW543" s="1580"/>
      <c r="CX543" s="1580"/>
      <c r="CY543" s="1580"/>
      <c r="CZ543" s="1580"/>
      <c r="DA543" s="1580"/>
      <c r="DB543" s="1580"/>
      <c r="DC543" s="1580"/>
      <c r="DD543" s="1580"/>
      <c r="DE543" s="1580"/>
      <c r="DF543" s="1580"/>
      <c r="DG543" s="1580"/>
      <c r="DH543" s="1580"/>
      <c r="DI543" s="1580"/>
      <c r="DJ543" s="1580"/>
      <c r="DK543" s="1580">
        <v>0</v>
      </c>
      <c r="DL543" s="1580"/>
      <c r="DM543" s="1580"/>
      <c r="DN543" s="1580"/>
      <c r="DO543" s="1580"/>
      <c r="DP543" s="1580"/>
      <c r="DQ543" s="1580"/>
      <c r="DR543" s="1580"/>
      <c r="DS543" s="1580"/>
      <c r="DT543" s="1580"/>
      <c r="DU543" s="1580"/>
      <c r="DV543" s="1580"/>
      <c r="DW543" s="1580"/>
      <c r="DX543" s="1580"/>
      <c r="DY543" s="1580"/>
      <c r="DZ543" s="1580"/>
      <c r="EA543" s="1580"/>
      <c r="EB543" s="1580"/>
      <c r="EC543" s="1580"/>
      <c r="ED543" s="1580"/>
      <c r="EE543" s="1580"/>
      <c r="EF543" s="1580"/>
      <c r="EG543" s="1580"/>
      <c r="EH543" s="1580"/>
      <c r="EI543" s="1580"/>
      <c r="EJ543" s="1580"/>
      <c r="EK543" s="1580"/>
      <c r="EL543" s="1580"/>
      <c r="EM543" s="1580"/>
      <c r="EN543" s="1580"/>
      <c r="EO543" s="1580"/>
      <c r="EP543" s="1580"/>
      <c r="EQ543" s="1580"/>
      <c r="ER543" s="1580"/>
      <c r="ES543" s="1580"/>
      <c r="ET543" s="1580"/>
      <c r="EU543" s="1580"/>
      <c r="EV543" s="1580">
        <v>230</v>
      </c>
      <c r="EW543" s="1580"/>
      <c r="EX543" s="1580"/>
      <c r="EY543" s="1580"/>
      <c r="EZ543" s="1580"/>
      <c r="FA543" s="1580">
        <v>0</v>
      </c>
      <c r="FB543" s="1580"/>
      <c r="FC543" s="1580"/>
      <c r="FD543" s="1580"/>
      <c r="FE543" s="1580"/>
      <c r="FF543" s="1580">
        <v>0</v>
      </c>
      <c r="FG543" s="1580">
        <v>0</v>
      </c>
      <c r="FH543" s="1580">
        <v>0</v>
      </c>
      <c r="FI543" s="1580">
        <v>0</v>
      </c>
    </row>
    <row r="544" spans="1:165">
      <c r="A544" s="1580">
        <v>542</v>
      </c>
      <c r="B544" s="1580" t="s">
        <v>2351</v>
      </c>
      <c r="C544" s="1580" t="s">
        <v>2337</v>
      </c>
      <c r="D544" s="1580" t="s">
        <v>533</v>
      </c>
      <c r="E544" s="1580" t="s">
        <v>890</v>
      </c>
      <c r="F544" s="1580" t="s">
        <v>1239</v>
      </c>
      <c r="G544" s="1580" t="s">
        <v>1239</v>
      </c>
      <c r="H544" s="1580" t="s">
        <v>1239</v>
      </c>
      <c r="I544" s="1580" t="s">
        <v>893</v>
      </c>
      <c r="J544" s="1580" t="s">
        <v>2329</v>
      </c>
      <c r="K544" s="1581">
        <v>44774</v>
      </c>
      <c r="L544" s="1580">
        <v>0</v>
      </c>
      <c r="M544" s="1580">
        <v>0</v>
      </c>
      <c r="N544" s="1580">
        <v>893.82100000000003</v>
      </c>
      <c r="O544" s="1580">
        <v>893.82100000000003</v>
      </c>
      <c r="P544" s="1580">
        <v>893.82100000000003</v>
      </c>
      <c r="Q544" s="1580">
        <v>893.82100000000003</v>
      </c>
      <c r="R544" s="1580"/>
      <c r="S544" s="1580">
        <v>1351.49</v>
      </c>
      <c r="T544" s="1580">
        <v>128.11000000000001</v>
      </c>
      <c r="U544" s="1580"/>
      <c r="V544" s="1580">
        <v>1322497.5516000001</v>
      </c>
      <c r="W544" s="1580">
        <v>1322497.5516000001</v>
      </c>
      <c r="X544" s="1580">
        <v>1020663.1381100002</v>
      </c>
      <c r="Y544" s="1580">
        <v>0</v>
      </c>
      <c r="Z544" s="1580">
        <v>47603.086542206103</v>
      </c>
      <c r="AA544" s="1580">
        <v>0</v>
      </c>
      <c r="AB544" s="1580">
        <v>0</v>
      </c>
      <c r="AC544" s="1580">
        <v>0</v>
      </c>
      <c r="AD544" s="1580">
        <v>0</v>
      </c>
      <c r="AE544" s="1580">
        <v>1004605.3139729414</v>
      </c>
      <c r="AF544" s="1580">
        <v>114508.34362680349</v>
      </c>
      <c r="AG544" s="1580">
        <v>0</v>
      </c>
      <c r="AH544" s="1580">
        <v>0</v>
      </c>
      <c r="AI544" s="1580">
        <v>0</v>
      </c>
      <c r="AJ544" s="1580">
        <v>0</v>
      </c>
      <c r="AK544" s="1580">
        <v>0</v>
      </c>
      <c r="AL544" s="1580">
        <v>8450.0500301335505</v>
      </c>
      <c r="AM544" s="1580"/>
      <c r="AN544" s="1580">
        <v>439.40298698993593</v>
      </c>
      <c r="AO544" s="1580">
        <v>18566.922744041196</v>
      </c>
      <c r="AP544" s="1580">
        <v>98760.139207549233</v>
      </c>
      <c r="AQ544" s="1580">
        <v>0</v>
      </c>
      <c r="AR544" s="1580">
        <v>0</v>
      </c>
      <c r="AS544" s="1580">
        <v>0</v>
      </c>
      <c r="AT544" s="1580">
        <v>0</v>
      </c>
      <c r="AU544" s="1580">
        <v>0</v>
      </c>
      <c r="AV544" s="1580">
        <v>0</v>
      </c>
      <c r="AW544" s="1580">
        <v>0</v>
      </c>
      <c r="AX544" s="1580">
        <v>0</v>
      </c>
      <c r="AY544" s="1580">
        <v>0</v>
      </c>
      <c r="AZ544" s="1580">
        <v>0</v>
      </c>
      <c r="BA544" s="1580"/>
      <c r="BB544" s="1580">
        <v>0</v>
      </c>
      <c r="BC544" s="1580">
        <v>0</v>
      </c>
      <c r="BD544" s="1580">
        <v>0</v>
      </c>
      <c r="BE544" s="1580">
        <v>0</v>
      </c>
      <c r="BF544" s="1580">
        <v>0</v>
      </c>
      <c r="BG544" s="1580">
        <v>4682.384378768128</v>
      </c>
      <c r="BH544" s="1580">
        <v>0</v>
      </c>
      <c r="BI544" s="1580">
        <v>0</v>
      </c>
      <c r="BJ544" s="1580">
        <v>0</v>
      </c>
      <c r="BK544" s="1580">
        <v>0</v>
      </c>
      <c r="BL544" s="1580">
        <v>0</v>
      </c>
      <c r="BM544" s="1580"/>
      <c r="BN544" s="1580"/>
      <c r="BO544" s="1580"/>
      <c r="BP544" s="1580"/>
      <c r="BQ544" s="1580"/>
      <c r="BR544" s="1580"/>
      <c r="BS544" s="1580"/>
      <c r="BT544" s="1580"/>
      <c r="BU544" s="1580"/>
      <c r="BV544" s="1580">
        <v>119190.72800557161</v>
      </c>
      <c r="BW544" s="1580"/>
      <c r="BX544" s="1580"/>
      <c r="BY544" s="1580"/>
      <c r="BZ544" s="1580"/>
      <c r="CA544" s="1580"/>
      <c r="CB544" s="1580"/>
      <c r="CC544" s="1580"/>
      <c r="CD544" s="1580"/>
      <c r="CE544" s="1580"/>
      <c r="CF544" s="1580"/>
      <c r="CG544" s="1580"/>
      <c r="CH544" s="1580"/>
      <c r="CI544" s="1580">
        <v>1020661.9962000001</v>
      </c>
      <c r="CJ544" s="1580">
        <v>-301835.5854000001</v>
      </c>
      <c r="CK544" s="1580"/>
      <c r="CL544" s="1580"/>
      <c r="CM544" s="1580"/>
      <c r="CN544" s="1580"/>
      <c r="CO544" s="1580">
        <v>-307072.20454999997</v>
      </c>
      <c r="CP544" s="1580">
        <v>5237.7910599999868</v>
      </c>
      <c r="CQ544" s="1580">
        <v>31</v>
      </c>
      <c r="CR544" s="1580">
        <v>8786.8047133903601</v>
      </c>
      <c r="CS544" s="1580">
        <v>1355.3075674948923</v>
      </c>
      <c r="CT544" s="1580">
        <v>7209.0763709242747</v>
      </c>
      <c r="CU544" s="1580">
        <v>0</v>
      </c>
      <c r="CV544" s="1580">
        <v>0</v>
      </c>
      <c r="CW544" s="1580">
        <v>0</v>
      </c>
      <c r="CX544" s="1580">
        <v>0</v>
      </c>
      <c r="CY544" s="1580">
        <v>0</v>
      </c>
      <c r="CZ544" s="1580">
        <v>0</v>
      </c>
      <c r="DA544" s="1580">
        <v>0</v>
      </c>
      <c r="DB544" s="1580">
        <v>0</v>
      </c>
      <c r="DC544" s="1580">
        <v>5237.285387513155</v>
      </c>
      <c r="DD544" s="1580">
        <v>0</v>
      </c>
      <c r="DE544" s="1580">
        <v>0</v>
      </c>
      <c r="DF544" s="1580">
        <v>0</v>
      </c>
      <c r="DG544" s="1580">
        <v>214.1589207295101</v>
      </c>
      <c r="DH544" s="1580">
        <v>0</v>
      </c>
      <c r="DI544" s="1580">
        <v>-4502.8322486039906</v>
      </c>
      <c r="DJ544" s="1580"/>
      <c r="DK544" s="1580">
        <v>0</v>
      </c>
      <c r="DL544" s="1580">
        <v>0</v>
      </c>
      <c r="DM544" s="1580">
        <v>0</v>
      </c>
      <c r="DN544" s="1580">
        <v>0</v>
      </c>
      <c r="DO544" s="1580">
        <v>-674.70760309936941</v>
      </c>
      <c r="DP544" s="1580">
        <v>-51.48368156811074</v>
      </c>
      <c r="DQ544" s="1580">
        <v>0</v>
      </c>
      <c r="DR544" s="1580">
        <v>0</v>
      </c>
      <c r="DS544" s="1580"/>
      <c r="DT544" s="1580"/>
      <c r="DU544" s="1580"/>
      <c r="DV544" s="1580">
        <v>1004605.3139729414</v>
      </c>
      <c r="DW544" s="1580">
        <v>0</v>
      </c>
      <c r="DX544" s="1580">
        <v>0</v>
      </c>
      <c r="DY544" s="1580">
        <v>-307072.20454999991</v>
      </c>
      <c r="DZ544" s="1580">
        <v>5237.7910599999886</v>
      </c>
      <c r="EA544" s="1580">
        <v>0</v>
      </c>
      <c r="EB544" s="1580">
        <v>0</v>
      </c>
      <c r="EC544" s="1580">
        <v>-310624.89225302241</v>
      </c>
      <c r="ED544" s="1580">
        <v>0</v>
      </c>
      <c r="EE544" s="1580">
        <v>0</v>
      </c>
      <c r="EF544" s="1580">
        <v>0</v>
      </c>
      <c r="EG544" s="1580">
        <v>0</v>
      </c>
      <c r="EH544" s="1580">
        <v>0</v>
      </c>
      <c r="EI544" s="1580">
        <v>0</v>
      </c>
      <c r="EJ544" s="1580">
        <v>0</v>
      </c>
      <c r="EK544" s="1580">
        <v>0</v>
      </c>
      <c r="EL544" s="1580">
        <v>0</v>
      </c>
      <c r="EM544" s="1580">
        <v>0</v>
      </c>
      <c r="EN544" s="1580">
        <v>0</v>
      </c>
      <c r="EO544" s="1580">
        <v>0</v>
      </c>
      <c r="EP544" s="1580">
        <v>24882.821749555926</v>
      </c>
      <c r="EQ544" s="1580">
        <v>0</v>
      </c>
      <c r="ER544" s="1580">
        <v>0</v>
      </c>
      <c r="ES544" s="1580">
        <v>0</v>
      </c>
      <c r="ET544" s="1580">
        <v>0</v>
      </c>
      <c r="EU544" s="1580">
        <v>0</v>
      </c>
      <c r="EV544" s="1580">
        <v>230</v>
      </c>
      <c r="EW544" s="1580">
        <v>0</v>
      </c>
      <c r="EX544" s="1580">
        <v>0</v>
      </c>
      <c r="EY544" s="1580">
        <v>0</v>
      </c>
      <c r="EZ544" s="1580"/>
      <c r="FA544" s="1580">
        <v>0</v>
      </c>
      <c r="FB544" s="1580"/>
      <c r="FC544" s="1580"/>
      <c r="FD544" s="1580"/>
      <c r="FE544" s="1580"/>
      <c r="FF544" s="1580">
        <v>0</v>
      </c>
      <c r="FG544" s="1580">
        <v>0</v>
      </c>
      <c r="FH544" s="1580">
        <v>0</v>
      </c>
      <c r="FI544" s="1580">
        <v>0</v>
      </c>
    </row>
    <row r="545" spans="1:165">
      <c r="A545" s="1580">
        <v>543</v>
      </c>
      <c r="B545" s="1580" t="s">
        <v>2351</v>
      </c>
      <c r="C545" s="1580" t="s">
        <v>2337</v>
      </c>
      <c r="D545" s="1580" t="s">
        <v>533</v>
      </c>
      <c r="E545" s="1580" t="s">
        <v>890</v>
      </c>
      <c r="F545" s="1580" t="s">
        <v>1239</v>
      </c>
      <c r="G545" s="1580" t="s">
        <v>1239</v>
      </c>
      <c r="H545" s="1580" t="s">
        <v>1239</v>
      </c>
      <c r="I545" s="1580" t="s">
        <v>2326</v>
      </c>
      <c r="J545" s="1580" t="s">
        <v>2329</v>
      </c>
      <c r="K545" s="1581">
        <v>44774</v>
      </c>
      <c r="L545" s="1580">
        <v>0</v>
      </c>
      <c r="M545" s="1580">
        <v>0</v>
      </c>
      <c r="N545" s="1580">
        <v>12817.423000000001</v>
      </c>
      <c r="O545" s="1580">
        <v>12817.423000000001</v>
      </c>
      <c r="P545" s="1580">
        <v>12817.423000000001</v>
      </c>
      <c r="Q545" s="1580">
        <v>12817.423000000001</v>
      </c>
      <c r="R545" s="1580"/>
      <c r="S545" s="1580">
        <v>96.28</v>
      </c>
      <c r="T545" s="1580">
        <v>128.11000000000001</v>
      </c>
      <c r="U545" s="1580"/>
      <c r="V545" s="1580">
        <v>2876101.5469700005</v>
      </c>
      <c r="W545" s="1580">
        <v>2876101.5469700005</v>
      </c>
      <c r="X545" s="1580">
        <v>2879305.9027200001</v>
      </c>
      <c r="Y545" s="1580">
        <v>0</v>
      </c>
      <c r="Z545" s="1580">
        <v>682629.85129803722</v>
      </c>
      <c r="AA545" s="1580">
        <v>0</v>
      </c>
      <c r="AB545" s="1580">
        <v>0</v>
      </c>
      <c r="AC545" s="1580">
        <v>0</v>
      </c>
      <c r="AD545" s="1580">
        <v>0</v>
      </c>
      <c r="AE545" s="1580">
        <v>0</v>
      </c>
      <c r="AF545" s="1580">
        <v>1642053.4730042084</v>
      </c>
      <c r="AG545" s="1580">
        <v>0</v>
      </c>
      <c r="AH545" s="1580">
        <v>0</v>
      </c>
      <c r="AI545" s="1580">
        <v>0</v>
      </c>
      <c r="AJ545" s="1580">
        <v>0</v>
      </c>
      <c r="AK545" s="1580">
        <v>0</v>
      </c>
      <c r="AL545" s="1580">
        <v>121173.99972408845</v>
      </c>
      <c r="AM545" s="1580"/>
      <c r="AN545" s="1580">
        <v>6301.0535126311706</v>
      </c>
      <c r="AO545" s="1580">
        <v>0</v>
      </c>
      <c r="AP545" s="1580">
        <v>0</v>
      </c>
      <c r="AQ545" s="1580">
        <v>0</v>
      </c>
      <c r="AR545" s="1580">
        <v>0</v>
      </c>
      <c r="AS545" s="1580">
        <v>0</v>
      </c>
      <c r="AT545" s="1580">
        <v>0</v>
      </c>
      <c r="AU545" s="1580">
        <v>0</v>
      </c>
      <c r="AV545" s="1580">
        <v>0</v>
      </c>
      <c r="AW545" s="1580">
        <v>0</v>
      </c>
      <c r="AX545" s="1580">
        <v>0</v>
      </c>
      <c r="AY545" s="1580">
        <v>0</v>
      </c>
      <c r="AZ545" s="1580">
        <v>0</v>
      </c>
      <c r="BA545" s="1580"/>
      <c r="BB545" s="1580">
        <v>0</v>
      </c>
      <c r="BC545" s="1580">
        <v>0</v>
      </c>
      <c r="BD545" s="1580">
        <v>0</v>
      </c>
      <c r="BE545" s="1580">
        <v>0</v>
      </c>
      <c r="BF545" s="1580">
        <v>0</v>
      </c>
      <c r="BG545" s="1580">
        <v>67145.548416588237</v>
      </c>
      <c r="BH545" s="1580">
        <v>0</v>
      </c>
      <c r="BI545" s="1580">
        <v>0</v>
      </c>
      <c r="BJ545" s="1580">
        <v>0</v>
      </c>
      <c r="BK545" s="1580">
        <v>0</v>
      </c>
      <c r="BL545" s="1580">
        <v>0</v>
      </c>
      <c r="BM545" s="1580"/>
      <c r="BN545" s="1580"/>
      <c r="BO545" s="1580"/>
      <c r="BP545" s="1580"/>
      <c r="BQ545" s="1580"/>
      <c r="BR545" s="1580"/>
      <c r="BS545" s="1580"/>
      <c r="BT545" s="1580"/>
      <c r="BU545" s="1580"/>
      <c r="BV545" s="1580">
        <v>1709199.0214207966</v>
      </c>
      <c r="BW545" s="1580"/>
      <c r="BX545" s="1580"/>
      <c r="BY545" s="1580"/>
      <c r="BZ545" s="1580"/>
      <c r="CA545" s="1580"/>
      <c r="CB545" s="1580"/>
      <c r="CC545" s="1580"/>
      <c r="CD545" s="1580"/>
      <c r="CE545" s="1580"/>
      <c r="CF545" s="1580"/>
      <c r="CG545" s="1580"/>
      <c r="CH545" s="1580"/>
      <c r="CI545" s="1580">
        <v>2879305.2287999997</v>
      </c>
      <c r="CJ545" s="1580">
        <v>3203.6518299994059</v>
      </c>
      <c r="CK545" s="1580"/>
      <c r="CL545" s="1580"/>
      <c r="CM545" s="1580"/>
      <c r="CN545" s="1580"/>
      <c r="CO545" s="1580">
        <v>-71905.743029999998</v>
      </c>
      <c r="CP545" s="1580">
        <v>75110.098779999811</v>
      </c>
      <c r="CQ545" s="1580">
        <v>31</v>
      </c>
      <c r="CR545" s="1580">
        <v>3189.5213435282931</v>
      </c>
      <c r="CS545" s="1580">
        <v>0</v>
      </c>
      <c r="CT545" s="1580">
        <v>0</v>
      </c>
      <c r="CU545" s="1580">
        <v>0</v>
      </c>
      <c r="CV545" s="1580">
        <v>0</v>
      </c>
      <c r="CW545" s="1580">
        <v>0</v>
      </c>
      <c r="CX545" s="1580">
        <v>0</v>
      </c>
      <c r="CY545" s="1580">
        <v>0</v>
      </c>
      <c r="CZ545" s="1580">
        <v>0</v>
      </c>
      <c r="DA545" s="1580">
        <v>0</v>
      </c>
      <c r="DB545" s="1580">
        <v>0</v>
      </c>
      <c r="DC545" s="1580">
        <v>75102.847419645404</v>
      </c>
      <c r="DD545" s="1580">
        <v>0</v>
      </c>
      <c r="DE545" s="1580">
        <v>0</v>
      </c>
      <c r="DF545" s="1580">
        <v>0</v>
      </c>
      <c r="DG545" s="1580">
        <v>3071.046077697436</v>
      </c>
      <c r="DH545" s="1580">
        <v>0</v>
      </c>
      <c r="DI545" s="1580">
        <v>-64570.764871711959</v>
      </c>
      <c r="DJ545" s="1580"/>
      <c r="DK545" s="1580">
        <v>0</v>
      </c>
      <c r="DL545" s="1580">
        <v>0</v>
      </c>
      <c r="DM545" s="1580">
        <v>0</v>
      </c>
      <c r="DN545" s="1580">
        <v>0</v>
      </c>
      <c r="DO545" s="1580">
        <v>-9675.3295684938348</v>
      </c>
      <c r="DP545" s="1580">
        <v>-738.27771360907627</v>
      </c>
      <c r="DQ545" s="1580">
        <v>0</v>
      </c>
      <c r="DR545" s="1580">
        <v>0</v>
      </c>
      <c r="DS545" s="1580"/>
      <c r="DT545" s="1580"/>
      <c r="DU545" s="1580"/>
      <c r="DV545" s="1580">
        <v>0</v>
      </c>
      <c r="DW545" s="1580">
        <v>0</v>
      </c>
      <c r="DX545" s="1580">
        <v>0</v>
      </c>
      <c r="DY545" s="1580">
        <v>-71905.743030000012</v>
      </c>
      <c r="DZ545" s="1580">
        <v>75110.098779999651</v>
      </c>
      <c r="EA545" s="1580">
        <v>0</v>
      </c>
      <c r="EB545" s="1580">
        <v>0</v>
      </c>
      <c r="EC545" s="1580">
        <v>0</v>
      </c>
      <c r="ED545" s="1580">
        <v>0</v>
      </c>
      <c r="EE545" s="1580">
        <v>0</v>
      </c>
      <c r="EF545" s="1580">
        <v>0</v>
      </c>
      <c r="EG545" s="1580">
        <v>0</v>
      </c>
      <c r="EH545" s="1580">
        <v>0</v>
      </c>
      <c r="EI545" s="1580">
        <v>0</v>
      </c>
      <c r="EJ545" s="1580">
        <v>0</v>
      </c>
      <c r="EK545" s="1580">
        <v>0</v>
      </c>
      <c r="EL545" s="1580">
        <v>0</v>
      </c>
      <c r="EM545" s="1580">
        <v>0</v>
      </c>
      <c r="EN545" s="1580">
        <v>0</v>
      </c>
      <c r="EO545" s="1580">
        <v>0</v>
      </c>
      <c r="EP545" s="1580">
        <v>356820.4951524504</v>
      </c>
      <c r="EQ545" s="1580">
        <v>0</v>
      </c>
      <c r="ER545" s="1580">
        <v>0</v>
      </c>
      <c r="ES545" s="1580">
        <v>0</v>
      </c>
      <c r="ET545" s="1580">
        <v>0</v>
      </c>
      <c r="EU545" s="1580">
        <v>0</v>
      </c>
      <c r="EV545" s="1580">
        <v>230</v>
      </c>
      <c r="EW545" s="1580">
        <v>0</v>
      </c>
      <c r="EX545" s="1580">
        <v>0</v>
      </c>
      <c r="EY545" s="1580">
        <v>0</v>
      </c>
      <c r="EZ545" s="1580"/>
      <c r="FA545" s="1580">
        <v>0</v>
      </c>
      <c r="FB545" s="1580"/>
      <c r="FC545" s="1580"/>
      <c r="FD545" s="1580"/>
      <c r="FE545" s="1580"/>
      <c r="FF545" s="1580">
        <v>0</v>
      </c>
      <c r="FG545" s="1580">
        <v>0</v>
      </c>
      <c r="FH545" s="1580">
        <v>0</v>
      </c>
      <c r="FI545" s="1580">
        <v>0</v>
      </c>
    </row>
    <row r="546" spans="1:165">
      <c r="A546" s="1580">
        <v>544</v>
      </c>
      <c r="B546" s="1580" t="s">
        <v>2351</v>
      </c>
      <c r="C546" s="1580" t="s">
        <v>2337</v>
      </c>
      <c r="D546" s="1580" t="s">
        <v>533</v>
      </c>
      <c r="E546" s="1580" t="s">
        <v>890</v>
      </c>
      <c r="F546" s="1580" t="s">
        <v>1239</v>
      </c>
      <c r="G546" s="1580" t="s">
        <v>1239</v>
      </c>
      <c r="H546" s="1580" t="s">
        <v>1239</v>
      </c>
      <c r="I546" s="1580" t="s">
        <v>1239</v>
      </c>
      <c r="J546" s="1580" t="s">
        <v>2329</v>
      </c>
      <c r="K546" s="1581">
        <v>44774</v>
      </c>
      <c r="L546" s="1580">
        <v>50687</v>
      </c>
      <c r="M546" s="1580">
        <v>50687</v>
      </c>
      <c r="N546" s="1580">
        <v>0</v>
      </c>
      <c r="O546" s="1580">
        <v>0</v>
      </c>
      <c r="P546" s="1580">
        <v>0</v>
      </c>
      <c r="Q546" s="1580">
        <v>0</v>
      </c>
      <c r="R546" s="1580">
        <v>18.12</v>
      </c>
      <c r="S546" s="1580"/>
      <c r="T546" s="1580"/>
      <c r="U546" s="1580">
        <v>918448.44000000006</v>
      </c>
      <c r="V546" s="1580"/>
      <c r="W546" s="1580">
        <v>918448.44000000006</v>
      </c>
      <c r="X546" s="1580">
        <v>732427.14999999991</v>
      </c>
      <c r="Y546" s="1580">
        <v>0</v>
      </c>
      <c r="Z546" s="1580">
        <v>0</v>
      </c>
      <c r="AA546" s="1580">
        <v>0</v>
      </c>
      <c r="AB546" s="1580">
        <v>0</v>
      </c>
      <c r="AC546" s="1580">
        <v>0</v>
      </c>
      <c r="AD546" s="1580">
        <v>0</v>
      </c>
      <c r="AE546" s="1580">
        <v>661918.40652380197</v>
      </c>
      <c r="AF546" s="1580"/>
      <c r="AG546" s="1580"/>
      <c r="AH546" s="1580"/>
      <c r="AI546" s="1580">
        <v>0</v>
      </c>
      <c r="AJ546" s="1580">
        <v>0</v>
      </c>
      <c r="AK546" s="1580">
        <v>0</v>
      </c>
      <c r="AL546" s="1580">
        <v>0</v>
      </c>
      <c r="AM546" s="1580"/>
      <c r="AN546" s="1580">
        <v>0</v>
      </c>
      <c r="AO546" s="1580">
        <v>40289.596571522176</v>
      </c>
      <c r="AP546" s="1580">
        <v>215993.57954686834</v>
      </c>
      <c r="AQ546" s="1580">
        <v>0</v>
      </c>
      <c r="AR546" s="1580">
        <v>0</v>
      </c>
      <c r="AS546" s="1580"/>
      <c r="AT546" s="1580"/>
      <c r="AU546" s="1580">
        <v>0</v>
      </c>
      <c r="AV546" s="1580">
        <v>0</v>
      </c>
      <c r="AW546" s="1580">
        <v>0</v>
      </c>
      <c r="AX546" s="1580"/>
      <c r="AY546" s="1580"/>
      <c r="AZ546" s="1580">
        <v>0</v>
      </c>
      <c r="BA546" s="1580"/>
      <c r="BB546" s="1580">
        <v>0</v>
      </c>
      <c r="BC546" s="1580">
        <v>0</v>
      </c>
      <c r="BD546" s="1580">
        <v>0</v>
      </c>
      <c r="BE546" s="1580">
        <v>0</v>
      </c>
      <c r="BF546" s="1580"/>
      <c r="BG546" s="1580">
        <v>0</v>
      </c>
      <c r="BH546" s="1580">
        <v>0</v>
      </c>
      <c r="BI546" s="1580">
        <v>0</v>
      </c>
      <c r="BJ546" s="1580">
        <v>0</v>
      </c>
      <c r="BK546" s="1580">
        <v>378285.22</v>
      </c>
      <c r="BL546" s="1580">
        <v>97</v>
      </c>
      <c r="BM546" s="1580"/>
      <c r="BN546" s="1580"/>
      <c r="BO546" s="1580"/>
      <c r="BP546" s="1580"/>
      <c r="BQ546" s="1580"/>
      <c r="BR546" s="1580"/>
      <c r="BS546" s="1580"/>
      <c r="BT546" s="1580"/>
      <c r="BU546" s="1580"/>
      <c r="BV546" s="1580">
        <v>0</v>
      </c>
      <c r="BW546" s="1580"/>
      <c r="BX546" s="1580"/>
      <c r="BY546" s="1580"/>
      <c r="BZ546" s="1580"/>
      <c r="CA546" s="1580"/>
      <c r="CB546" s="1580"/>
      <c r="CC546" s="1580"/>
      <c r="CD546" s="1580"/>
      <c r="CE546" s="1580"/>
      <c r="CF546" s="1580"/>
      <c r="CG546" s="1580"/>
      <c r="CH546" s="1580"/>
      <c r="CI546" s="1580">
        <v>732427.14999999991</v>
      </c>
      <c r="CJ546" s="1580">
        <v>-186021.32000000018</v>
      </c>
      <c r="CK546" s="1580"/>
      <c r="CL546" s="1580"/>
      <c r="CM546" s="1580"/>
      <c r="CN546" s="1580"/>
      <c r="CO546" s="1580">
        <v>-186021.2900000001</v>
      </c>
      <c r="CP546" s="1580">
        <v>0</v>
      </c>
      <c r="CQ546" s="1580">
        <v>31</v>
      </c>
      <c r="CR546" s="1580">
        <v>18707.598065832222</v>
      </c>
      <c r="CS546" s="1580">
        <v>2940.971741923393</v>
      </c>
      <c r="CT546" s="1580">
        <v>15766.626323908829</v>
      </c>
      <c r="CU546" s="1580">
        <v>0</v>
      </c>
      <c r="CV546" s="1580">
        <v>0</v>
      </c>
      <c r="CW546" s="1580"/>
      <c r="CX546" s="1580"/>
      <c r="CY546" s="1580"/>
      <c r="CZ546" s="1580">
        <v>0</v>
      </c>
      <c r="DA546" s="1580">
        <v>0</v>
      </c>
      <c r="DB546" s="1580">
        <v>0</v>
      </c>
      <c r="DC546" s="1580"/>
      <c r="DD546" s="1580"/>
      <c r="DE546" s="1580">
        <v>0</v>
      </c>
      <c r="DF546" s="1580">
        <v>0</v>
      </c>
      <c r="DG546" s="1580">
        <v>0</v>
      </c>
      <c r="DH546" s="1580">
        <v>0</v>
      </c>
      <c r="DI546" s="1580">
        <v>0</v>
      </c>
      <c r="DJ546" s="1580"/>
      <c r="DK546" s="1580">
        <v>0</v>
      </c>
      <c r="DL546" s="1580">
        <v>0</v>
      </c>
      <c r="DM546" s="1580"/>
      <c r="DN546" s="1580">
        <v>0</v>
      </c>
      <c r="DO546" s="1580">
        <v>0</v>
      </c>
      <c r="DP546" s="1580">
        <v>0</v>
      </c>
      <c r="DQ546" s="1580">
        <v>0</v>
      </c>
      <c r="DR546" s="1580">
        <v>0</v>
      </c>
      <c r="DS546" s="1580"/>
      <c r="DT546" s="1580"/>
      <c r="DU546" s="1580">
        <v>661918.40652380197</v>
      </c>
      <c r="DV546" s="1580"/>
      <c r="DW546" s="1580">
        <v>0</v>
      </c>
      <c r="DX546" s="1580">
        <v>0</v>
      </c>
      <c r="DY546" s="1580">
        <v>-186021.29000000015</v>
      </c>
      <c r="DZ546" s="1580"/>
      <c r="EA546" s="1580">
        <v>0</v>
      </c>
      <c r="EB546" s="1580"/>
      <c r="EC546" s="1580">
        <v>-204665.78351414902</v>
      </c>
      <c r="ED546" s="1580"/>
      <c r="EE546" s="1580">
        <v>0</v>
      </c>
      <c r="EF546" s="1580">
        <v>0</v>
      </c>
      <c r="EG546" s="1580"/>
      <c r="EH546" s="1580">
        <v>0</v>
      </c>
      <c r="EI546" s="1580">
        <v>0</v>
      </c>
      <c r="EJ546" s="1580">
        <v>0</v>
      </c>
      <c r="EK546" s="1580">
        <v>0</v>
      </c>
      <c r="EL546" s="1580">
        <v>0</v>
      </c>
      <c r="EM546" s="1580"/>
      <c r="EN546" s="1580"/>
      <c r="EO546" s="1580">
        <v>0</v>
      </c>
      <c r="EP546" s="1580">
        <v>0</v>
      </c>
      <c r="EQ546" s="1580"/>
      <c r="ER546" s="1580">
        <v>0</v>
      </c>
      <c r="ES546" s="1580"/>
      <c r="ET546" s="1580">
        <v>0</v>
      </c>
      <c r="EU546" s="1580"/>
      <c r="EV546" s="1580">
        <v>230</v>
      </c>
      <c r="EW546" s="1580"/>
      <c r="EX546" s="1580"/>
      <c r="EY546" s="1580"/>
      <c r="EZ546" s="1580"/>
      <c r="FA546" s="1580">
        <v>0</v>
      </c>
      <c r="FB546" s="1580"/>
      <c r="FC546" s="1580"/>
      <c r="FD546" s="1580"/>
      <c r="FE546" s="1580"/>
      <c r="FF546" s="1580">
        <v>0</v>
      </c>
      <c r="FG546" s="1580">
        <v>0</v>
      </c>
      <c r="FH546" s="1580">
        <v>0</v>
      </c>
      <c r="FI546" s="1580">
        <v>0</v>
      </c>
    </row>
    <row r="547" spans="1:165">
      <c r="A547" s="1580">
        <v>545</v>
      </c>
      <c r="B547" s="1580" t="s">
        <v>2351</v>
      </c>
      <c r="C547" s="1580" t="s">
        <v>2328</v>
      </c>
      <c r="D547" s="1580" t="s">
        <v>1826</v>
      </c>
      <c r="E547" s="1580" t="s">
        <v>918</v>
      </c>
      <c r="F547" s="1580" t="s">
        <v>1239</v>
      </c>
      <c r="G547" s="1580" t="s">
        <v>1239</v>
      </c>
      <c r="H547" s="1580" t="s">
        <v>1239</v>
      </c>
      <c r="I547" s="1580" t="s">
        <v>1239</v>
      </c>
      <c r="J547" s="1580" t="s">
        <v>2329</v>
      </c>
      <c r="K547" s="1581">
        <v>44774</v>
      </c>
      <c r="L547" s="1580">
        <v>0</v>
      </c>
      <c r="M547" s="1580">
        <v>0</v>
      </c>
      <c r="N547" s="1580">
        <v>982.68499999999995</v>
      </c>
      <c r="O547" s="1580">
        <v>982.68499999999995</v>
      </c>
      <c r="P547" s="1580">
        <v>982.68499999999995</v>
      </c>
      <c r="Q547" s="1580">
        <v>982.68499999999995</v>
      </c>
      <c r="R547" s="1580"/>
      <c r="S547" s="1580">
        <v>333.61</v>
      </c>
      <c r="T547" s="1580">
        <v>128.11000000000001</v>
      </c>
      <c r="U547" s="1580"/>
      <c r="V547" s="1580">
        <v>453725.31819999998</v>
      </c>
      <c r="W547" s="1580">
        <v>453725.31819999998</v>
      </c>
      <c r="X547" s="1580">
        <v>396051.53554999997</v>
      </c>
      <c r="Y547" s="1580">
        <v>0</v>
      </c>
      <c r="Z547" s="1580">
        <v>60156.094534868069</v>
      </c>
      <c r="AA547" s="1580">
        <v>0</v>
      </c>
      <c r="AB547" s="1580">
        <v>0</v>
      </c>
      <c r="AC547" s="1580">
        <v>0</v>
      </c>
      <c r="AD547" s="1580">
        <v>0</v>
      </c>
      <c r="AE547" s="1580">
        <v>191128.49659137428</v>
      </c>
      <c r="AF547" s="1580">
        <v>125892.80365633094</v>
      </c>
      <c r="AG547" s="1580">
        <v>0</v>
      </c>
      <c r="AH547" s="1580">
        <v>0</v>
      </c>
      <c r="AI547" s="1580">
        <v>0</v>
      </c>
      <c r="AJ547" s="1580">
        <v>0</v>
      </c>
      <c r="AK547" s="1580">
        <v>0</v>
      </c>
      <c r="AL547" s="1580">
        <v>9290.1569932478506</v>
      </c>
      <c r="AM547" s="1580"/>
      <c r="AN547" s="1580">
        <v>845.4902896673857</v>
      </c>
      <c r="AO547" s="1580">
        <v>3415.8328792005154</v>
      </c>
      <c r="AP547" s="1580">
        <v>18221.56984667401</v>
      </c>
      <c r="AQ547" s="1580">
        <v>0</v>
      </c>
      <c r="AR547" s="1580">
        <v>0</v>
      </c>
      <c r="AS547" s="1580">
        <v>0</v>
      </c>
      <c r="AT547" s="1580">
        <v>0</v>
      </c>
      <c r="AU547" s="1580">
        <v>0</v>
      </c>
      <c r="AV547" s="1580">
        <v>0</v>
      </c>
      <c r="AW547" s="1580">
        <v>0</v>
      </c>
      <c r="AX547" s="1580">
        <v>0</v>
      </c>
      <c r="AY547" s="1580">
        <v>0</v>
      </c>
      <c r="AZ547" s="1580">
        <v>0</v>
      </c>
      <c r="BA547" s="1580"/>
      <c r="BB547" s="1580">
        <v>0</v>
      </c>
      <c r="BC547" s="1580">
        <v>0</v>
      </c>
      <c r="BD547" s="1580">
        <v>0</v>
      </c>
      <c r="BE547" s="1580">
        <v>0</v>
      </c>
      <c r="BF547" s="1580">
        <v>0</v>
      </c>
      <c r="BG547" s="1580">
        <v>13333.434495924621</v>
      </c>
      <c r="BH547" s="1580">
        <v>0</v>
      </c>
      <c r="BI547" s="1580">
        <v>0</v>
      </c>
      <c r="BJ547" s="1580">
        <v>0</v>
      </c>
      <c r="BK547" s="1580">
        <v>80760.91</v>
      </c>
      <c r="BL547" s="1580">
        <v>1676</v>
      </c>
      <c r="BM547" s="1580"/>
      <c r="BN547" s="1580"/>
      <c r="BO547" s="1580"/>
      <c r="BP547" s="1580"/>
      <c r="BQ547" s="1580"/>
      <c r="BR547" s="1580"/>
      <c r="BS547" s="1580"/>
      <c r="BT547" s="1580"/>
      <c r="BU547" s="1580"/>
      <c r="BV547" s="1580">
        <v>139226.23815225557</v>
      </c>
      <c r="BW547" s="1580"/>
      <c r="BX547" s="1580"/>
      <c r="BY547" s="1580"/>
      <c r="BZ547" s="1580"/>
      <c r="CA547" s="1580"/>
      <c r="CB547" s="1580"/>
      <c r="CC547" s="1580"/>
      <c r="CD547" s="1580"/>
      <c r="CE547" s="1580"/>
      <c r="CF547" s="1580"/>
      <c r="CG547" s="1580"/>
      <c r="CH547" s="1580"/>
      <c r="CI547" s="1580">
        <v>396053.55070000002</v>
      </c>
      <c r="CJ547" s="1580">
        <v>-57671.797499999986</v>
      </c>
      <c r="CK547" s="1580"/>
      <c r="CL547" s="1580"/>
      <c r="CM547" s="1580"/>
      <c r="CN547" s="1580"/>
      <c r="CO547" s="1580">
        <v>-63432.316750000005</v>
      </c>
      <c r="CP547" s="1580">
        <v>5758.5340999999853</v>
      </c>
      <c r="CQ547" s="1580">
        <v>31</v>
      </c>
      <c r="CR547" s="1580">
        <v>1416.1639561370248</v>
      </c>
      <c r="CS547" s="1580">
        <v>249.34148831767061</v>
      </c>
      <c r="CT547" s="1580">
        <v>1330.098252967724</v>
      </c>
      <c r="CU547" s="1580">
        <v>0</v>
      </c>
      <c r="CV547" s="1580">
        <v>0</v>
      </c>
      <c r="CW547" s="1580">
        <v>0</v>
      </c>
      <c r="CX547" s="1580">
        <v>0</v>
      </c>
      <c r="CY547" s="1580">
        <v>0</v>
      </c>
      <c r="CZ547" s="1580">
        <v>0</v>
      </c>
      <c r="DA547" s="1580">
        <v>0</v>
      </c>
      <c r="DB547" s="1580">
        <v>0</v>
      </c>
      <c r="DC547" s="1580">
        <v>5757.9781533756177</v>
      </c>
      <c r="DD547" s="1580">
        <v>0</v>
      </c>
      <c r="DE547" s="1580">
        <v>0</v>
      </c>
      <c r="DF547" s="1580">
        <v>0</v>
      </c>
      <c r="DG547" s="1580">
        <v>609.83330505979757</v>
      </c>
      <c r="DH547" s="1580">
        <v>0</v>
      </c>
      <c r="DI547" s="1580">
        <v>-5690.2361190698721</v>
      </c>
      <c r="DJ547" s="1580"/>
      <c r="DK547" s="1580">
        <v>0</v>
      </c>
      <c r="DL547" s="1580">
        <v>0</v>
      </c>
      <c r="DM547" s="1580">
        <v>0</v>
      </c>
      <c r="DN547" s="1580">
        <v>0</v>
      </c>
      <c r="DO547" s="1580">
        <v>-741.78727167039324</v>
      </c>
      <c r="DP547" s="1580">
        <v>-99.06385284350074</v>
      </c>
      <c r="DQ547" s="1580">
        <v>0</v>
      </c>
      <c r="DR547" s="1580">
        <v>0</v>
      </c>
      <c r="DS547" s="1580"/>
      <c r="DT547" s="1580"/>
      <c r="DU547" s="1580"/>
      <c r="DV547" s="1580">
        <v>191128.49659137428</v>
      </c>
      <c r="DW547" s="1580">
        <v>0</v>
      </c>
      <c r="DX547" s="1580">
        <v>0</v>
      </c>
      <c r="DY547" s="1580">
        <v>-63432.316749999998</v>
      </c>
      <c r="DZ547" s="1580">
        <v>5758.5340999999898</v>
      </c>
      <c r="EA547" s="1580">
        <v>0</v>
      </c>
      <c r="EB547" s="1580">
        <v>0</v>
      </c>
      <c r="EC547" s="1580">
        <v>-59097.107923298579</v>
      </c>
      <c r="ED547" s="1580">
        <v>0</v>
      </c>
      <c r="EE547" s="1580">
        <v>0</v>
      </c>
      <c r="EF547" s="1580">
        <v>0</v>
      </c>
      <c r="EG547" s="1580">
        <v>0</v>
      </c>
      <c r="EH547" s="1580">
        <v>0</v>
      </c>
      <c r="EI547" s="1580">
        <v>0</v>
      </c>
      <c r="EJ547" s="1580">
        <v>0</v>
      </c>
      <c r="EK547" s="1580">
        <v>0</v>
      </c>
      <c r="EL547" s="1580">
        <v>0</v>
      </c>
      <c r="EM547" s="1580">
        <v>0</v>
      </c>
      <c r="EN547" s="1580">
        <v>0</v>
      </c>
      <c r="EO547" s="1580">
        <v>0</v>
      </c>
      <c r="EP547" s="1580">
        <v>31444.460563148827</v>
      </c>
      <c r="EQ547" s="1580">
        <v>0</v>
      </c>
      <c r="ER547" s="1580">
        <v>0</v>
      </c>
      <c r="ES547" s="1580">
        <v>0</v>
      </c>
      <c r="ET547" s="1580">
        <v>0</v>
      </c>
      <c r="EU547" s="1580">
        <v>0</v>
      </c>
      <c r="EV547" s="1580">
        <v>230</v>
      </c>
      <c r="EW547" s="1580">
        <v>0</v>
      </c>
      <c r="EX547" s="1580">
        <v>0</v>
      </c>
      <c r="EY547" s="1580">
        <v>0</v>
      </c>
      <c r="EZ547" s="1580"/>
      <c r="FA547" s="1580">
        <v>0</v>
      </c>
      <c r="FB547" s="1580"/>
      <c r="FC547" s="1580"/>
      <c r="FD547" s="1580"/>
      <c r="FE547" s="1580"/>
      <c r="FF547" s="1580">
        <v>0</v>
      </c>
      <c r="FG547" s="1580">
        <v>0</v>
      </c>
      <c r="FH547" s="1580">
        <v>0</v>
      </c>
      <c r="FI547" s="1580">
        <v>0</v>
      </c>
    </row>
    <row r="548" spans="1:165">
      <c r="A548" s="1580">
        <v>546</v>
      </c>
      <c r="B548" s="1580" t="s">
        <v>2351</v>
      </c>
      <c r="C548" s="1580" t="s">
        <v>2328</v>
      </c>
      <c r="D548" s="1580" t="s">
        <v>1826</v>
      </c>
      <c r="E548" s="1580" t="s">
        <v>918</v>
      </c>
      <c r="F548" s="1580" t="s">
        <v>1239</v>
      </c>
      <c r="G548" s="1580" t="s">
        <v>1239</v>
      </c>
      <c r="H548" s="1580" t="s">
        <v>1239</v>
      </c>
      <c r="I548" s="1580" t="s">
        <v>1239</v>
      </c>
      <c r="J548" s="1580" t="s">
        <v>2329</v>
      </c>
      <c r="K548" s="1581">
        <v>44774</v>
      </c>
      <c r="L548" s="1580">
        <v>0</v>
      </c>
      <c r="M548" s="1580">
        <v>0</v>
      </c>
      <c r="N548" s="1580">
        <v>8.9160000000000004</v>
      </c>
      <c r="O548" s="1580">
        <v>8.9160000000000004</v>
      </c>
      <c r="P548" s="1580">
        <v>8.9160000000000004</v>
      </c>
      <c r="Q548" s="1580">
        <v>8.9160000000000004</v>
      </c>
      <c r="R548" s="1580"/>
      <c r="S548" s="1580">
        <v>333.61</v>
      </c>
      <c r="T548" s="1580">
        <v>128.11000000000001</v>
      </c>
      <c r="U548" s="1580"/>
      <c r="V548" s="1580">
        <v>4116.6955200000002</v>
      </c>
      <c r="W548" s="1580">
        <v>4116.6955200000002</v>
      </c>
      <c r="X548" s="1580">
        <v>3593.4154799999997</v>
      </c>
      <c r="Y548" s="1580">
        <v>0</v>
      </c>
      <c r="Z548" s="1580">
        <v>545.80230579777219</v>
      </c>
      <c r="AA548" s="1580">
        <v>0</v>
      </c>
      <c r="AB548" s="1580">
        <v>0</v>
      </c>
      <c r="AC548" s="1580">
        <v>0</v>
      </c>
      <c r="AD548" s="1580">
        <v>0</v>
      </c>
      <c r="AE548" s="1580">
        <v>1734.1281037246863</v>
      </c>
      <c r="AF548" s="1580">
        <v>1142.2380899269317</v>
      </c>
      <c r="AG548" s="1580">
        <v>0</v>
      </c>
      <c r="AH548" s="1580">
        <v>0</v>
      </c>
      <c r="AI548" s="1580">
        <v>0</v>
      </c>
      <c r="AJ548" s="1580">
        <v>0</v>
      </c>
      <c r="AK548" s="1580">
        <v>0</v>
      </c>
      <c r="AL548" s="1580">
        <v>84.290530283659407</v>
      </c>
      <c r="AM548" s="1580"/>
      <c r="AN548" s="1580">
        <v>7.6712185722529718</v>
      </c>
      <c r="AO548" s="1580">
        <v>30.992195821602852</v>
      </c>
      <c r="AP548" s="1580">
        <v>165.32613884708275</v>
      </c>
      <c r="AQ548" s="1580">
        <v>0</v>
      </c>
      <c r="AR548" s="1580">
        <v>0</v>
      </c>
      <c r="AS548" s="1580">
        <v>0</v>
      </c>
      <c r="AT548" s="1580">
        <v>0</v>
      </c>
      <c r="AU548" s="1580">
        <v>0</v>
      </c>
      <c r="AV548" s="1580">
        <v>0</v>
      </c>
      <c r="AW548" s="1580">
        <v>0</v>
      </c>
      <c r="AX548" s="1580">
        <v>0</v>
      </c>
      <c r="AY548" s="1580">
        <v>0</v>
      </c>
      <c r="AZ548" s="1580">
        <v>0</v>
      </c>
      <c r="BA548" s="1580"/>
      <c r="BB548" s="1580">
        <v>0</v>
      </c>
      <c r="BC548" s="1580">
        <v>0</v>
      </c>
      <c r="BD548" s="1580">
        <v>0</v>
      </c>
      <c r="BE548" s="1580">
        <v>0</v>
      </c>
      <c r="BF548" s="1580">
        <v>0</v>
      </c>
      <c r="BG548" s="1580">
        <v>120.9755943823951</v>
      </c>
      <c r="BH548" s="1580">
        <v>0</v>
      </c>
      <c r="BI548" s="1580">
        <v>0</v>
      </c>
      <c r="BJ548" s="1580">
        <v>0</v>
      </c>
      <c r="BK548" s="1580">
        <v>1840.04</v>
      </c>
      <c r="BL548" s="1580">
        <v>17</v>
      </c>
      <c r="BM548" s="1580"/>
      <c r="BN548" s="1580"/>
      <c r="BO548" s="1580"/>
      <c r="BP548" s="1580"/>
      <c r="BQ548" s="1580"/>
      <c r="BR548" s="1580"/>
      <c r="BS548" s="1580"/>
      <c r="BT548" s="1580"/>
      <c r="BU548" s="1580"/>
      <c r="BV548" s="1580">
        <v>1263.2136843093267</v>
      </c>
      <c r="BW548" s="1580"/>
      <c r="BX548" s="1580"/>
      <c r="BY548" s="1580"/>
      <c r="BZ548" s="1580"/>
      <c r="CA548" s="1580"/>
      <c r="CB548" s="1580"/>
      <c r="CC548" s="1580"/>
      <c r="CD548" s="1580"/>
      <c r="CE548" s="1580"/>
      <c r="CF548" s="1580"/>
      <c r="CG548" s="1580"/>
      <c r="CH548" s="1580"/>
      <c r="CI548" s="1580">
        <v>3595.0275999999999</v>
      </c>
      <c r="CJ548" s="1580">
        <v>-521.69792000000098</v>
      </c>
      <c r="CK548" s="1580"/>
      <c r="CL548" s="1580"/>
      <c r="CM548" s="1580"/>
      <c r="CN548" s="1580"/>
      <c r="CO548" s="1580">
        <v>-575.52780000000007</v>
      </c>
      <c r="CP548" s="1580">
        <v>52.247759999999872</v>
      </c>
      <c r="CQ548" s="1580">
        <v>31</v>
      </c>
      <c r="CR548" s="1580">
        <v>12.848998237398519</v>
      </c>
      <c r="CS548" s="1580">
        <v>2.2623004419934638</v>
      </c>
      <c r="CT548" s="1580">
        <v>12.068115442344407</v>
      </c>
      <c r="CU548" s="1580">
        <v>0</v>
      </c>
      <c r="CV548" s="1580">
        <v>0</v>
      </c>
      <c r="CW548" s="1580">
        <v>0</v>
      </c>
      <c r="CX548" s="1580">
        <v>0</v>
      </c>
      <c r="CY548" s="1580">
        <v>0</v>
      </c>
      <c r="CZ548" s="1580">
        <v>0</v>
      </c>
      <c r="DA548" s="1580">
        <v>0</v>
      </c>
      <c r="DB548" s="1580">
        <v>0</v>
      </c>
      <c r="DC548" s="1580">
        <v>52.24271584027133</v>
      </c>
      <c r="DD548" s="1580">
        <v>0</v>
      </c>
      <c r="DE548" s="1580">
        <v>0</v>
      </c>
      <c r="DF548" s="1580">
        <v>0</v>
      </c>
      <c r="DG548" s="1580">
        <v>5.5330790109884163</v>
      </c>
      <c r="DH548" s="1580">
        <v>0</v>
      </c>
      <c r="DI548" s="1580">
        <v>-51.62808553873009</v>
      </c>
      <c r="DJ548" s="1580"/>
      <c r="DK548" s="1580">
        <v>0</v>
      </c>
      <c r="DL548" s="1580">
        <v>0</v>
      </c>
      <c r="DM548" s="1580">
        <v>0</v>
      </c>
      <c r="DN548" s="1580">
        <v>0</v>
      </c>
      <c r="DO548" s="1580">
        <v>-6.7303106429967272</v>
      </c>
      <c r="DP548" s="1580">
        <v>-0.89881631647237104</v>
      </c>
      <c r="DQ548" s="1580">
        <v>0</v>
      </c>
      <c r="DR548" s="1580">
        <v>0</v>
      </c>
      <c r="DS548" s="1580"/>
      <c r="DT548" s="1580"/>
      <c r="DU548" s="1580"/>
      <c r="DV548" s="1580">
        <v>1734.1281037246863</v>
      </c>
      <c r="DW548" s="1580">
        <v>0</v>
      </c>
      <c r="DX548" s="1580">
        <v>0</v>
      </c>
      <c r="DY548" s="1580">
        <v>-575.5278000000003</v>
      </c>
      <c r="DZ548" s="1580">
        <v>52.247759999999744</v>
      </c>
      <c r="EA548" s="1580">
        <v>0</v>
      </c>
      <c r="EB548" s="1580">
        <v>0</v>
      </c>
      <c r="EC548" s="1580">
        <v>-536.19401358943128</v>
      </c>
      <c r="ED548" s="1580">
        <v>0</v>
      </c>
      <c r="EE548" s="1580">
        <v>0</v>
      </c>
      <c r="EF548" s="1580">
        <v>0</v>
      </c>
      <c r="EG548" s="1580">
        <v>0</v>
      </c>
      <c r="EH548" s="1580">
        <v>0</v>
      </c>
      <c r="EI548" s="1580">
        <v>0</v>
      </c>
      <c r="EJ548" s="1580">
        <v>0</v>
      </c>
      <c r="EK548" s="1580">
        <v>0</v>
      </c>
      <c r="EL548" s="1580">
        <v>0</v>
      </c>
      <c r="EM548" s="1580">
        <v>0</v>
      </c>
      <c r="EN548" s="1580">
        <v>0</v>
      </c>
      <c r="EO548" s="1580">
        <v>0</v>
      </c>
      <c r="EP548" s="1580">
        <v>285.29875838242668</v>
      </c>
      <c r="EQ548" s="1580">
        <v>0</v>
      </c>
      <c r="ER548" s="1580">
        <v>0</v>
      </c>
      <c r="ES548" s="1580">
        <v>0</v>
      </c>
      <c r="ET548" s="1580">
        <v>0</v>
      </c>
      <c r="EU548" s="1580">
        <v>0</v>
      </c>
      <c r="EV548" s="1580">
        <v>230</v>
      </c>
      <c r="EW548" s="1580">
        <v>0</v>
      </c>
      <c r="EX548" s="1580">
        <v>0</v>
      </c>
      <c r="EY548" s="1580">
        <v>0</v>
      </c>
      <c r="EZ548" s="1580"/>
      <c r="FA548" s="1580">
        <v>0</v>
      </c>
      <c r="FB548" s="1580"/>
      <c r="FC548" s="1580"/>
      <c r="FD548" s="1580"/>
      <c r="FE548" s="1580"/>
      <c r="FF548" s="1580">
        <v>0</v>
      </c>
      <c r="FG548" s="1580">
        <v>0</v>
      </c>
      <c r="FH548" s="1580">
        <v>0</v>
      </c>
      <c r="FI548" s="1580">
        <v>0</v>
      </c>
    </row>
    <row r="549" spans="1:165">
      <c r="A549" s="1580">
        <v>547</v>
      </c>
      <c r="B549" s="1580" t="s">
        <v>2351</v>
      </c>
      <c r="C549" s="1580" t="s">
        <v>2337</v>
      </c>
      <c r="D549" s="1580" t="s">
        <v>533</v>
      </c>
      <c r="E549" s="1580" t="s">
        <v>918</v>
      </c>
      <c r="F549" s="1580" t="s">
        <v>1239</v>
      </c>
      <c r="G549" s="1580" t="s">
        <v>1239</v>
      </c>
      <c r="H549" s="1580" t="s">
        <v>1239</v>
      </c>
      <c r="I549" s="1580" t="s">
        <v>893</v>
      </c>
      <c r="J549" s="1580" t="s">
        <v>2329</v>
      </c>
      <c r="K549" s="1581">
        <v>44774</v>
      </c>
      <c r="L549" s="1580">
        <v>0</v>
      </c>
      <c r="M549" s="1580">
        <v>0</v>
      </c>
      <c r="N549" s="1580">
        <v>35.9</v>
      </c>
      <c r="O549" s="1580">
        <v>35.9</v>
      </c>
      <c r="P549" s="1580">
        <v>35.9</v>
      </c>
      <c r="Q549" s="1580">
        <v>35.9</v>
      </c>
      <c r="R549" s="1580"/>
      <c r="S549" s="1580">
        <v>1351.49</v>
      </c>
      <c r="T549" s="1580">
        <v>128.11000000000001</v>
      </c>
      <c r="U549" s="1580"/>
      <c r="V549" s="1580">
        <v>53117.64</v>
      </c>
      <c r="W549" s="1580">
        <v>53117.64</v>
      </c>
      <c r="X549" s="1580">
        <v>40994.569000000003</v>
      </c>
      <c r="Y549" s="1580">
        <v>0</v>
      </c>
      <c r="Z549" s="1580">
        <v>1911.96090365431</v>
      </c>
      <c r="AA549" s="1580">
        <v>0</v>
      </c>
      <c r="AB549" s="1580">
        <v>0</v>
      </c>
      <c r="AC549" s="1580">
        <v>0</v>
      </c>
      <c r="AD549" s="1580">
        <v>0</v>
      </c>
      <c r="AE549" s="1580">
        <v>40349.612250807033</v>
      </c>
      <c r="AF549" s="1580">
        <v>4599.1865666640688</v>
      </c>
      <c r="AG549" s="1580">
        <v>0</v>
      </c>
      <c r="AH549" s="1580">
        <v>0</v>
      </c>
      <c r="AI549" s="1580">
        <v>0</v>
      </c>
      <c r="AJ549" s="1580">
        <v>0</v>
      </c>
      <c r="AK549" s="1580">
        <v>0</v>
      </c>
      <c r="AL549" s="1580">
        <v>339.3932298321414</v>
      </c>
      <c r="AM549" s="1580"/>
      <c r="AN549" s="1580">
        <v>17.64846343164761</v>
      </c>
      <c r="AO549" s="1580">
        <v>745.73379514587259</v>
      </c>
      <c r="AP549" s="1580">
        <v>3966.6655824275972</v>
      </c>
      <c r="AQ549" s="1580">
        <v>0</v>
      </c>
      <c r="AR549" s="1580">
        <v>0</v>
      </c>
      <c r="AS549" s="1580">
        <v>0</v>
      </c>
      <c r="AT549" s="1580">
        <v>0</v>
      </c>
      <c r="AU549" s="1580">
        <v>0</v>
      </c>
      <c r="AV549" s="1580">
        <v>0</v>
      </c>
      <c r="AW549" s="1580">
        <v>0</v>
      </c>
      <c r="AX549" s="1580">
        <v>0</v>
      </c>
      <c r="AY549" s="1580">
        <v>0</v>
      </c>
      <c r="AZ549" s="1580">
        <v>0</v>
      </c>
      <c r="BA549" s="1580"/>
      <c r="BB549" s="1580">
        <v>0</v>
      </c>
      <c r="BC549" s="1580">
        <v>0</v>
      </c>
      <c r="BD549" s="1580">
        <v>0</v>
      </c>
      <c r="BE549" s="1580">
        <v>0</v>
      </c>
      <c r="BF549" s="1580">
        <v>0</v>
      </c>
      <c r="BG549" s="1580">
        <v>188.06628978036517</v>
      </c>
      <c r="BH549" s="1580">
        <v>0</v>
      </c>
      <c r="BI549" s="1580">
        <v>0</v>
      </c>
      <c r="BJ549" s="1580">
        <v>0</v>
      </c>
      <c r="BK549" s="1580">
        <v>0</v>
      </c>
      <c r="BL549" s="1580">
        <v>0</v>
      </c>
      <c r="BM549" s="1580"/>
      <c r="BN549" s="1580"/>
      <c r="BO549" s="1580"/>
      <c r="BP549" s="1580"/>
      <c r="BQ549" s="1580"/>
      <c r="BR549" s="1580"/>
      <c r="BS549" s="1580"/>
      <c r="BT549" s="1580"/>
      <c r="BU549" s="1580"/>
      <c r="BV549" s="1580">
        <v>4787.2528564444337</v>
      </c>
      <c r="BW549" s="1580"/>
      <c r="BX549" s="1580"/>
      <c r="BY549" s="1580"/>
      <c r="BZ549" s="1580"/>
      <c r="CA549" s="1580"/>
      <c r="CB549" s="1580"/>
      <c r="CC549" s="1580"/>
      <c r="CD549" s="1580"/>
      <c r="CE549" s="1580"/>
      <c r="CF549" s="1580"/>
      <c r="CG549" s="1580"/>
      <c r="CH549" s="1580"/>
      <c r="CI549" s="1580">
        <v>40994.569000000003</v>
      </c>
      <c r="CJ549" s="1580">
        <v>-12123.101000000002</v>
      </c>
      <c r="CK549" s="1580"/>
      <c r="CL549" s="1580"/>
      <c r="CM549" s="1580"/>
      <c r="CN549" s="1580"/>
      <c r="CO549" s="1580">
        <v>-12333.444999999998</v>
      </c>
      <c r="CP549" s="1580">
        <v>210.37399999999946</v>
      </c>
      <c r="CQ549" s="1580">
        <v>31</v>
      </c>
      <c r="CR549" s="1580">
        <v>352.91886094723122</v>
      </c>
      <c r="CS549" s="1580">
        <v>54.435442524919949</v>
      </c>
      <c r="CT549" s="1580">
        <v>289.54996774094752</v>
      </c>
      <c r="CU549" s="1580">
        <v>0</v>
      </c>
      <c r="CV549" s="1580">
        <v>0</v>
      </c>
      <c r="CW549" s="1580">
        <v>0</v>
      </c>
      <c r="CX549" s="1580">
        <v>0</v>
      </c>
      <c r="CY549" s="1580">
        <v>0</v>
      </c>
      <c r="CZ549" s="1580">
        <v>0</v>
      </c>
      <c r="DA549" s="1580">
        <v>0</v>
      </c>
      <c r="DB549" s="1580">
        <v>0</v>
      </c>
      <c r="DC549" s="1580">
        <v>210.35368984586694</v>
      </c>
      <c r="DD549" s="1580">
        <v>0</v>
      </c>
      <c r="DE549" s="1580">
        <v>0</v>
      </c>
      <c r="DF549" s="1580">
        <v>0</v>
      </c>
      <c r="DG549" s="1580">
        <v>8.6016162678986063</v>
      </c>
      <c r="DH549" s="1580">
        <v>0</v>
      </c>
      <c r="DI549" s="1580">
        <v>-180.85464284782233</v>
      </c>
      <c r="DJ549" s="1580"/>
      <c r="DK549" s="1580">
        <v>0</v>
      </c>
      <c r="DL549" s="1580">
        <v>0</v>
      </c>
      <c r="DM549" s="1580">
        <v>0</v>
      </c>
      <c r="DN549" s="1580">
        <v>0</v>
      </c>
      <c r="DO549" s="1580">
        <v>-27.099388973035275</v>
      </c>
      <c r="DP549" s="1580">
        <v>-2.0678236115454602</v>
      </c>
      <c r="DQ549" s="1580">
        <v>0</v>
      </c>
      <c r="DR549" s="1580">
        <v>0</v>
      </c>
      <c r="DS549" s="1580"/>
      <c r="DT549" s="1580"/>
      <c r="DU549" s="1580"/>
      <c r="DV549" s="1580">
        <v>40349.612250807033</v>
      </c>
      <c r="DW549" s="1580">
        <v>0</v>
      </c>
      <c r="DX549" s="1580">
        <v>0</v>
      </c>
      <c r="DY549" s="1580">
        <v>-12333.445</v>
      </c>
      <c r="DZ549" s="1580">
        <v>210.3739999999998</v>
      </c>
      <c r="EA549" s="1580">
        <v>0</v>
      </c>
      <c r="EB549" s="1580">
        <v>0</v>
      </c>
      <c r="EC549" s="1580">
        <v>-12476.13742783343</v>
      </c>
      <c r="ED549" s="1580">
        <v>0</v>
      </c>
      <c r="EE549" s="1580">
        <v>0</v>
      </c>
      <c r="EF549" s="1580">
        <v>0</v>
      </c>
      <c r="EG549" s="1580">
        <v>0</v>
      </c>
      <c r="EH549" s="1580">
        <v>0</v>
      </c>
      <c r="EI549" s="1580">
        <v>0</v>
      </c>
      <c r="EJ549" s="1580">
        <v>0</v>
      </c>
      <c r="EK549" s="1580">
        <v>0</v>
      </c>
      <c r="EL549" s="1580">
        <v>0</v>
      </c>
      <c r="EM549" s="1580">
        <v>0</v>
      </c>
      <c r="EN549" s="1580">
        <v>0</v>
      </c>
      <c r="EO549" s="1580">
        <v>0</v>
      </c>
      <c r="EP549" s="1580">
        <v>999.40961423938086</v>
      </c>
      <c r="EQ549" s="1580">
        <v>0</v>
      </c>
      <c r="ER549" s="1580">
        <v>0</v>
      </c>
      <c r="ES549" s="1580">
        <v>0</v>
      </c>
      <c r="ET549" s="1580">
        <v>0</v>
      </c>
      <c r="EU549" s="1580">
        <v>0</v>
      </c>
      <c r="EV549" s="1580">
        <v>230</v>
      </c>
      <c r="EW549" s="1580">
        <v>0</v>
      </c>
      <c r="EX549" s="1580">
        <v>0</v>
      </c>
      <c r="EY549" s="1580">
        <v>0</v>
      </c>
      <c r="EZ549" s="1580"/>
      <c r="FA549" s="1580">
        <v>0</v>
      </c>
      <c r="FB549" s="1580"/>
      <c r="FC549" s="1580"/>
      <c r="FD549" s="1580"/>
      <c r="FE549" s="1580"/>
      <c r="FF549" s="1580">
        <v>0</v>
      </c>
      <c r="FG549" s="1580">
        <v>0</v>
      </c>
      <c r="FH549" s="1580">
        <v>0</v>
      </c>
      <c r="FI549" s="1580">
        <v>0</v>
      </c>
    </row>
    <row r="550" spans="1:165">
      <c r="A550" s="1580">
        <v>548</v>
      </c>
      <c r="B550" s="1580" t="s">
        <v>2351</v>
      </c>
      <c r="C550" s="1580" t="s">
        <v>2337</v>
      </c>
      <c r="D550" s="1580" t="s">
        <v>533</v>
      </c>
      <c r="E550" s="1580" t="s">
        <v>918</v>
      </c>
      <c r="F550" s="1580" t="s">
        <v>1239</v>
      </c>
      <c r="G550" s="1580" t="s">
        <v>1239</v>
      </c>
      <c r="H550" s="1580" t="s">
        <v>1239</v>
      </c>
      <c r="I550" s="1580" t="s">
        <v>2326</v>
      </c>
      <c r="J550" s="1580" t="s">
        <v>2329</v>
      </c>
      <c r="K550" s="1581">
        <v>44774</v>
      </c>
      <c r="L550" s="1580">
        <v>0</v>
      </c>
      <c r="M550" s="1580">
        <v>0</v>
      </c>
      <c r="N550" s="1580">
        <v>421.21100000000001</v>
      </c>
      <c r="O550" s="1580">
        <v>421.21100000000001</v>
      </c>
      <c r="P550" s="1580">
        <v>421.21100000000001</v>
      </c>
      <c r="Q550" s="1580">
        <v>421.21100000000001</v>
      </c>
      <c r="R550" s="1580"/>
      <c r="S550" s="1580">
        <v>96.28</v>
      </c>
      <c r="T550" s="1580">
        <v>128.11000000000001</v>
      </c>
      <c r="U550" s="1580"/>
      <c r="V550" s="1580">
        <v>94515.536290000018</v>
      </c>
      <c r="W550" s="1580">
        <v>94515.536290000018</v>
      </c>
      <c r="X550" s="1580">
        <v>94620.839040000006</v>
      </c>
      <c r="Y550" s="1580">
        <v>0</v>
      </c>
      <c r="Z550" s="1580">
        <v>22432.840228109628</v>
      </c>
      <c r="AA550" s="1580">
        <v>0</v>
      </c>
      <c r="AB550" s="1580">
        <v>0</v>
      </c>
      <c r="AC550" s="1580">
        <v>0</v>
      </c>
      <c r="AD550" s="1580">
        <v>0</v>
      </c>
      <c r="AE550" s="1580">
        <v>0</v>
      </c>
      <c r="AF550" s="1580">
        <v>53961.781975797756</v>
      </c>
      <c r="AG550" s="1580">
        <v>0</v>
      </c>
      <c r="AH550" s="1580">
        <v>0</v>
      </c>
      <c r="AI550" s="1580">
        <v>0</v>
      </c>
      <c r="AJ550" s="1580">
        <v>0</v>
      </c>
      <c r="AK550" s="1580">
        <v>0</v>
      </c>
      <c r="AL550" s="1580">
        <v>3982.0657863739866</v>
      </c>
      <c r="AM550" s="1580"/>
      <c r="AN550" s="1580">
        <v>207.06760252110647</v>
      </c>
      <c r="AO550" s="1580">
        <v>0</v>
      </c>
      <c r="AP550" s="1580">
        <v>0</v>
      </c>
      <c r="AQ550" s="1580">
        <v>0</v>
      </c>
      <c r="AR550" s="1580">
        <v>0</v>
      </c>
      <c r="AS550" s="1580">
        <v>0</v>
      </c>
      <c r="AT550" s="1580">
        <v>0</v>
      </c>
      <c r="AU550" s="1580">
        <v>0</v>
      </c>
      <c r="AV550" s="1580">
        <v>0</v>
      </c>
      <c r="AW550" s="1580">
        <v>0</v>
      </c>
      <c r="AX550" s="1580">
        <v>0</v>
      </c>
      <c r="AY550" s="1580">
        <v>0</v>
      </c>
      <c r="AZ550" s="1580">
        <v>0</v>
      </c>
      <c r="BA550" s="1580"/>
      <c r="BB550" s="1580">
        <v>0</v>
      </c>
      <c r="BC550" s="1580">
        <v>0</v>
      </c>
      <c r="BD550" s="1580">
        <v>0</v>
      </c>
      <c r="BE550" s="1580">
        <v>0</v>
      </c>
      <c r="BF550" s="1580">
        <v>0</v>
      </c>
      <c r="BG550" s="1580">
        <v>2206.562395116362</v>
      </c>
      <c r="BH550" s="1580">
        <v>0</v>
      </c>
      <c r="BI550" s="1580">
        <v>0</v>
      </c>
      <c r="BJ550" s="1580">
        <v>0</v>
      </c>
      <c r="BK550" s="1580">
        <v>0</v>
      </c>
      <c r="BL550" s="1580">
        <v>0</v>
      </c>
      <c r="BM550" s="1580"/>
      <c r="BN550" s="1580"/>
      <c r="BO550" s="1580"/>
      <c r="BP550" s="1580"/>
      <c r="BQ550" s="1580"/>
      <c r="BR550" s="1580"/>
      <c r="BS550" s="1580"/>
      <c r="BT550" s="1580"/>
      <c r="BU550" s="1580"/>
      <c r="BV550" s="1580">
        <v>56168.344370914121</v>
      </c>
      <c r="BW550" s="1580"/>
      <c r="BX550" s="1580"/>
      <c r="BY550" s="1580"/>
      <c r="BZ550" s="1580"/>
      <c r="CA550" s="1580"/>
      <c r="CB550" s="1580"/>
      <c r="CC550" s="1580"/>
      <c r="CD550" s="1580"/>
      <c r="CE550" s="1580"/>
      <c r="CF550" s="1580"/>
      <c r="CG550" s="1580"/>
      <c r="CH550" s="1580"/>
      <c r="CI550" s="1580">
        <v>94620.614399999991</v>
      </c>
      <c r="CJ550" s="1580">
        <v>105.04810999998881</v>
      </c>
      <c r="CK550" s="1580"/>
      <c r="CL550" s="1580"/>
      <c r="CM550" s="1580"/>
      <c r="CN550" s="1580"/>
      <c r="CO550" s="1580">
        <v>-2362.9937099999997</v>
      </c>
      <c r="CP550" s="1580">
        <v>2468.2964599999937</v>
      </c>
      <c r="CQ550" s="1580">
        <v>31</v>
      </c>
      <c r="CR550" s="1580">
        <v>104.8152561266761</v>
      </c>
      <c r="CS550" s="1580">
        <v>0</v>
      </c>
      <c r="CT550" s="1580">
        <v>0</v>
      </c>
      <c r="CU550" s="1580">
        <v>0</v>
      </c>
      <c r="CV550" s="1580">
        <v>0</v>
      </c>
      <c r="CW550" s="1580">
        <v>0</v>
      </c>
      <c r="CX550" s="1580">
        <v>0</v>
      </c>
      <c r="CY550" s="1580">
        <v>0</v>
      </c>
      <c r="CZ550" s="1580">
        <v>0</v>
      </c>
      <c r="DA550" s="1580">
        <v>0</v>
      </c>
      <c r="DB550" s="1580">
        <v>0</v>
      </c>
      <c r="DC550" s="1580">
        <v>2468.0581630547968</v>
      </c>
      <c r="DD550" s="1580">
        <v>0</v>
      </c>
      <c r="DE550" s="1580">
        <v>0</v>
      </c>
      <c r="DF550" s="1580">
        <v>0</v>
      </c>
      <c r="DG550" s="1580">
        <v>100.92187715370028</v>
      </c>
      <c r="DH550" s="1580">
        <v>0</v>
      </c>
      <c r="DI550" s="1580">
        <v>-2121.9488849185</v>
      </c>
      <c r="DJ550" s="1580"/>
      <c r="DK550" s="1580">
        <v>0</v>
      </c>
      <c r="DL550" s="1580">
        <v>0</v>
      </c>
      <c r="DM550" s="1580">
        <v>0</v>
      </c>
      <c r="DN550" s="1580">
        <v>0</v>
      </c>
      <c r="DO550" s="1580">
        <v>-317.95433784738589</v>
      </c>
      <c r="DP550" s="1580">
        <v>-24.261561315951951</v>
      </c>
      <c r="DQ550" s="1580">
        <v>0</v>
      </c>
      <c r="DR550" s="1580">
        <v>0</v>
      </c>
      <c r="DS550" s="1580"/>
      <c r="DT550" s="1580"/>
      <c r="DU550" s="1580"/>
      <c r="DV550" s="1580">
        <v>0</v>
      </c>
      <c r="DW550" s="1580">
        <v>0</v>
      </c>
      <c r="DX550" s="1580">
        <v>0</v>
      </c>
      <c r="DY550" s="1580">
        <v>-2362.9937100000025</v>
      </c>
      <c r="DZ550" s="1580">
        <v>2468.2964599999978</v>
      </c>
      <c r="EA550" s="1580">
        <v>0</v>
      </c>
      <c r="EB550" s="1580">
        <v>0</v>
      </c>
      <c r="EC550" s="1580">
        <v>0</v>
      </c>
      <c r="ED550" s="1580">
        <v>0</v>
      </c>
      <c r="EE550" s="1580">
        <v>0</v>
      </c>
      <c r="EF550" s="1580">
        <v>0</v>
      </c>
      <c r="EG550" s="1580">
        <v>0</v>
      </c>
      <c r="EH550" s="1580">
        <v>0</v>
      </c>
      <c r="EI550" s="1580">
        <v>0</v>
      </c>
      <c r="EJ550" s="1580">
        <v>0</v>
      </c>
      <c r="EK550" s="1580">
        <v>0</v>
      </c>
      <c r="EL550" s="1580">
        <v>0</v>
      </c>
      <c r="EM550" s="1580">
        <v>0</v>
      </c>
      <c r="EN550" s="1580">
        <v>0</v>
      </c>
      <c r="EO550" s="1580">
        <v>0</v>
      </c>
      <c r="EP550" s="1580">
        <v>11725.970000651361</v>
      </c>
      <c r="EQ550" s="1580">
        <v>0</v>
      </c>
      <c r="ER550" s="1580">
        <v>0</v>
      </c>
      <c r="ES550" s="1580">
        <v>0</v>
      </c>
      <c r="ET550" s="1580">
        <v>0</v>
      </c>
      <c r="EU550" s="1580">
        <v>0</v>
      </c>
      <c r="EV550" s="1580">
        <v>230</v>
      </c>
      <c r="EW550" s="1580">
        <v>0</v>
      </c>
      <c r="EX550" s="1580">
        <v>0</v>
      </c>
      <c r="EY550" s="1580">
        <v>0</v>
      </c>
      <c r="EZ550" s="1580"/>
      <c r="FA550" s="1580">
        <v>0</v>
      </c>
      <c r="FB550" s="1580"/>
      <c r="FC550" s="1580"/>
      <c r="FD550" s="1580"/>
      <c r="FE550" s="1580"/>
      <c r="FF550" s="1580">
        <v>0</v>
      </c>
      <c r="FG550" s="1580">
        <v>0</v>
      </c>
      <c r="FH550" s="1580">
        <v>0</v>
      </c>
      <c r="FI550" s="1580">
        <v>0</v>
      </c>
    </row>
    <row r="551" spans="1:165">
      <c r="A551" s="1580">
        <v>549</v>
      </c>
      <c r="B551" s="1580" t="s">
        <v>2351</v>
      </c>
      <c r="C551" s="1580" t="s">
        <v>2337</v>
      </c>
      <c r="D551" s="1580" t="s">
        <v>533</v>
      </c>
      <c r="E551" s="1580" t="s">
        <v>918</v>
      </c>
      <c r="F551" s="1580" t="s">
        <v>1239</v>
      </c>
      <c r="G551" s="1580" t="s">
        <v>1239</v>
      </c>
      <c r="H551" s="1580" t="s">
        <v>1239</v>
      </c>
      <c r="I551" s="1580" t="s">
        <v>1239</v>
      </c>
      <c r="J551" s="1580" t="s">
        <v>2329</v>
      </c>
      <c r="K551" s="1581">
        <v>44774</v>
      </c>
      <c r="L551" s="1580">
        <v>1684</v>
      </c>
      <c r="M551" s="1580">
        <v>1684</v>
      </c>
      <c r="N551" s="1580">
        <v>0</v>
      </c>
      <c r="O551" s="1580">
        <v>0</v>
      </c>
      <c r="P551" s="1580">
        <v>0</v>
      </c>
      <c r="Q551" s="1580">
        <v>0</v>
      </c>
      <c r="R551" s="1580">
        <v>18.12</v>
      </c>
      <c r="S551" s="1580"/>
      <c r="T551" s="1580"/>
      <c r="U551" s="1580">
        <v>30514.080000000002</v>
      </c>
      <c r="V551" s="1580"/>
      <c r="W551" s="1580">
        <v>30514.080000000002</v>
      </c>
      <c r="X551" s="1580">
        <v>24333.8</v>
      </c>
      <c r="Y551" s="1580">
        <v>0</v>
      </c>
      <c r="Z551" s="1580">
        <v>0</v>
      </c>
      <c r="AA551" s="1580">
        <v>0</v>
      </c>
      <c r="AB551" s="1580">
        <v>0</v>
      </c>
      <c r="AC551" s="1580">
        <v>0</v>
      </c>
      <c r="AD551" s="1580">
        <v>0</v>
      </c>
      <c r="AE551" s="1580">
        <v>21991.252127489941</v>
      </c>
      <c r="AF551" s="1580"/>
      <c r="AG551" s="1580"/>
      <c r="AH551" s="1580"/>
      <c r="AI551" s="1580">
        <v>0</v>
      </c>
      <c r="AJ551" s="1580">
        <v>0</v>
      </c>
      <c r="AK551" s="1580">
        <v>0</v>
      </c>
      <c r="AL551" s="1580">
        <v>0</v>
      </c>
      <c r="AM551" s="1580"/>
      <c r="AN551" s="1580">
        <v>0</v>
      </c>
      <c r="AO551" s="1580">
        <v>1338.5617737574396</v>
      </c>
      <c r="AP551" s="1580">
        <v>7176.0646311071132</v>
      </c>
      <c r="AQ551" s="1580">
        <v>0</v>
      </c>
      <c r="AR551" s="1580">
        <v>0</v>
      </c>
      <c r="AS551" s="1580"/>
      <c r="AT551" s="1580"/>
      <c r="AU551" s="1580">
        <v>0</v>
      </c>
      <c r="AV551" s="1580">
        <v>0</v>
      </c>
      <c r="AW551" s="1580">
        <v>0</v>
      </c>
      <c r="AX551" s="1580"/>
      <c r="AY551" s="1580"/>
      <c r="AZ551" s="1580">
        <v>0</v>
      </c>
      <c r="BA551" s="1580"/>
      <c r="BB551" s="1580">
        <v>0</v>
      </c>
      <c r="BC551" s="1580">
        <v>0</v>
      </c>
      <c r="BD551" s="1580">
        <v>0</v>
      </c>
      <c r="BE551" s="1580">
        <v>0</v>
      </c>
      <c r="BF551" s="1580"/>
      <c r="BG551" s="1580">
        <v>0</v>
      </c>
      <c r="BH551" s="1580">
        <v>0</v>
      </c>
      <c r="BI551" s="1580">
        <v>0</v>
      </c>
      <c r="BJ551" s="1580">
        <v>0</v>
      </c>
      <c r="BK551" s="1580">
        <v>12566.65</v>
      </c>
      <c r="BL551" s="1580">
        <v>17</v>
      </c>
      <c r="BM551" s="1580"/>
      <c r="BN551" s="1580"/>
      <c r="BO551" s="1580"/>
      <c r="BP551" s="1580"/>
      <c r="BQ551" s="1580"/>
      <c r="BR551" s="1580"/>
      <c r="BS551" s="1580"/>
      <c r="BT551" s="1580"/>
      <c r="BU551" s="1580"/>
      <c r="BV551" s="1580">
        <v>0</v>
      </c>
      <c r="BW551" s="1580"/>
      <c r="BX551" s="1580"/>
      <c r="BY551" s="1580"/>
      <c r="BZ551" s="1580"/>
      <c r="CA551" s="1580"/>
      <c r="CB551" s="1580"/>
      <c r="CC551" s="1580"/>
      <c r="CD551" s="1580"/>
      <c r="CE551" s="1580"/>
      <c r="CF551" s="1580"/>
      <c r="CG551" s="1580"/>
      <c r="CH551" s="1580"/>
      <c r="CI551" s="1580">
        <v>24333.8</v>
      </c>
      <c r="CJ551" s="1580">
        <v>-6180.3099999999977</v>
      </c>
      <c r="CK551" s="1580"/>
      <c r="CL551" s="1580"/>
      <c r="CM551" s="1580"/>
      <c r="CN551" s="1580"/>
      <c r="CO551" s="1580">
        <v>-6180.2800000000025</v>
      </c>
      <c r="CP551" s="1580">
        <v>0</v>
      </c>
      <c r="CQ551" s="1580">
        <v>31</v>
      </c>
      <c r="CR551" s="1580">
        <v>621.53205245647769</v>
      </c>
      <c r="CS551" s="1580">
        <v>97.709401096908323</v>
      </c>
      <c r="CT551" s="1580">
        <v>523.82265135957005</v>
      </c>
      <c r="CU551" s="1580">
        <v>0</v>
      </c>
      <c r="CV551" s="1580">
        <v>0</v>
      </c>
      <c r="CW551" s="1580"/>
      <c r="CX551" s="1580"/>
      <c r="CY551" s="1580"/>
      <c r="CZ551" s="1580">
        <v>0</v>
      </c>
      <c r="DA551" s="1580">
        <v>0</v>
      </c>
      <c r="DB551" s="1580">
        <v>0</v>
      </c>
      <c r="DC551" s="1580"/>
      <c r="DD551" s="1580"/>
      <c r="DE551" s="1580">
        <v>0</v>
      </c>
      <c r="DF551" s="1580">
        <v>0</v>
      </c>
      <c r="DG551" s="1580">
        <v>0</v>
      </c>
      <c r="DH551" s="1580">
        <v>0</v>
      </c>
      <c r="DI551" s="1580">
        <v>0</v>
      </c>
      <c r="DJ551" s="1580"/>
      <c r="DK551" s="1580">
        <v>0</v>
      </c>
      <c r="DL551" s="1580">
        <v>0</v>
      </c>
      <c r="DM551" s="1580"/>
      <c r="DN551" s="1580">
        <v>0</v>
      </c>
      <c r="DO551" s="1580">
        <v>0</v>
      </c>
      <c r="DP551" s="1580">
        <v>0</v>
      </c>
      <c r="DQ551" s="1580">
        <v>0</v>
      </c>
      <c r="DR551" s="1580">
        <v>0</v>
      </c>
      <c r="DS551" s="1580"/>
      <c r="DT551" s="1580"/>
      <c r="DU551" s="1580">
        <v>21991.252127489941</v>
      </c>
      <c r="DV551" s="1580"/>
      <c r="DW551" s="1580">
        <v>0</v>
      </c>
      <c r="DX551" s="1580">
        <v>0</v>
      </c>
      <c r="DY551" s="1580">
        <v>-6180.2800000000025</v>
      </c>
      <c r="DZ551" s="1580"/>
      <c r="EA551" s="1580">
        <v>0</v>
      </c>
      <c r="EB551" s="1580"/>
      <c r="EC551" s="1580">
        <v>-6799.7154978165418</v>
      </c>
      <c r="ED551" s="1580"/>
      <c r="EE551" s="1580">
        <v>0</v>
      </c>
      <c r="EF551" s="1580">
        <v>0</v>
      </c>
      <c r="EG551" s="1580"/>
      <c r="EH551" s="1580">
        <v>0</v>
      </c>
      <c r="EI551" s="1580">
        <v>0</v>
      </c>
      <c r="EJ551" s="1580">
        <v>0</v>
      </c>
      <c r="EK551" s="1580">
        <v>0</v>
      </c>
      <c r="EL551" s="1580">
        <v>0</v>
      </c>
      <c r="EM551" s="1580"/>
      <c r="EN551" s="1580"/>
      <c r="EO551" s="1580">
        <v>0</v>
      </c>
      <c r="EP551" s="1580">
        <v>0</v>
      </c>
      <c r="EQ551" s="1580"/>
      <c r="ER551" s="1580">
        <v>0</v>
      </c>
      <c r="ES551" s="1580"/>
      <c r="ET551" s="1580">
        <v>0</v>
      </c>
      <c r="EU551" s="1580"/>
      <c r="EV551" s="1580">
        <v>230</v>
      </c>
      <c r="EW551" s="1580"/>
      <c r="EX551" s="1580"/>
      <c r="EY551" s="1580"/>
      <c r="EZ551" s="1580"/>
      <c r="FA551" s="1580">
        <v>0</v>
      </c>
      <c r="FB551" s="1580"/>
      <c r="FC551" s="1580"/>
      <c r="FD551" s="1580"/>
      <c r="FE551" s="1580"/>
      <c r="FF551" s="1580">
        <v>0</v>
      </c>
      <c r="FG551" s="1580">
        <v>0</v>
      </c>
      <c r="FH551" s="1580">
        <v>0</v>
      </c>
      <c r="FI551" s="1580">
        <v>0</v>
      </c>
    </row>
    <row r="552" spans="1:165">
      <c r="A552" s="1580">
        <v>550</v>
      </c>
      <c r="B552" s="1580" t="s">
        <v>2351</v>
      </c>
      <c r="C552" s="1580" t="s">
        <v>2328</v>
      </c>
      <c r="D552" s="1580" t="s">
        <v>2340</v>
      </c>
      <c r="E552" s="1580" t="s">
        <v>894</v>
      </c>
      <c r="F552" s="1580" t="s">
        <v>1239</v>
      </c>
      <c r="G552" s="1580" t="s">
        <v>1239</v>
      </c>
      <c r="H552" s="1580" t="s">
        <v>1239</v>
      </c>
      <c r="I552" s="1580" t="s">
        <v>1239</v>
      </c>
      <c r="J552" s="1580" t="s">
        <v>2329</v>
      </c>
      <c r="K552" s="1581">
        <v>44774</v>
      </c>
      <c r="L552" s="1580">
        <v>0</v>
      </c>
      <c r="M552" s="1580">
        <v>0</v>
      </c>
      <c r="N552" s="1580">
        <v>938.06500000000005</v>
      </c>
      <c r="O552" s="1580">
        <v>938.06500000000005</v>
      </c>
      <c r="P552" s="1580">
        <v>938.06500000000005</v>
      </c>
      <c r="Q552" s="1580">
        <v>938.06500000000005</v>
      </c>
      <c r="R552" s="1580"/>
      <c r="S552" s="1580">
        <v>333.61</v>
      </c>
      <c r="T552" s="1580">
        <v>128.11000000000001</v>
      </c>
      <c r="U552" s="1580"/>
      <c r="V552" s="1580">
        <v>433123.37180000002</v>
      </c>
      <c r="W552" s="1580">
        <v>433123.37180000002</v>
      </c>
      <c r="X552" s="1580">
        <v>378068.33695000003</v>
      </c>
      <c r="Y552" s="1580">
        <v>0</v>
      </c>
      <c r="Z552" s="1580">
        <v>57424.634363861274</v>
      </c>
      <c r="AA552" s="1580">
        <v>0</v>
      </c>
      <c r="AB552" s="1580">
        <v>0</v>
      </c>
      <c r="AC552" s="1580">
        <v>0</v>
      </c>
      <c r="AD552" s="1580">
        <v>0</v>
      </c>
      <c r="AE552" s="1580">
        <v>182450.07622482031</v>
      </c>
      <c r="AF552" s="1580">
        <v>120176.48876483929</v>
      </c>
      <c r="AG552" s="1580">
        <v>0</v>
      </c>
      <c r="AH552" s="1580">
        <v>0</v>
      </c>
      <c r="AI552" s="1580">
        <v>0</v>
      </c>
      <c r="AJ552" s="1580">
        <v>0</v>
      </c>
      <c r="AK552" s="1580">
        <v>0</v>
      </c>
      <c r="AL552" s="1580">
        <v>8868.3261878130288</v>
      </c>
      <c r="AM552" s="1580"/>
      <c r="AN552" s="1580">
        <v>807.09978128987041</v>
      </c>
      <c r="AO552" s="1580">
        <v>3260.7328592857652</v>
      </c>
      <c r="AP552" s="1580">
        <v>17394.197447015329</v>
      </c>
      <c r="AQ552" s="1580">
        <v>0</v>
      </c>
      <c r="AR552" s="1580">
        <v>0</v>
      </c>
      <c r="AS552" s="1580">
        <v>0</v>
      </c>
      <c r="AT552" s="1580">
        <v>0</v>
      </c>
      <c r="AU552" s="1580">
        <v>0</v>
      </c>
      <c r="AV552" s="1580">
        <v>0</v>
      </c>
      <c r="AW552" s="1580">
        <v>0</v>
      </c>
      <c r="AX552" s="1580">
        <v>0</v>
      </c>
      <c r="AY552" s="1580">
        <v>0</v>
      </c>
      <c r="AZ552" s="1580">
        <v>0</v>
      </c>
      <c r="BA552" s="1580"/>
      <c r="BB552" s="1580">
        <v>0</v>
      </c>
      <c r="BC552" s="1580">
        <v>0</v>
      </c>
      <c r="BD552" s="1580">
        <v>0</v>
      </c>
      <c r="BE552" s="1580">
        <v>0</v>
      </c>
      <c r="BF552" s="1580">
        <v>0</v>
      </c>
      <c r="BG552" s="1580">
        <v>12728.013789179169</v>
      </c>
      <c r="BH552" s="1580">
        <v>0</v>
      </c>
      <c r="BI552" s="1580">
        <v>0</v>
      </c>
      <c r="BJ552" s="1580">
        <v>0</v>
      </c>
      <c r="BK552" s="1580">
        <v>52693.08</v>
      </c>
      <c r="BL552" s="1580">
        <v>2303</v>
      </c>
      <c r="BM552" s="1580"/>
      <c r="BN552" s="1580"/>
      <c r="BO552" s="1580"/>
      <c r="BP552" s="1580"/>
      <c r="BQ552" s="1580"/>
      <c r="BR552" s="1580">
        <v>45374.204049999993</v>
      </c>
      <c r="BS552" s="1580"/>
      <c r="BT552" s="1580"/>
      <c r="BU552" s="1580"/>
      <c r="BV552" s="1580">
        <v>132904.50255401846</v>
      </c>
      <c r="BW552" s="1580"/>
      <c r="BX552" s="1580"/>
      <c r="BY552" s="1580"/>
      <c r="BZ552" s="1580"/>
      <c r="CA552" s="1580"/>
      <c r="CB552" s="1580"/>
      <c r="CC552" s="1580"/>
      <c r="CD552" s="1580"/>
      <c r="CE552" s="1580"/>
      <c r="CF552" s="1580"/>
      <c r="CG552" s="1580"/>
      <c r="CH552" s="1580"/>
      <c r="CI552" s="1580">
        <v>332695.90620000003</v>
      </c>
      <c r="CJ552" s="1580">
        <v>-48458.694599999988</v>
      </c>
      <c r="CK552" s="1580"/>
      <c r="CL552" s="1580"/>
      <c r="CM552" s="1580"/>
      <c r="CN552" s="1580"/>
      <c r="CO552" s="1580">
        <v>-60552.095750000015</v>
      </c>
      <c r="CP552" s="1580">
        <v>5497.0608999999868</v>
      </c>
      <c r="CQ552" s="1580">
        <v>31</v>
      </c>
      <c r="CR552" s="1580">
        <v>1351.8613202742708</v>
      </c>
      <c r="CS552" s="1580">
        <v>238.01983671137259</v>
      </c>
      <c r="CT552" s="1580">
        <v>1269.7035343677453</v>
      </c>
      <c r="CU552" s="1580">
        <v>0</v>
      </c>
      <c r="CV552" s="1580">
        <v>0</v>
      </c>
      <c r="CW552" s="1580">
        <v>0</v>
      </c>
      <c r="CX552" s="1580">
        <v>0</v>
      </c>
      <c r="CY552" s="1580">
        <v>0</v>
      </c>
      <c r="CZ552" s="1580">
        <v>0</v>
      </c>
      <c r="DA552" s="1580">
        <v>0</v>
      </c>
      <c r="DB552" s="1580">
        <v>0</v>
      </c>
      <c r="DC552" s="1580">
        <v>5496.5301968039712</v>
      </c>
      <c r="DD552" s="1580">
        <v>0</v>
      </c>
      <c r="DE552" s="1580">
        <v>0</v>
      </c>
      <c r="DF552" s="1580">
        <v>0</v>
      </c>
      <c r="DG552" s="1580">
        <v>582.14308685989636</v>
      </c>
      <c r="DH552" s="1580">
        <v>0</v>
      </c>
      <c r="DI552" s="1580">
        <v>-5431.8640714321155</v>
      </c>
      <c r="DJ552" s="1580"/>
      <c r="DK552" s="1580">
        <v>0</v>
      </c>
      <c r="DL552" s="1580">
        <v>0</v>
      </c>
      <c r="DM552" s="1580">
        <v>0</v>
      </c>
      <c r="DN552" s="1580">
        <v>0</v>
      </c>
      <c r="DO552" s="1580">
        <v>-708.10552415014809</v>
      </c>
      <c r="DP552" s="1580">
        <v>-94.565738886457552</v>
      </c>
      <c r="DQ552" s="1580">
        <v>0</v>
      </c>
      <c r="DR552" s="1580">
        <v>0</v>
      </c>
      <c r="DS552" s="1580"/>
      <c r="DT552" s="1580"/>
      <c r="DU552" s="1580"/>
      <c r="DV552" s="1580">
        <v>182450.07622482031</v>
      </c>
      <c r="DW552" s="1580">
        <v>0</v>
      </c>
      <c r="DX552" s="1580">
        <v>0</v>
      </c>
      <c r="DY552" s="1580">
        <v>-60552.095749999979</v>
      </c>
      <c r="DZ552" s="1580">
        <v>5497.0608999999822</v>
      </c>
      <c r="EA552" s="1580">
        <v>0</v>
      </c>
      <c r="EB552" s="1580">
        <v>0</v>
      </c>
      <c r="EC552" s="1580">
        <v>-56413.73231917563</v>
      </c>
      <c r="ED552" s="1580">
        <v>0</v>
      </c>
      <c r="EE552" s="1580">
        <v>0</v>
      </c>
      <c r="EF552" s="1580">
        <v>0</v>
      </c>
      <c r="EG552" s="1580">
        <v>0</v>
      </c>
      <c r="EH552" s="1580">
        <v>0</v>
      </c>
      <c r="EI552" s="1580">
        <v>0</v>
      </c>
      <c r="EJ552" s="1580">
        <v>0</v>
      </c>
      <c r="EK552" s="1580">
        <v>0</v>
      </c>
      <c r="EL552" s="1580">
        <v>0</v>
      </c>
      <c r="EM552" s="1580">
        <v>0</v>
      </c>
      <c r="EN552" s="1580">
        <v>0</v>
      </c>
      <c r="EO552" s="1580">
        <v>0</v>
      </c>
      <c r="EP552" s="1580">
        <v>30016.686830642786</v>
      </c>
      <c r="EQ552" s="1580">
        <v>0</v>
      </c>
      <c r="ER552" s="1580">
        <v>0</v>
      </c>
      <c r="ES552" s="1580">
        <v>0</v>
      </c>
      <c r="ET552" s="1580">
        <v>0</v>
      </c>
      <c r="EU552" s="1580">
        <v>0</v>
      </c>
      <c r="EV552" s="1580">
        <v>230</v>
      </c>
      <c r="EW552" s="1580">
        <v>0</v>
      </c>
      <c r="EX552" s="1580">
        <v>0</v>
      </c>
      <c r="EY552" s="1580">
        <v>0</v>
      </c>
      <c r="EZ552" s="1580"/>
      <c r="FA552" s="1580">
        <v>0</v>
      </c>
      <c r="FB552" s="1580"/>
      <c r="FC552" s="1580"/>
      <c r="FD552" s="1580"/>
      <c r="FE552" s="1580"/>
      <c r="FF552" s="1580">
        <v>0</v>
      </c>
      <c r="FG552" s="1580">
        <v>0</v>
      </c>
      <c r="FH552" s="1580">
        <v>0</v>
      </c>
      <c r="FI552" s="1580">
        <v>0</v>
      </c>
    </row>
    <row r="553" spans="1:165">
      <c r="A553" s="1580">
        <v>551</v>
      </c>
      <c r="B553" s="1580" t="s">
        <v>2351</v>
      </c>
      <c r="C553" s="1580" t="s">
        <v>2328</v>
      </c>
      <c r="D553" s="1580" t="s">
        <v>2340</v>
      </c>
      <c r="E553" s="1580" t="s">
        <v>894</v>
      </c>
      <c r="F553" s="1580" t="s">
        <v>1239</v>
      </c>
      <c r="G553" s="1580" t="s">
        <v>1239</v>
      </c>
      <c r="H553" s="1580" t="s">
        <v>1239</v>
      </c>
      <c r="I553" s="1580" t="s">
        <v>1239</v>
      </c>
      <c r="J553" s="1580" t="s">
        <v>2329</v>
      </c>
      <c r="K553" s="1581">
        <v>44774</v>
      </c>
      <c r="L553" s="1580">
        <v>0</v>
      </c>
      <c r="M553" s="1580">
        <v>0</v>
      </c>
      <c r="N553" s="1580">
        <v>-0.17199999999999999</v>
      </c>
      <c r="O553" s="1580">
        <v>-0.17199999999999999</v>
      </c>
      <c r="P553" s="1580">
        <v>-0.17199999999999999</v>
      </c>
      <c r="Q553" s="1580">
        <v>-0.17199999999999999</v>
      </c>
      <c r="R553" s="1580"/>
      <c r="S553" s="1580">
        <v>333.61</v>
      </c>
      <c r="T553" s="1580">
        <v>128.11000000000001</v>
      </c>
      <c r="U553" s="1580"/>
      <c r="V553" s="1580">
        <v>-79.415840000000003</v>
      </c>
      <c r="W553" s="1580">
        <v>-79.415840000000003</v>
      </c>
      <c r="X553" s="1580">
        <v>-69.321159999999992</v>
      </c>
      <c r="Y553" s="1580">
        <v>0</v>
      </c>
      <c r="Z553" s="1580">
        <v>-10.529160677121668</v>
      </c>
      <c r="AA553" s="1580">
        <v>0</v>
      </c>
      <c r="AB553" s="1580">
        <v>0</v>
      </c>
      <c r="AC553" s="1580">
        <v>0</v>
      </c>
      <c r="AD553" s="1580">
        <v>0</v>
      </c>
      <c r="AE553" s="1580">
        <v>-33.453346101463211</v>
      </c>
      <c r="AF553" s="1580">
        <v>-22.035099985131474</v>
      </c>
      <c r="AG553" s="1580">
        <v>0</v>
      </c>
      <c r="AH553" s="1580">
        <v>0</v>
      </c>
      <c r="AI553" s="1580">
        <v>0</v>
      </c>
      <c r="AJ553" s="1580">
        <v>0</v>
      </c>
      <c r="AK553" s="1580">
        <v>0</v>
      </c>
      <c r="AL553" s="1580">
        <v>-1.62606227106207</v>
      </c>
      <c r="AM553" s="1580"/>
      <c r="AN553" s="1580">
        <v>-0.1479867198774687</v>
      </c>
      <c r="AO553" s="1580">
        <v>-0.59787546896766375</v>
      </c>
      <c r="AP553" s="1580">
        <v>-3.1893333200648528</v>
      </c>
      <c r="AQ553" s="1580">
        <v>0</v>
      </c>
      <c r="AR553" s="1580">
        <v>0</v>
      </c>
      <c r="AS553" s="1580">
        <v>0</v>
      </c>
      <c r="AT553" s="1580">
        <v>0</v>
      </c>
      <c r="AU553" s="1580">
        <v>0</v>
      </c>
      <c r="AV553" s="1580">
        <v>0</v>
      </c>
      <c r="AW553" s="1580">
        <v>0</v>
      </c>
      <c r="AX553" s="1580">
        <v>0</v>
      </c>
      <c r="AY553" s="1580">
        <v>0</v>
      </c>
      <c r="AZ553" s="1580">
        <v>0</v>
      </c>
      <c r="BA553" s="1580"/>
      <c r="BB553" s="1580">
        <v>0</v>
      </c>
      <c r="BC553" s="1580">
        <v>0</v>
      </c>
      <c r="BD553" s="1580">
        <v>0</v>
      </c>
      <c r="BE553" s="1580">
        <v>0</v>
      </c>
      <c r="BF553" s="1580">
        <v>0</v>
      </c>
      <c r="BG553" s="1580">
        <v>-2.3337597839582722</v>
      </c>
      <c r="BH553" s="1580">
        <v>0</v>
      </c>
      <c r="BI553" s="1580">
        <v>0</v>
      </c>
      <c r="BJ553" s="1580">
        <v>0</v>
      </c>
      <c r="BK553" s="1580">
        <v>-8.31</v>
      </c>
      <c r="BL553" s="1580">
        <v>0</v>
      </c>
      <c r="BM553" s="1580"/>
      <c r="BN553" s="1580"/>
      <c r="BO553" s="1580"/>
      <c r="BP553" s="1580"/>
      <c r="BQ553" s="1580"/>
      <c r="BR553" s="1580">
        <v>-8.3196399999999979</v>
      </c>
      <c r="BS553" s="1580"/>
      <c r="BT553" s="1580"/>
      <c r="BU553" s="1580"/>
      <c r="BV553" s="1580">
        <v>-24.368859769089745</v>
      </c>
      <c r="BW553" s="1580"/>
      <c r="BX553" s="1580"/>
      <c r="BY553" s="1580"/>
      <c r="BZ553" s="1580"/>
      <c r="CA553" s="1580"/>
      <c r="CB553" s="1580"/>
      <c r="CC553" s="1580"/>
      <c r="CD553" s="1580"/>
      <c r="CE553" s="1580"/>
      <c r="CF553" s="1580"/>
      <c r="CG553" s="1580"/>
      <c r="CH553" s="1580"/>
      <c r="CI553" s="1580">
        <v>-60.292200000000008</v>
      </c>
      <c r="CJ553" s="1580">
        <v>9.5648399999999754</v>
      </c>
      <c r="CK553" s="1580"/>
      <c r="CL553" s="1580"/>
      <c r="CM553" s="1580"/>
      <c r="CN553" s="1580"/>
      <c r="CO553" s="1580">
        <v>11.102600000000001</v>
      </c>
      <c r="CP553" s="1580">
        <v>-1.0079199999999975</v>
      </c>
      <c r="CQ553" s="1580">
        <v>31</v>
      </c>
      <c r="CR553" s="1580">
        <v>-0.24787210597045828</v>
      </c>
      <c r="CS553" s="1580">
        <v>-4.3642404219703446E-2</v>
      </c>
      <c r="CT553" s="1580">
        <v>-0.23280796950238214</v>
      </c>
      <c r="CU553" s="1580">
        <v>0</v>
      </c>
      <c r="CV553" s="1580">
        <v>0</v>
      </c>
      <c r="CW553" s="1580">
        <v>0</v>
      </c>
      <c r="CX553" s="1580">
        <v>0</v>
      </c>
      <c r="CY553" s="1580">
        <v>0</v>
      </c>
      <c r="CZ553" s="1580">
        <v>0</v>
      </c>
      <c r="DA553" s="1580">
        <v>0</v>
      </c>
      <c r="DB553" s="1580">
        <v>0</v>
      </c>
      <c r="DC553" s="1580">
        <v>-1.0078226922977436</v>
      </c>
      <c r="DD553" s="1580">
        <v>0</v>
      </c>
      <c r="DE553" s="1580">
        <v>0</v>
      </c>
      <c r="DF553" s="1580">
        <v>0</v>
      </c>
      <c r="DG553" s="1580">
        <v>-0.10673952331651027</v>
      </c>
      <c r="DH553" s="1580">
        <v>0</v>
      </c>
      <c r="DI553" s="1580">
        <v>0.99596575960762301</v>
      </c>
      <c r="DJ553" s="1580"/>
      <c r="DK553" s="1580">
        <v>0</v>
      </c>
      <c r="DL553" s="1580">
        <v>0</v>
      </c>
      <c r="DM553" s="1580">
        <v>0</v>
      </c>
      <c r="DN553" s="1580">
        <v>0</v>
      </c>
      <c r="DO553" s="1580">
        <v>0.1298355126284696</v>
      </c>
      <c r="DP553" s="1580">
        <v>1.7339211129794502E-2</v>
      </c>
      <c r="DQ553" s="1580">
        <v>0</v>
      </c>
      <c r="DR553" s="1580">
        <v>0</v>
      </c>
      <c r="DS553" s="1580"/>
      <c r="DT553" s="1580"/>
      <c r="DU553" s="1580"/>
      <c r="DV553" s="1580">
        <v>-33.453346101463211</v>
      </c>
      <c r="DW553" s="1580">
        <v>0</v>
      </c>
      <c r="DX553" s="1580">
        <v>0</v>
      </c>
      <c r="DY553" s="1580">
        <v>11.102600000000002</v>
      </c>
      <c r="DZ553" s="1580">
        <v>-1.0079199999999986</v>
      </c>
      <c r="EA553" s="1580">
        <v>0</v>
      </c>
      <c r="EB553" s="1580">
        <v>0</v>
      </c>
      <c r="EC553" s="1580">
        <v>10.343805556009663</v>
      </c>
      <c r="ED553" s="1580">
        <v>0</v>
      </c>
      <c r="EE553" s="1580">
        <v>0</v>
      </c>
      <c r="EF553" s="1580">
        <v>0</v>
      </c>
      <c r="EG553" s="1580">
        <v>0</v>
      </c>
      <c r="EH553" s="1580">
        <v>0</v>
      </c>
      <c r="EI553" s="1580">
        <v>0</v>
      </c>
      <c r="EJ553" s="1580">
        <v>0</v>
      </c>
      <c r="EK553" s="1580">
        <v>0</v>
      </c>
      <c r="EL553" s="1580">
        <v>0</v>
      </c>
      <c r="EM553" s="1580">
        <v>0</v>
      </c>
      <c r="EN553" s="1580">
        <v>0</v>
      </c>
      <c r="EO553" s="1580">
        <v>0</v>
      </c>
      <c r="EP553" s="1580">
        <v>-5.5037445538108321</v>
      </c>
      <c r="EQ553" s="1580">
        <v>0</v>
      </c>
      <c r="ER553" s="1580">
        <v>0</v>
      </c>
      <c r="ES553" s="1580">
        <v>0</v>
      </c>
      <c r="ET553" s="1580">
        <v>0</v>
      </c>
      <c r="EU553" s="1580">
        <v>0</v>
      </c>
      <c r="EV553" s="1580">
        <v>230</v>
      </c>
      <c r="EW553" s="1580">
        <v>0</v>
      </c>
      <c r="EX553" s="1580">
        <v>0</v>
      </c>
      <c r="EY553" s="1580">
        <v>0</v>
      </c>
      <c r="EZ553" s="1580"/>
      <c r="FA553" s="1580">
        <v>0</v>
      </c>
      <c r="FB553" s="1580"/>
      <c r="FC553" s="1580"/>
      <c r="FD553" s="1580"/>
      <c r="FE553" s="1580"/>
      <c r="FF553" s="1580">
        <v>0</v>
      </c>
      <c r="FG553" s="1580">
        <v>0</v>
      </c>
      <c r="FH553" s="1580">
        <v>0</v>
      </c>
      <c r="FI553" s="1580">
        <v>0</v>
      </c>
    </row>
    <row r="554" spans="1:165">
      <c r="A554" s="1580">
        <v>552</v>
      </c>
      <c r="B554" s="1580" t="s">
        <v>2351</v>
      </c>
      <c r="C554" s="1580" t="s">
        <v>2328</v>
      </c>
      <c r="D554" s="1580" t="s">
        <v>2340</v>
      </c>
      <c r="E554" s="1580" t="s">
        <v>894</v>
      </c>
      <c r="F554" s="1580" t="s">
        <v>1239</v>
      </c>
      <c r="G554" s="1580" t="s">
        <v>1239</v>
      </c>
      <c r="H554" s="1580" t="s">
        <v>1239</v>
      </c>
      <c r="I554" s="1580" t="s">
        <v>1239</v>
      </c>
      <c r="J554" s="1580" t="s">
        <v>2329</v>
      </c>
      <c r="K554" s="1581">
        <v>44774</v>
      </c>
      <c r="L554" s="1580">
        <v>0</v>
      </c>
      <c r="M554" s="1580">
        <v>0</v>
      </c>
      <c r="N554" s="1580">
        <v>35.591999999999999</v>
      </c>
      <c r="O554" s="1580">
        <v>35.591999999999999</v>
      </c>
      <c r="P554" s="1580">
        <v>35.591999999999999</v>
      </c>
      <c r="Q554" s="1580">
        <v>35.591999999999999</v>
      </c>
      <c r="R554" s="1580"/>
      <c r="S554" s="1580">
        <v>333.61</v>
      </c>
      <c r="T554" s="1580">
        <v>128.11000000000001</v>
      </c>
      <c r="U554" s="1580"/>
      <c r="V554" s="1580">
        <v>16433.538240000002</v>
      </c>
      <c r="W554" s="1580">
        <v>16433.538240000002</v>
      </c>
      <c r="X554" s="1580">
        <v>14344.643759999999</v>
      </c>
      <c r="Y554" s="1580">
        <v>0</v>
      </c>
      <c r="Z554" s="1580">
        <v>2178.8016675588051</v>
      </c>
      <c r="AA554" s="1580">
        <v>0</v>
      </c>
      <c r="AB554" s="1580">
        <v>0</v>
      </c>
      <c r="AC554" s="1580">
        <v>0</v>
      </c>
      <c r="AD554" s="1580">
        <v>0</v>
      </c>
      <c r="AE554" s="1580">
        <v>6922.5086886237132</v>
      </c>
      <c r="AF554" s="1580">
        <v>4559.7283643651126</v>
      </c>
      <c r="AG554" s="1580">
        <v>0</v>
      </c>
      <c r="AH554" s="1580">
        <v>0</v>
      </c>
      <c r="AI554" s="1580">
        <v>0</v>
      </c>
      <c r="AJ554" s="1580">
        <v>0</v>
      </c>
      <c r="AK554" s="1580">
        <v>0</v>
      </c>
      <c r="AL554" s="1580">
        <v>336.48144390489068</v>
      </c>
      <c r="AM554" s="1580"/>
      <c r="AN554" s="1580">
        <v>30.62292635976085</v>
      </c>
      <c r="AO554" s="1580">
        <v>123.7185098342854</v>
      </c>
      <c r="AP554" s="1580">
        <v>659.96948562644332</v>
      </c>
      <c r="AQ554" s="1580">
        <v>0</v>
      </c>
      <c r="AR554" s="1580">
        <v>0</v>
      </c>
      <c r="AS554" s="1580">
        <v>0</v>
      </c>
      <c r="AT554" s="1580">
        <v>0</v>
      </c>
      <c r="AU554" s="1580">
        <v>0</v>
      </c>
      <c r="AV554" s="1580">
        <v>0</v>
      </c>
      <c r="AW554" s="1580">
        <v>0</v>
      </c>
      <c r="AX554" s="1580">
        <v>0</v>
      </c>
      <c r="AY554" s="1580">
        <v>0</v>
      </c>
      <c r="AZ554" s="1580">
        <v>0</v>
      </c>
      <c r="BA554" s="1580"/>
      <c r="BB554" s="1580">
        <v>0</v>
      </c>
      <c r="BC554" s="1580">
        <v>0</v>
      </c>
      <c r="BD554" s="1580">
        <v>0</v>
      </c>
      <c r="BE554" s="1580">
        <v>0</v>
      </c>
      <c r="BF554" s="1580">
        <v>0</v>
      </c>
      <c r="BG554" s="1580">
        <v>482.92545482931877</v>
      </c>
      <c r="BH554" s="1580">
        <v>0</v>
      </c>
      <c r="BI554" s="1580">
        <v>0</v>
      </c>
      <c r="BJ554" s="1580">
        <v>0</v>
      </c>
      <c r="BK554" s="1580">
        <v>4776.16</v>
      </c>
      <c r="BL554" s="1580">
        <v>49</v>
      </c>
      <c r="BM554" s="1580"/>
      <c r="BN554" s="1580"/>
      <c r="BO554" s="1580"/>
      <c r="BP554" s="1580"/>
      <c r="BQ554" s="1580"/>
      <c r="BR554" s="1580">
        <v>1721.5850399999997</v>
      </c>
      <c r="BS554" s="1580"/>
      <c r="BT554" s="1580"/>
      <c r="BU554" s="1580"/>
      <c r="BV554" s="1580">
        <v>5042.653819194431</v>
      </c>
      <c r="BW554" s="1580"/>
      <c r="BX554" s="1580"/>
      <c r="BY554" s="1580"/>
      <c r="BZ554" s="1580"/>
      <c r="CA554" s="1580"/>
      <c r="CB554" s="1580"/>
      <c r="CC554" s="1580"/>
      <c r="CD554" s="1580"/>
      <c r="CE554" s="1580"/>
      <c r="CF554" s="1580"/>
      <c r="CG554" s="1580"/>
      <c r="CH554" s="1580"/>
      <c r="CI554" s="1580">
        <v>12622.349400000003</v>
      </c>
      <c r="CJ554" s="1580">
        <v>-1839.4220399999958</v>
      </c>
      <c r="CK554" s="1580"/>
      <c r="CL554" s="1580"/>
      <c r="CM554" s="1580"/>
      <c r="CN554" s="1580"/>
      <c r="CO554" s="1580">
        <v>-2297.4636000000005</v>
      </c>
      <c r="CP554" s="1580">
        <v>208.56911999999946</v>
      </c>
      <c r="CQ554" s="1580">
        <v>31</v>
      </c>
      <c r="CR554" s="1580">
        <v>51.292232533141942</v>
      </c>
      <c r="CS554" s="1580">
        <v>9.0309328545795751</v>
      </c>
      <c r="CT554" s="1580">
        <v>48.175007270516176</v>
      </c>
      <c r="CU554" s="1580">
        <v>0</v>
      </c>
      <c r="CV554" s="1580">
        <v>0</v>
      </c>
      <c r="CW554" s="1580">
        <v>0</v>
      </c>
      <c r="CX554" s="1580">
        <v>0</v>
      </c>
      <c r="CY554" s="1580">
        <v>0</v>
      </c>
      <c r="CZ554" s="1580">
        <v>0</v>
      </c>
      <c r="DA554" s="1580">
        <v>0</v>
      </c>
      <c r="DB554" s="1580">
        <v>0</v>
      </c>
      <c r="DC554" s="1580">
        <v>208.5489840945429</v>
      </c>
      <c r="DD554" s="1580">
        <v>0</v>
      </c>
      <c r="DE554" s="1580">
        <v>0</v>
      </c>
      <c r="DF554" s="1580">
        <v>0</v>
      </c>
      <c r="DG554" s="1580">
        <v>22.08763438303049</v>
      </c>
      <c r="DH554" s="1580">
        <v>0</v>
      </c>
      <c r="DI554" s="1580">
        <v>-206.09542625554968</v>
      </c>
      <c r="DJ554" s="1580"/>
      <c r="DK554" s="1580">
        <v>0</v>
      </c>
      <c r="DL554" s="1580">
        <v>0</v>
      </c>
      <c r="DM554" s="1580">
        <v>0</v>
      </c>
      <c r="DN554" s="1580">
        <v>0</v>
      </c>
      <c r="DO554" s="1580">
        <v>-26.866892822514501</v>
      </c>
      <c r="DP554" s="1580">
        <v>-3.5880069914630575</v>
      </c>
      <c r="DQ554" s="1580">
        <v>0</v>
      </c>
      <c r="DR554" s="1580">
        <v>0</v>
      </c>
      <c r="DS554" s="1580"/>
      <c r="DT554" s="1580"/>
      <c r="DU554" s="1580"/>
      <c r="DV554" s="1580">
        <v>6922.5086886237132</v>
      </c>
      <c r="DW554" s="1580">
        <v>0</v>
      </c>
      <c r="DX554" s="1580">
        <v>0</v>
      </c>
      <c r="DY554" s="1580">
        <v>-2297.463600000001</v>
      </c>
      <c r="DZ554" s="1580">
        <v>208.5691199999992</v>
      </c>
      <c r="EA554" s="1580">
        <v>0</v>
      </c>
      <c r="EB554" s="1580">
        <v>0</v>
      </c>
      <c r="EC554" s="1580">
        <v>-2140.4460892412553</v>
      </c>
      <c r="ED554" s="1580">
        <v>0</v>
      </c>
      <c r="EE554" s="1580">
        <v>0</v>
      </c>
      <c r="EF554" s="1580">
        <v>0</v>
      </c>
      <c r="EG554" s="1580">
        <v>0</v>
      </c>
      <c r="EH554" s="1580">
        <v>0</v>
      </c>
      <c r="EI554" s="1580">
        <v>0</v>
      </c>
      <c r="EJ554" s="1580">
        <v>0</v>
      </c>
      <c r="EK554" s="1580">
        <v>0</v>
      </c>
      <c r="EL554" s="1580">
        <v>0</v>
      </c>
      <c r="EM554" s="1580">
        <v>0</v>
      </c>
      <c r="EN554" s="1580">
        <v>0</v>
      </c>
      <c r="EO554" s="1580">
        <v>0</v>
      </c>
      <c r="EP554" s="1580">
        <v>1138.8911404606695</v>
      </c>
      <c r="EQ554" s="1580">
        <v>0</v>
      </c>
      <c r="ER554" s="1580">
        <v>0</v>
      </c>
      <c r="ES554" s="1580">
        <v>0</v>
      </c>
      <c r="ET554" s="1580">
        <v>0</v>
      </c>
      <c r="EU554" s="1580">
        <v>0</v>
      </c>
      <c r="EV554" s="1580">
        <v>230</v>
      </c>
      <c r="EW554" s="1580">
        <v>0</v>
      </c>
      <c r="EX554" s="1580">
        <v>0</v>
      </c>
      <c r="EY554" s="1580">
        <v>0</v>
      </c>
      <c r="EZ554" s="1580"/>
      <c r="FA554" s="1580">
        <v>0</v>
      </c>
      <c r="FB554" s="1580"/>
      <c r="FC554" s="1580"/>
      <c r="FD554" s="1580"/>
      <c r="FE554" s="1580"/>
      <c r="FF554" s="1580">
        <v>0</v>
      </c>
      <c r="FG554" s="1580">
        <v>0</v>
      </c>
      <c r="FH554" s="1580">
        <v>0</v>
      </c>
      <c r="FI554" s="1580">
        <v>0</v>
      </c>
    </row>
    <row r="555" spans="1:165">
      <c r="A555" s="1580">
        <v>553</v>
      </c>
      <c r="B555" s="1580" t="s">
        <v>2351</v>
      </c>
      <c r="C555" s="1580" t="s">
        <v>2328</v>
      </c>
      <c r="D555" s="1580" t="s">
        <v>1826</v>
      </c>
      <c r="E555" s="1580" t="s">
        <v>2341</v>
      </c>
      <c r="F555" s="1580" t="s">
        <v>1239</v>
      </c>
      <c r="G555" s="1580" t="s">
        <v>1239</v>
      </c>
      <c r="H555" s="1580" t="s">
        <v>1239</v>
      </c>
      <c r="I555" s="1580" t="s">
        <v>1239</v>
      </c>
      <c r="J555" s="1580" t="s">
        <v>2329</v>
      </c>
      <c r="K555" s="1581">
        <v>44774</v>
      </c>
      <c r="L555" s="1580">
        <v>0</v>
      </c>
      <c r="M555" s="1580">
        <v>0</v>
      </c>
      <c r="N555" s="1580">
        <v>155.661</v>
      </c>
      <c r="O555" s="1580">
        <v>155.661</v>
      </c>
      <c r="P555" s="1580">
        <v>155.661</v>
      </c>
      <c r="Q555" s="1580">
        <v>155.661</v>
      </c>
      <c r="R555" s="1580"/>
      <c r="S555" s="1580">
        <v>333.61</v>
      </c>
      <c r="T555" s="1580">
        <v>128.11000000000001</v>
      </c>
      <c r="U555" s="1580"/>
      <c r="V555" s="1580">
        <v>71871.796920000008</v>
      </c>
      <c r="W555" s="1580">
        <v>71871.796920000008</v>
      </c>
      <c r="X555" s="1580">
        <v>62736.052830000001</v>
      </c>
      <c r="Y555" s="1580">
        <v>0</v>
      </c>
      <c r="Z555" s="1580">
        <v>9528.9516288455598</v>
      </c>
      <c r="AA555" s="1580">
        <v>0</v>
      </c>
      <c r="AB555" s="1580">
        <v>0</v>
      </c>
      <c r="AC555" s="1580">
        <v>0</v>
      </c>
      <c r="AD555" s="1580">
        <v>0</v>
      </c>
      <c r="AE555" s="1580">
        <v>30275.472718022473</v>
      </c>
      <c r="AF555" s="1580">
        <v>19941.89359759041</v>
      </c>
      <c r="AG555" s="1580">
        <v>0</v>
      </c>
      <c r="AH555" s="1580">
        <v>0</v>
      </c>
      <c r="AI555" s="1580">
        <v>0</v>
      </c>
      <c r="AJ555" s="1580">
        <v>0</v>
      </c>
      <c r="AK555" s="1580">
        <v>0</v>
      </c>
      <c r="AL555" s="1580">
        <v>1471.5958091615867</v>
      </c>
      <c r="AM555" s="1580"/>
      <c r="AN555" s="1580">
        <v>133.92884187701546</v>
      </c>
      <c r="AO555" s="1580">
        <v>541.08077543590412</v>
      </c>
      <c r="AP555" s="1580">
        <v>2886.3651972942739</v>
      </c>
      <c r="AQ555" s="1580">
        <v>0</v>
      </c>
      <c r="AR555" s="1580">
        <v>0</v>
      </c>
      <c r="AS555" s="1580">
        <v>0</v>
      </c>
      <c r="AT555" s="1580">
        <v>0</v>
      </c>
      <c r="AU555" s="1580">
        <v>0</v>
      </c>
      <c r="AV555" s="1580">
        <v>0</v>
      </c>
      <c r="AW555" s="1580">
        <v>0</v>
      </c>
      <c r="AX555" s="1580">
        <v>0</v>
      </c>
      <c r="AY555" s="1580">
        <v>0</v>
      </c>
      <c r="AZ555" s="1580">
        <v>0</v>
      </c>
      <c r="BA555" s="1580"/>
      <c r="BB555" s="1580">
        <v>0</v>
      </c>
      <c r="BC555" s="1580">
        <v>0</v>
      </c>
      <c r="BD555" s="1580">
        <v>0</v>
      </c>
      <c r="BE555" s="1580">
        <v>0</v>
      </c>
      <c r="BF555" s="1580">
        <v>0</v>
      </c>
      <c r="BG555" s="1580">
        <v>2112.0661728530736</v>
      </c>
      <c r="BH555" s="1580">
        <v>0</v>
      </c>
      <c r="BI555" s="1580">
        <v>0</v>
      </c>
      <c r="BJ555" s="1580">
        <v>0</v>
      </c>
      <c r="BK555" s="1580">
        <v>10826.33</v>
      </c>
      <c r="BL555" s="1580">
        <v>217</v>
      </c>
      <c r="BM555" s="1580"/>
      <c r="BN555" s="1580"/>
      <c r="BO555" s="1580"/>
      <c r="BP555" s="1580"/>
      <c r="BQ555" s="1580"/>
      <c r="BR555" s="1580"/>
      <c r="BS555" s="1580"/>
      <c r="BT555" s="1580"/>
      <c r="BU555" s="1580"/>
      <c r="BV555" s="1580">
        <v>22053.959770443482</v>
      </c>
      <c r="BW555" s="1580"/>
      <c r="BX555" s="1580"/>
      <c r="BY555" s="1580"/>
      <c r="BZ555" s="1580"/>
      <c r="CA555" s="1580"/>
      <c r="CB555" s="1580"/>
      <c r="CC555" s="1580"/>
      <c r="CD555" s="1580"/>
      <c r="CE555" s="1580"/>
      <c r="CF555" s="1580"/>
      <c r="CG555" s="1580"/>
      <c r="CH555" s="1580"/>
      <c r="CI555" s="1580">
        <v>62735.649799999999</v>
      </c>
      <c r="CJ555" s="1580">
        <v>-9136.1771200000076</v>
      </c>
      <c r="CK555" s="1580"/>
      <c r="CL555" s="1580"/>
      <c r="CM555" s="1580"/>
      <c r="CN555" s="1580"/>
      <c r="CO555" s="1580">
        <v>-10047.917550000002</v>
      </c>
      <c r="CP555" s="1580">
        <v>912.1734599999977</v>
      </c>
      <c r="CQ555" s="1580">
        <v>31</v>
      </c>
      <c r="CR555" s="1580">
        <v>224.32569702015462</v>
      </c>
      <c r="CS555" s="1580">
        <v>39.496629553739922</v>
      </c>
      <c r="CT555" s="1580">
        <v>210.69256593436239</v>
      </c>
      <c r="CU555" s="1580">
        <v>0</v>
      </c>
      <c r="CV555" s="1580">
        <v>0</v>
      </c>
      <c r="CW555" s="1580">
        <v>0</v>
      </c>
      <c r="CX555" s="1580">
        <v>0</v>
      </c>
      <c r="CY555" s="1580">
        <v>0</v>
      </c>
      <c r="CZ555" s="1580">
        <v>0</v>
      </c>
      <c r="DA555" s="1580">
        <v>0</v>
      </c>
      <c r="DB555" s="1580">
        <v>0</v>
      </c>
      <c r="DC555" s="1580">
        <v>912.08539596371702</v>
      </c>
      <c r="DD555" s="1580">
        <v>0</v>
      </c>
      <c r="DE555" s="1580">
        <v>0</v>
      </c>
      <c r="DF555" s="1580">
        <v>0</v>
      </c>
      <c r="DG555" s="1580">
        <v>96.599889180065929</v>
      </c>
      <c r="DH555" s="1580">
        <v>0</v>
      </c>
      <c r="DI555" s="1580">
        <v>-901.35480294350054</v>
      </c>
      <c r="DJ555" s="1580"/>
      <c r="DK555" s="1580">
        <v>0</v>
      </c>
      <c r="DL555" s="1580">
        <v>0</v>
      </c>
      <c r="DM555" s="1580">
        <v>0</v>
      </c>
      <c r="DN555" s="1580">
        <v>0</v>
      </c>
      <c r="DO555" s="1580">
        <v>-117.50189378639675</v>
      </c>
      <c r="DP555" s="1580">
        <v>-15.692086881831074</v>
      </c>
      <c r="DQ555" s="1580">
        <v>0</v>
      </c>
      <c r="DR555" s="1580">
        <v>0</v>
      </c>
      <c r="DS555" s="1580"/>
      <c r="DT555" s="1580"/>
      <c r="DU555" s="1580"/>
      <c r="DV555" s="1580">
        <v>30275.472718022473</v>
      </c>
      <c r="DW555" s="1580">
        <v>0</v>
      </c>
      <c r="DX555" s="1580">
        <v>0</v>
      </c>
      <c r="DY555" s="1580">
        <v>-10047.917550000006</v>
      </c>
      <c r="DZ555" s="1580">
        <v>912.17345999999816</v>
      </c>
      <c r="EA555" s="1580">
        <v>0</v>
      </c>
      <c r="EB555" s="1580">
        <v>0</v>
      </c>
      <c r="EC555" s="1580">
        <v>-9361.2041665931392</v>
      </c>
      <c r="ED555" s="1580">
        <v>0</v>
      </c>
      <c r="EE555" s="1580">
        <v>0</v>
      </c>
      <c r="EF555" s="1580">
        <v>0</v>
      </c>
      <c r="EG555" s="1580">
        <v>0</v>
      </c>
      <c r="EH555" s="1580">
        <v>0</v>
      </c>
      <c r="EI555" s="1580">
        <v>0</v>
      </c>
      <c r="EJ555" s="1580">
        <v>0</v>
      </c>
      <c r="EK555" s="1580">
        <v>0</v>
      </c>
      <c r="EL555" s="1580">
        <v>0</v>
      </c>
      <c r="EM555" s="1580">
        <v>0</v>
      </c>
      <c r="EN555" s="1580">
        <v>0</v>
      </c>
      <c r="EO555" s="1580">
        <v>0</v>
      </c>
      <c r="EP555" s="1580">
        <v>4980.9208197136513</v>
      </c>
      <c r="EQ555" s="1580">
        <v>0</v>
      </c>
      <c r="ER555" s="1580">
        <v>0</v>
      </c>
      <c r="ES555" s="1580">
        <v>0</v>
      </c>
      <c r="ET555" s="1580">
        <v>0</v>
      </c>
      <c r="EU555" s="1580">
        <v>0</v>
      </c>
      <c r="EV555" s="1580">
        <v>230</v>
      </c>
      <c r="EW555" s="1580">
        <v>0</v>
      </c>
      <c r="EX555" s="1580">
        <v>0</v>
      </c>
      <c r="EY555" s="1580">
        <v>0</v>
      </c>
      <c r="EZ555" s="1580"/>
      <c r="FA555" s="1580">
        <v>0</v>
      </c>
      <c r="FB555" s="1580"/>
      <c r="FC555" s="1580"/>
      <c r="FD555" s="1580"/>
      <c r="FE555" s="1580"/>
      <c r="FF555" s="1580">
        <v>0</v>
      </c>
      <c r="FG555" s="1580">
        <v>0</v>
      </c>
      <c r="FH555" s="1580">
        <v>0</v>
      </c>
      <c r="FI555" s="1580">
        <v>0</v>
      </c>
    </row>
    <row r="556" spans="1:165">
      <c r="A556" s="1580">
        <v>554</v>
      </c>
      <c r="B556" s="1580" t="s">
        <v>2351</v>
      </c>
      <c r="C556" s="1580" t="s">
        <v>2328</v>
      </c>
      <c r="D556" s="1580" t="s">
        <v>1826</v>
      </c>
      <c r="E556" s="1580" t="s">
        <v>2341</v>
      </c>
      <c r="F556" s="1580" t="s">
        <v>1239</v>
      </c>
      <c r="G556" s="1580" t="s">
        <v>1239</v>
      </c>
      <c r="H556" s="1580" t="s">
        <v>1239</v>
      </c>
      <c r="I556" s="1580" t="s">
        <v>1239</v>
      </c>
      <c r="J556" s="1580" t="s">
        <v>2329</v>
      </c>
      <c r="K556" s="1581">
        <v>44774</v>
      </c>
      <c r="L556" s="1580">
        <v>0</v>
      </c>
      <c r="M556" s="1580">
        <v>0</v>
      </c>
      <c r="N556" s="1580">
        <v>0.2</v>
      </c>
      <c r="O556" s="1580">
        <v>0.2</v>
      </c>
      <c r="P556" s="1580">
        <v>0.2</v>
      </c>
      <c r="Q556" s="1580">
        <v>0.2</v>
      </c>
      <c r="R556" s="1580"/>
      <c r="S556" s="1580">
        <v>333.61</v>
      </c>
      <c r="T556" s="1580">
        <v>128.11000000000001</v>
      </c>
      <c r="U556" s="1580"/>
      <c r="V556" s="1580">
        <v>92.344000000000008</v>
      </c>
      <c r="W556" s="1580">
        <v>92.344000000000008</v>
      </c>
      <c r="X556" s="1580">
        <v>80.606000000000009</v>
      </c>
      <c r="Y556" s="1580">
        <v>0</v>
      </c>
      <c r="Z556" s="1580">
        <v>12.24321008967636</v>
      </c>
      <c r="AA556" s="1580">
        <v>0</v>
      </c>
      <c r="AB556" s="1580">
        <v>0</v>
      </c>
      <c r="AC556" s="1580">
        <v>0</v>
      </c>
      <c r="AD556" s="1580">
        <v>0</v>
      </c>
      <c r="AE556" s="1580">
        <v>38.899239652864203</v>
      </c>
      <c r="AF556" s="1580">
        <v>25.6222092850366</v>
      </c>
      <c r="AG556" s="1580">
        <v>0</v>
      </c>
      <c r="AH556" s="1580">
        <v>0</v>
      </c>
      <c r="AI556" s="1580">
        <v>0</v>
      </c>
      <c r="AJ556" s="1580">
        <v>0</v>
      </c>
      <c r="AK556" s="1580">
        <v>0</v>
      </c>
      <c r="AL556" s="1580">
        <v>1.8907700826303142</v>
      </c>
      <c r="AM556" s="1580"/>
      <c r="AN556" s="1580">
        <v>0.17207758125287062</v>
      </c>
      <c r="AO556" s="1580">
        <v>0.69520403368333006</v>
      </c>
      <c r="AP556" s="1580">
        <v>3.7085271163544804</v>
      </c>
      <c r="AQ556" s="1580">
        <v>0</v>
      </c>
      <c r="AR556" s="1580">
        <v>0</v>
      </c>
      <c r="AS556" s="1580">
        <v>0</v>
      </c>
      <c r="AT556" s="1580">
        <v>0</v>
      </c>
      <c r="AU556" s="1580">
        <v>0</v>
      </c>
      <c r="AV556" s="1580">
        <v>0</v>
      </c>
      <c r="AW556" s="1580">
        <v>0</v>
      </c>
      <c r="AX556" s="1580">
        <v>0</v>
      </c>
      <c r="AY556" s="1580">
        <v>0</v>
      </c>
      <c r="AZ556" s="1580">
        <v>0</v>
      </c>
      <c r="BA556" s="1580"/>
      <c r="BB556" s="1580">
        <v>0</v>
      </c>
      <c r="BC556" s="1580">
        <v>0</v>
      </c>
      <c r="BD556" s="1580">
        <v>0</v>
      </c>
      <c r="BE556" s="1580">
        <v>0</v>
      </c>
      <c r="BF556" s="1580">
        <v>0</v>
      </c>
      <c r="BG556" s="1580">
        <v>2.7136741673933402</v>
      </c>
      <c r="BH556" s="1580">
        <v>0</v>
      </c>
      <c r="BI556" s="1580">
        <v>0</v>
      </c>
      <c r="BJ556" s="1580">
        <v>0</v>
      </c>
      <c r="BK556" s="1580">
        <v>66.56</v>
      </c>
      <c r="BL556" s="1580">
        <v>2</v>
      </c>
      <c r="BM556" s="1580"/>
      <c r="BN556" s="1580"/>
      <c r="BO556" s="1580"/>
      <c r="BP556" s="1580"/>
      <c r="BQ556" s="1580"/>
      <c r="BR556" s="1580"/>
      <c r="BS556" s="1580"/>
      <c r="BT556" s="1580"/>
      <c r="BU556" s="1580"/>
      <c r="BV556" s="1580">
        <v>28.33588345242994</v>
      </c>
      <c r="BW556" s="1580"/>
      <c r="BX556" s="1580"/>
      <c r="BY556" s="1580"/>
      <c r="BZ556" s="1580"/>
      <c r="CA556" s="1580"/>
      <c r="CB556" s="1580"/>
      <c r="CC556" s="1580"/>
      <c r="CD556" s="1580"/>
      <c r="CE556" s="1580"/>
      <c r="CF556" s="1580"/>
      <c r="CG556" s="1580"/>
      <c r="CH556" s="1580"/>
      <c r="CI556" s="1580">
        <v>80.606000000000009</v>
      </c>
      <c r="CJ556" s="1580">
        <v>-11.768000000000015</v>
      </c>
      <c r="CK556" s="1580"/>
      <c r="CL556" s="1580"/>
      <c r="CM556" s="1580"/>
      <c r="CN556" s="1580"/>
      <c r="CO556" s="1580">
        <v>-12.910000000000004</v>
      </c>
      <c r="CP556" s="1580">
        <v>1.171999999999997</v>
      </c>
      <c r="CQ556" s="1580">
        <v>31</v>
      </c>
      <c r="CR556" s="1580">
        <v>0.28822337903542916</v>
      </c>
      <c r="CS556" s="1580">
        <v>5.0746981650817924E-2</v>
      </c>
      <c r="CT556" s="1580">
        <v>0.27070694128184014</v>
      </c>
      <c r="CU556" s="1580">
        <v>0</v>
      </c>
      <c r="CV556" s="1580">
        <v>0</v>
      </c>
      <c r="CW556" s="1580">
        <v>0</v>
      </c>
      <c r="CX556" s="1580">
        <v>0</v>
      </c>
      <c r="CY556" s="1580">
        <v>0</v>
      </c>
      <c r="CZ556" s="1580">
        <v>0</v>
      </c>
      <c r="DA556" s="1580">
        <v>0</v>
      </c>
      <c r="DB556" s="1580">
        <v>0</v>
      </c>
      <c r="DC556" s="1580">
        <v>1.1718868515090044</v>
      </c>
      <c r="DD556" s="1580">
        <v>0</v>
      </c>
      <c r="DE556" s="1580">
        <v>0</v>
      </c>
      <c r="DF556" s="1580">
        <v>0</v>
      </c>
      <c r="DG556" s="1580">
        <v>0.12411572478664024</v>
      </c>
      <c r="DH556" s="1580">
        <v>0</v>
      </c>
      <c r="DI556" s="1580">
        <v>-1.1580997204739791</v>
      </c>
      <c r="DJ556" s="1580"/>
      <c r="DK556" s="1580">
        <v>0</v>
      </c>
      <c r="DL556" s="1580">
        <v>0</v>
      </c>
      <c r="DM556" s="1580">
        <v>0</v>
      </c>
      <c r="DN556" s="1580">
        <v>0</v>
      </c>
      <c r="DO556" s="1580">
        <v>-0.15097152631217403</v>
      </c>
      <c r="DP556" s="1580">
        <v>-2.0161873406737807E-2</v>
      </c>
      <c r="DQ556" s="1580">
        <v>0</v>
      </c>
      <c r="DR556" s="1580">
        <v>0</v>
      </c>
      <c r="DS556" s="1580"/>
      <c r="DT556" s="1580"/>
      <c r="DU556" s="1580"/>
      <c r="DV556" s="1580">
        <v>38.899239652864203</v>
      </c>
      <c r="DW556" s="1580">
        <v>0</v>
      </c>
      <c r="DX556" s="1580">
        <v>0</v>
      </c>
      <c r="DY556" s="1580">
        <v>-12.910000000000004</v>
      </c>
      <c r="DZ556" s="1580">
        <v>1.171999999999997</v>
      </c>
      <c r="EA556" s="1580">
        <v>0</v>
      </c>
      <c r="EB556" s="1580">
        <v>0</v>
      </c>
      <c r="EC556" s="1580">
        <v>-12.027680879081004</v>
      </c>
      <c r="ED556" s="1580">
        <v>0</v>
      </c>
      <c r="EE556" s="1580">
        <v>0</v>
      </c>
      <c r="EF556" s="1580">
        <v>0</v>
      </c>
      <c r="EG556" s="1580">
        <v>0</v>
      </c>
      <c r="EH556" s="1580">
        <v>0</v>
      </c>
      <c r="EI556" s="1580">
        <v>0</v>
      </c>
      <c r="EJ556" s="1580">
        <v>0</v>
      </c>
      <c r="EK556" s="1580">
        <v>0</v>
      </c>
      <c r="EL556" s="1580">
        <v>0</v>
      </c>
      <c r="EM556" s="1580">
        <v>0</v>
      </c>
      <c r="EN556" s="1580">
        <v>0</v>
      </c>
      <c r="EO556" s="1580">
        <v>0</v>
      </c>
      <c r="EP556" s="1580">
        <v>6.3997029695474801</v>
      </c>
      <c r="EQ556" s="1580">
        <v>0</v>
      </c>
      <c r="ER556" s="1580">
        <v>0</v>
      </c>
      <c r="ES556" s="1580">
        <v>0</v>
      </c>
      <c r="ET556" s="1580">
        <v>0</v>
      </c>
      <c r="EU556" s="1580">
        <v>0</v>
      </c>
      <c r="EV556" s="1580">
        <v>230</v>
      </c>
      <c r="EW556" s="1580">
        <v>0</v>
      </c>
      <c r="EX556" s="1580">
        <v>0</v>
      </c>
      <c r="EY556" s="1580">
        <v>0</v>
      </c>
      <c r="EZ556" s="1580"/>
      <c r="FA556" s="1580">
        <v>0</v>
      </c>
      <c r="FB556" s="1580"/>
      <c r="FC556" s="1580"/>
      <c r="FD556" s="1580"/>
      <c r="FE556" s="1580"/>
      <c r="FF556" s="1580">
        <v>0</v>
      </c>
      <c r="FG556" s="1580">
        <v>0</v>
      </c>
      <c r="FH556" s="1580">
        <v>0</v>
      </c>
      <c r="FI556" s="1580">
        <v>0</v>
      </c>
    </row>
    <row r="557" spans="1:165">
      <c r="A557" s="1580">
        <v>555</v>
      </c>
      <c r="B557" s="1580" t="s">
        <v>2351</v>
      </c>
      <c r="C557" s="1580" t="s">
        <v>2337</v>
      </c>
      <c r="D557" s="1580" t="s">
        <v>533</v>
      </c>
      <c r="E557" s="1580" t="s">
        <v>2341</v>
      </c>
      <c r="F557" s="1580" t="s">
        <v>1239</v>
      </c>
      <c r="G557" s="1580" t="s">
        <v>1239</v>
      </c>
      <c r="H557" s="1580" t="s">
        <v>1239</v>
      </c>
      <c r="I557" s="1580" t="s">
        <v>893</v>
      </c>
      <c r="J557" s="1580" t="s">
        <v>2329</v>
      </c>
      <c r="K557" s="1581">
        <v>44774</v>
      </c>
      <c r="L557" s="1580">
        <v>0</v>
      </c>
      <c r="M557" s="1580">
        <v>0</v>
      </c>
      <c r="N557" s="1580">
        <v>1.8120000000000001</v>
      </c>
      <c r="O557" s="1580">
        <v>1.8120000000000001</v>
      </c>
      <c r="P557" s="1580">
        <v>1.8120000000000001</v>
      </c>
      <c r="Q557" s="1580">
        <v>1.8120000000000001</v>
      </c>
      <c r="R557" s="1580"/>
      <c r="S557" s="1580">
        <v>1351.49</v>
      </c>
      <c r="T557" s="1580">
        <v>128.11000000000001</v>
      </c>
      <c r="U557" s="1580"/>
      <c r="V557" s="1580">
        <v>2681.0351999999998</v>
      </c>
      <c r="W557" s="1580">
        <v>2681.0351999999998</v>
      </c>
      <c r="X557" s="1580">
        <v>2069.1409200000003</v>
      </c>
      <c r="Y557" s="1580">
        <v>0</v>
      </c>
      <c r="Z557" s="1580">
        <v>96.503430568847065</v>
      </c>
      <c r="AA557" s="1580">
        <v>0</v>
      </c>
      <c r="AB557" s="1580">
        <v>0</v>
      </c>
      <c r="AC557" s="1580">
        <v>0</v>
      </c>
      <c r="AD557" s="1580">
        <v>0</v>
      </c>
      <c r="AE557" s="1580">
        <v>2036.5876712663605</v>
      </c>
      <c r="AF557" s="1580">
        <v>232.1372161224316</v>
      </c>
      <c r="AG557" s="1580">
        <v>0</v>
      </c>
      <c r="AH557" s="1580">
        <v>0</v>
      </c>
      <c r="AI557" s="1580">
        <v>0</v>
      </c>
      <c r="AJ557" s="1580">
        <v>0</v>
      </c>
      <c r="AK557" s="1580">
        <v>0</v>
      </c>
      <c r="AL557" s="1580">
        <v>17.130376948630648</v>
      </c>
      <c r="AM557" s="1580"/>
      <c r="AN557" s="1580">
        <v>0.89078038267814685</v>
      </c>
      <c r="AO557" s="1580">
        <v>37.639822752209504</v>
      </c>
      <c r="AP557" s="1580">
        <v>200.21164443896399</v>
      </c>
      <c r="AQ557" s="1580">
        <v>0</v>
      </c>
      <c r="AR557" s="1580">
        <v>0</v>
      </c>
      <c r="AS557" s="1580">
        <v>0</v>
      </c>
      <c r="AT557" s="1580">
        <v>0</v>
      </c>
      <c r="AU557" s="1580">
        <v>0</v>
      </c>
      <c r="AV557" s="1580">
        <v>0</v>
      </c>
      <c r="AW557" s="1580">
        <v>0</v>
      </c>
      <c r="AX557" s="1580">
        <v>0</v>
      </c>
      <c r="AY557" s="1580">
        <v>0</v>
      </c>
      <c r="AZ557" s="1580">
        <v>0</v>
      </c>
      <c r="BA557" s="1580"/>
      <c r="BB557" s="1580">
        <v>0</v>
      </c>
      <c r="BC557" s="1580">
        <v>0</v>
      </c>
      <c r="BD557" s="1580">
        <v>0</v>
      </c>
      <c r="BE557" s="1580">
        <v>0</v>
      </c>
      <c r="BF557" s="1580">
        <v>0</v>
      </c>
      <c r="BG557" s="1580">
        <v>9.4923709493599358</v>
      </c>
      <c r="BH557" s="1580">
        <v>0</v>
      </c>
      <c r="BI557" s="1580">
        <v>0</v>
      </c>
      <c r="BJ557" s="1580">
        <v>0</v>
      </c>
      <c r="BK557" s="1580">
        <v>0</v>
      </c>
      <c r="BL557" s="1580">
        <v>0</v>
      </c>
      <c r="BM557" s="1580"/>
      <c r="BN557" s="1580"/>
      <c r="BO557" s="1580"/>
      <c r="BP557" s="1580"/>
      <c r="BQ557" s="1580"/>
      <c r="BR557" s="1580"/>
      <c r="BS557" s="1580"/>
      <c r="BT557" s="1580"/>
      <c r="BU557" s="1580"/>
      <c r="BV557" s="1580">
        <v>241.62958707179152</v>
      </c>
      <c r="BW557" s="1580"/>
      <c r="BX557" s="1580"/>
      <c r="BY557" s="1580"/>
      <c r="BZ557" s="1580"/>
      <c r="CA557" s="1580"/>
      <c r="CB557" s="1580"/>
      <c r="CC557" s="1580"/>
      <c r="CD557" s="1580"/>
      <c r="CE557" s="1580"/>
      <c r="CF557" s="1580"/>
      <c r="CG557" s="1580"/>
      <c r="CH557" s="1580"/>
      <c r="CI557" s="1580">
        <v>2066.8571000000002</v>
      </c>
      <c r="CJ557" s="1580">
        <v>-614.20810000000029</v>
      </c>
      <c r="CK557" s="1580"/>
      <c r="CL557" s="1580"/>
      <c r="CM557" s="1580"/>
      <c r="CN557" s="1580"/>
      <c r="CO557" s="1580">
        <v>-622.51259999999991</v>
      </c>
      <c r="CP557" s="1580">
        <v>10.618319999999974</v>
      </c>
      <c r="CQ557" s="1580">
        <v>31</v>
      </c>
      <c r="CR557" s="1580">
        <v>17.8130633993419</v>
      </c>
      <c r="CS557" s="1580">
        <v>2.7475493552967976</v>
      </c>
      <c r="CT557" s="1580">
        <v>14.614611185141939</v>
      </c>
      <c r="CU557" s="1580">
        <v>0</v>
      </c>
      <c r="CV557" s="1580">
        <v>0</v>
      </c>
      <c r="CW557" s="1580">
        <v>0</v>
      </c>
      <c r="CX557" s="1580">
        <v>0</v>
      </c>
      <c r="CY557" s="1580">
        <v>0</v>
      </c>
      <c r="CZ557" s="1580">
        <v>0</v>
      </c>
      <c r="DA557" s="1580">
        <v>0</v>
      </c>
      <c r="DB557" s="1580">
        <v>0</v>
      </c>
      <c r="DC557" s="1580">
        <v>10.617294874671558</v>
      </c>
      <c r="DD557" s="1580">
        <v>0</v>
      </c>
      <c r="DE557" s="1580">
        <v>0</v>
      </c>
      <c r="DF557" s="1580">
        <v>0</v>
      </c>
      <c r="DG557" s="1580">
        <v>0.43415400215688926</v>
      </c>
      <c r="DH557" s="1580">
        <v>0</v>
      </c>
      <c r="DI557" s="1580">
        <v>-9.1283736167201539</v>
      </c>
      <c r="DJ557" s="1580"/>
      <c r="DK557" s="1580">
        <v>0</v>
      </c>
      <c r="DL557" s="1580">
        <v>0</v>
      </c>
      <c r="DM557" s="1580">
        <v>0</v>
      </c>
      <c r="DN557" s="1580">
        <v>0</v>
      </c>
      <c r="DO557" s="1580">
        <v>-1.367802028388299</v>
      </c>
      <c r="DP557" s="1580">
        <v>-0.10437037281672357</v>
      </c>
      <c r="DQ557" s="1580">
        <v>0</v>
      </c>
      <c r="DR557" s="1580">
        <v>0</v>
      </c>
      <c r="DS557" s="1580"/>
      <c r="DT557" s="1580"/>
      <c r="DU557" s="1580"/>
      <c r="DV557" s="1580">
        <v>2036.5876712663605</v>
      </c>
      <c r="DW557" s="1580">
        <v>0</v>
      </c>
      <c r="DX557" s="1580">
        <v>0</v>
      </c>
      <c r="DY557" s="1580">
        <v>-622.51259999999979</v>
      </c>
      <c r="DZ557" s="1580">
        <v>10.618319999999983</v>
      </c>
      <c r="EA557" s="1580">
        <v>0</v>
      </c>
      <c r="EB557" s="1580">
        <v>0</v>
      </c>
      <c r="EC557" s="1580">
        <v>-629.71479162212177</v>
      </c>
      <c r="ED557" s="1580">
        <v>0</v>
      </c>
      <c r="EE557" s="1580">
        <v>0</v>
      </c>
      <c r="EF557" s="1580">
        <v>0</v>
      </c>
      <c r="EG557" s="1580">
        <v>0</v>
      </c>
      <c r="EH557" s="1580">
        <v>0</v>
      </c>
      <c r="EI557" s="1580">
        <v>0</v>
      </c>
      <c r="EJ557" s="1580">
        <v>0</v>
      </c>
      <c r="EK557" s="1580">
        <v>0</v>
      </c>
      <c r="EL557" s="1580">
        <v>0</v>
      </c>
      <c r="EM557" s="1580">
        <v>0</v>
      </c>
      <c r="EN557" s="1580">
        <v>0</v>
      </c>
      <c r="EO557" s="1580">
        <v>0</v>
      </c>
      <c r="EP557" s="1580">
        <v>50.443738746567078</v>
      </c>
      <c r="EQ557" s="1580">
        <v>0</v>
      </c>
      <c r="ER557" s="1580">
        <v>0</v>
      </c>
      <c r="ES557" s="1580">
        <v>0</v>
      </c>
      <c r="ET557" s="1580">
        <v>0</v>
      </c>
      <c r="EU557" s="1580">
        <v>0</v>
      </c>
      <c r="EV557" s="1580">
        <v>230</v>
      </c>
      <c r="EW557" s="1580">
        <v>0</v>
      </c>
      <c r="EX557" s="1580">
        <v>0</v>
      </c>
      <c r="EY557" s="1580">
        <v>0</v>
      </c>
      <c r="EZ557" s="1580"/>
      <c r="FA557" s="1580">
        <v>0</v>
      </c>
      <c r="FB557" s="1580"/>
      <c r="FC557" s="1580"/>
      <c r="FD557" s="1580"/>
      <c r="FE557" s="1580"/>
      <c r="FF557" s="1580">
        <v>0</v>
      </c>
      <c r="FG557" s="1580">
        <v>0</v>
      </c>
      <c r="FH557" s="1580">
        <v>0</v>
      </c>
      <c r="FI557" s="1580">
        <v>0</v>
      </c>
    </row>
    <row r="558" spans="1:165">
      <c r="A558" s="1580">
        <v>556</v>
      </c>
      <c r="B558" s="1580" t="s">
        <v>2351</v>
      </c>
      <c r="C558" s="1580" t="s">
        <v>2337</v>
      </c>
      <c r="D558" s="1580" t="s">
        <v>533</v>
      </c>
      <c r="E558" s="1580" t="s">
        <v>2341</v>
      </c>
      <c r="F558" s="1580" t="s">
        <v>1239</v>
      </c>
      <c r="G558" s="1580" t="s">
        <v>1239</v>
      </c>
      <c r="H558" s="1580" t="s">
        <v>1239</v>
      </c>
      <c r="I558" s="1580" t="s">
        <v>2326</v>
      </c>
      <c r="J558" s="1580" t="s">
        <v>2329</v>
      </c>
      <c r="K558" s="1581">
        <v>44774</v>
      </c>
      <c r="L558" s="1580">
        <v>0</v>
      </c>
      <c r="M558" s="1580">
        <v>0</v>
      </c>
      <c r="N558" s="1580">
        <v>20.71</v>
      </c>
      <c r="O558" s="1580">
        <v>20.71</v>
      </c>
      <c r="P558" s="1580">
        <v>20.71</v>
      </c>
      <c r="Q558" s="1580">
        <v>20.71</v>
      </c>
      <c r="R558" s="1580"/>
      <c r="S558" s="1580">
        <v>96.28</v>
      </c>
      <c r="T558" s="1580">
        <v>128.11000000000001</v>
      </c>
      <c r="U558" s="1580"/>
      <c r="V558" s="1580">
        <v>4647.1169000000009</v>
      </c>
      <c r="W558" s="1580">
        <v>4647.1169000000009</v>
      </c>
      <c r="X558" s="1580">
        <v>4652.2944000000007</v>
      </c>
      <c r="Y558" s="1580">
        <v>0</v>
      </c>
      <c r="Z558" s="1580">
        <v>1102.9724321638096</v>
      </c>
      <c r="AA558" s="1580">
        <v>0</v>
      </c>
      <c r="AB558" s="1580">
        <v>0</v>
      </c>
      <c r="AC558" s="1580">
        <v>0</v>
      </c>
      <c r="AD558" s="1580">
        <v>0</v>
      </c>
      <c r="AE558" s="1580">
        <v>0</v>
      </c>
      <c r="AF558" s="1580">
        <v>2653.1797714655399</v>
      </c>
      <c r="AG558" s="1580">
        <v>0</v>
      </c>
      <c r="AH558" s="1580">
        <v>0</v>
      </c>
      <c r="AI558" s="1580">
        <v>0</v>
      </c>
      <c r="AJ558" s="1580">
        <v>0</v>
      </c>
      <c r="AK558" s="1580">
        <v>0</v>
      </c>
      <c r="AL558" s="1580">
        <v>195.78924205636903</v>
      </c>
      <c r="AM558" s="1580"/>
      <c r="AN558" s="1580">
        <v>10.181049517254095</v>
      </c>
      <c r="AO558" s="1580">
        <v>0</v>
      </c>
      <c r="AP558" s="1580">
        <v>0</v>
      </c>
      <c r="AQ558" s="1580">
        <v>0</v>
      </c>
      <c r="AR558" s="1580">
        <v>0</v>
      </c>
      <c r="AS558" s="1580">
        <v>0</v>
      </c>
      <c r="AT558" s="1580">
        <v>0</v>
      </c>
      <c r="AU558" s="1580">
        <v>0</v>
      </c>
      <c r="AV558" s="1580">
        <v>0</v>
      </c>
      <c r="AW558" s="1580">
        <v>0</v>
      </c>
      <c r="AX558" s="1580">
        <v>0</v>
      </c>
      <c r="AY558" s="1580">
        <v>0</v>
      </c>
      <c r="AZ558" s="1580">
        <v>0</v>
      </c>
      <c r="BA558" s="1580"/>
      <c r="BB558" s="1580">
        <v>0</v>
      </c>
      <c r="BC558" s="1580">
        <v>0</v>
      </c>
      <c r="BD558" s="1580">
        <v>0</v>
      </c>
      <c r="BE558" s="1580">
        <v>0</v>
      </c>
      <c r="BF558" s="1580">
        <v>0</v>
      </c>
      <c r="BG558" s="1580">
        <v>108.49172315741959</v>
      </c>
      <c r="BH558" s="1580">
        <v>0</v>
      </c>
      <c r="BI558" s="1580">
        <v>0</v>
      </c>
      <c r="BJ558" s="1580">
        <v>0</v>
      </c>
      <c r="BK558" s="1580">
        <v>0</v>
      </c>
      <c r="BL558" s="1580">
        <v>0</v>
      </c>
      <c r="BM558" s="1580"/>
      <c r="BN558" s="1580"/>
      <c r="BO558" s="1580"/>
      <c r="BP558" s="1580"/>
      <c r="BQ558" s="1580"/>
      <c r="BR558" s="1580"/>
      <c r="BS558" s="1580"/>
      <c r="BT558" s="1580"/>
      <c r="BU558" s="1580"/>
      <c r="BV558" s="1580">
        <v>2761.6714946229595</v>
      </c>
      <c r="BW558" s="1580"/>
      <c r="BX558" s="1580"/>
      <c r="BY558" s="1580"/>
      <c r="BZ558" s="1580"/>
      <c r="CA558" s="1580"/>
      <c r="CB558" s="1580"/>
      <c r="CC558" s="1580"/>
      <c r="CD558" s="1580"/>
      <c r="CE558" s="1580"/>
      <c r="CF558" s="1580"/>
      <c r="CG558" s="1580"/>
      <c r="CH558" s="1580"/>
      <c r="CI558" s="1580">
        <v>4652.2944000000007</v>
      </c>
      <c r="CJ558" s="1580">
        <v>5.1475000000000364</v>
      </c>
      <c r="CK558" s="1580"/>
      <c r="CL558" s="1580"/>
      <c r="CM558" s="1580"/>
      <c r="CN558" s="1580"/>
      <c r="CO558" s="1580">
        <v>-116.1831</v>
      </c>
      <c r="CP558" s="1580">
        <v>121.36059999999969</v>
      </c>
      <c r="CQ558" s="1580">
        <v>31</v>
      </c>
      <c r="CR558" s="1580">
        <v>5.1535310198050865</v>
      </c>
      <c r="CS558" s="1580">
        <v>0</v>
      </c>
      <c r="CT558" s="1580">
        <v>0</v>
      </c>
      <c r="CU558" s="1580">
        <v>0</v>
      </c>
      <c r="CV558" s="1580">
        <v>0</v>
      </c>
      <c r="CW558" s="1580">
        <v>0</v>
      </c>
      <c r="CX558" s="1580">
        <v>0</v>
      </c>
      <c r="CY558" s="1580">
        <v>0</v>
      </c>
      <c r="CZ558" s="1580">
        <v>0</v>
      </c>
      <c r="DA558" s="1580">
        <v>0</v>
      </c>
      <c r="DB558" s="1580">
        <v>0</v>
      </c>
      <c r="DC558" s="1580">
        <v>121.34888347375727</v>
      </c>
      <c r="DD558" s="1580">
        <v>0</v>
      </c>
      <c r="DE558" s="1580">
        <v>0</v>
      </c>
      <c r="DF558" s="1580">
        <v>0</v>
      </c>
      <c r="DG558" s="1580">
        <v>4.9621023094200609</v>
      </c>
      <c r="DH558" s="1580">
        <v>0</v>
      </c>
      <c r="DI558" s="1580">
        <v>-104.33146666792197</v>
      </c>
      <c r="DJ558" s="1580"/>
      <c r="DK558" s="1580">
        <v>0</v>
      </c>
      <c r="DL558" s="1580">
        <v>0</v>
      </c>
      <c r="DM558" s="1580">
        <v>0</v>
      </c>
      <c r="DN558" s="1580">
        <v>0</v>
      </c>
      <c r="DO558" s="1580">
        <v>-15.633101549625621</v>
      </c>
      <c r="DP558" s="1580">
        <v>-1.1928865458246936</v>
      </c>
      <c r="DQ558" s="1580">
        <v>0</v>
      </c>
      <c r="DR558" s="1580">
        <v>0</v>
      </c>
      <c r="DS558" s="1580"/>
      <c r="DT558" s="1580"/>
      <c r="DU558" s="1580"/>
      <c r="DV558" s="1580">
        <v>0</v>
      </c>
      <c r="DW558" s="1580">
        <v>0</v>
      </c>
      <c r="DX558" s="1580">
        <v>0</v>
      </c>
      <c r="DY558" s="1580">
        <v>-116.18309999999997</v>
      </c>
      <c r="DZ558" s="1580">
        <v>121.36059999999952</v>
      </c>
      <c r="EA558" s="1580">
        <v>0</v>
      </c>
      <c r="EB558" s="1580">
        <v>0</v>
      </c>
      <c r="EC558" s="1580">
        <v>0</v>
      </c>
      <c r="ED558" s="1580">
        <v>0</v>
      </c>
      <c r="EE558" s="1580">
        <v>0</v>
      </c>
      <c r="EF558" s="1580">
        <v>0</v>
      </c>
      <c r="EG558" s="1580">
        <v>0</v>
      </c>
      <c r="EH558" s="1580">
        <v>0</v>
      </c>
      <c r="EI558" s="1580">
        <v>0</v>
      </c>
      <c r="EJ558" s="1580">
        <v>0</v>
      </c>
      <c r="EK558" s="1580">
        <v>0</v>
      </c>
      <c r="EL558" s="1580">
        <v>0</v>
      </c>
      <c r="EM558" s="1580">
        <v>0</v>
      </c>
      <c r="EN558" s="1580">
        <v>0</v>
      </c>
      <c r="EO558" s="1580">
        <v>0</v>
      </c>
      <c r="EP558" s="1580">
        <v>576.53964097207745</v>
      </c>
      <c r="EQ558" s="1580">
        <v>0</v>
      </c>
      <c r="ER558" s="1580">
        <v>0</v>
      </c>
      <c r="ES558" s="1580">
        <v>0</v>
      </c>
      <c r="ET558" s="1580">
        <v>0</v>
      </c>
      <c r="EU558" s="1580">
        <v>0</v>
      </c>
      <c r="EV558" s="1580">
        <v>230</v>
      </c>
      <c r="EW558" s="1580">
        <v>0</v>
      </c>
      <c r="EX558" s="1580">
        <v>0</v>
      </c>
      <c r="EY558" s="1580">
        <v>0</v>
      </c>
      <c r="EZ558" s="1580"/>
      <c r="FA558" s="1580">
        <v>0</v>
      </c>
      <c r="FB558" s="1580"/>
      <c r="FC558" s="1580"/>
      <c r="FD558" s="1580"/>
      <c r="FE558" s="1580"/>
      <c r="FF558" s="1580">
        <v>0</v>
      </c>
      <c r="FG558" s="1580">
        <v>0</v>
      </c>
      <c r="FH558" s="1580">
        <v>0</v>
      </c>
      <c r="FI558" s="1580">
        <v>0</v>
      </c>
    </row>
    <row r="559" spans="1:165">
      <c r="A559" s="1580">
        <v>557</v>
      </c>
      <c r="B559" s="1580" t="s">
        <v>2351</v>
      </c>
      <c r="C559" s="1580" t="s">
        <v>2337</v>
      </c>
      <c r="D559" s="1580" t="s">
        <v>533</v>
      </c>
      <c r="E559" s="1580" t="s">
        <v>2341</v>
      </c>
      <c r="F559" s="1580" t="s">
        <v>1239</v>
      </c>
      <c r="G559" s="1580" t="s">
        <v>1239</v>
      </c>
      <c r="H559" s="1580" t="s">
        <v>1239</v>
      </c>
      <c r="I559" s="1580" t="s">
        <v>1239</v>
      </c>
      <c r="J559" s="1580" t="s">
        <v>2329</v>
      </c>
      <c r="K559" s="1581">
        <v>44774</v>
      </c>
      <c r="L559" s="1580">
        <v>320</v>
      </c>
      <c r="M559" s="1580">
        <v>320</v>
      </c>
      <c r="N559" s="1580">
        <v>0</v>
      </c>
      <c r="O559" s="1580">
        <v>0</v>
      </c>
      <c r="P559" s="1580">
        <v>0</v>
      </c>
      <c r="Q559" s="1580">
        <v>0</v>
      </c>
      <c r="R559" s="1580">
        <v>18.12</v>
      </c>
      <c r="S559" s="1580"/>
      <c r="T559" s="1580"/>
      <c r="U559" s="1580">
        <v>5798.4000000000005</v>
      </c>
      <c r="V559" s="1580"/>
      <c r="W559" s="1580">
        <v>5798.4000000000005</v>
      </c>
      <c r="X559" s="1580">
        <v>4624</v>
      </c>
      <c r="Y559" s="1580">
        <v>0</v>
      </c>
      <c r="Z559" s="1580">
        <v>0</v>
      </c>
      <c r="AA559" s="1580">
        <v>0</v>
      </c>
      <c r="AB559" s="1580">
        <v>0</v>
      </c>
      <c r="AC559" s="1580">
        <v>0</v>
      </c>
      <c r="AD559" s="1580">
        <v>0</v>
      </c>
      <c r="AE559" s="1580">
        <v>4178.8602617558081</v>
      </c>
      <c r="AF559" s="1580"/>
      <c r="AG559" s="1580"/>
      <c r="AH559" s="1580"/>
      <c r="AI559" s="1580">
        <v>0</v>
      </c>
      <c r="AJ559" s="1580">
        <v>0</v>
      </c>
      <c r="AK559" s="1580">
        <v>0</v>
      </c>
      <c r="AL559" s="1580">
        <v>0</v>
      </c>
      <c r="AM559" s="1580"/>
      <c r="AN559" s="1580">
        <v>0</v>
      </c>
      <c r="AO559" s="1580">
        <v>254.35853183039231</v>
      </c>
      <c r="AP559" s="1580">
        <v>1363.6227327519455</v>
      </c>
      <c r="AQ559" s="1580">
        <v>0</v>
      </c>
      <c r="AR559" s="1580">
        <v>0</v>
      </c>
      <c r="AS559" s="1580"/>
      <c r="AT559" s="1580"/>
      <c r="AU559" s="1580">
        <v>0</v>
      </c>
      <c r="AV559" s="1580">
        <v>0</v>
      </c>
      <c r="AW559" s="1580">
        <v>0</v>
      </c>
      <c r="AX559" s="1580"/>
      <c r="AY559" s="1580"/>
      <c r="AZ559" s="1580">
        <v>0</v>
      </c>
      <c r="BA559" s="1580"/>
      <c r="BB559" s="1580">
        <v>0</v>
      </c>
      <c r="BC559" s="1580">
        <v>0</v>
      </c>
      <c r="BD559" s="1580">
        <v>0</v>
      </c>
      <c r="BE559" s="1580">
        <v>0</v>
      </c>
      <c r="BF559" s="1580"/>
      <c r="BG559" s="1580">
        <v>0</v>
      </c>
      <c r="BH559" s="1580">
        <v>0</v>
      </c>
      <c r="BI559" s="1580">
        <v>0</v>
      </c>
      <c r="BJ559" s="1580">
        <v>0</v>
      </c>
      <c r="BK559" s="1580">
        <v>617.99</v>
      </c>
      <c r="BL559" s="1580">
        <v>3</v>
      </c>
      <c r="BM559" s="1580"/>
      <c r="BN559" s="1580"/>
      <c r="BO559" s="1580"/>
      <c r="BP559" s="1580"/>
      <c r="BQ559" s="1580"/>
      <c r="BR559" s="1580"/>
      <c r="BS559" s="1580"/>
      <c r="BT559" s="1580"/>
      <c r="BU559" s="1580"/>
      <c r="BV559" s="1580">
        <v>0</v>
      </c>
      <c r="BW559" s="1580"/>
      <c r="BX559" s="1580"/>
      <c r="BY559" s="1580"/>
      <c r="BZ559" s="1580"/>
      <c r="CA559" s="1580"/>
      <c r="CB559" s="1580"/>
      <c r="CC559" s="1580"/>
      <c r="CD559" s="1580"/>
      <c r="CE559" s="1580"/>
      <c r="CF559" s="1580"/>
      <c r="CG559" s="1580"/>
      <c r="CH559" s="1580"/>
      <c r="CI559" s="1580">
        <v>4624</v>
      </c>
      <c r="CJ559" s="1580">
        <v>-1174.4300000000012</v>
      </c>
      <c r="CK559" s="1580"/>
      <c r="CL559" s="1580"/>
      <c r="CM559" s="1580"/>
      <c r="CN559" s="1580"/>
      <c r="CO559" s="1580">
        <v>-1174.4000000000005</v>
      </c>
      <c r="CP559" s="1580">
        <v>0</v>
      </c>
      <c r="CQ559" s="1580">
        <v>31</v>
      </c>
      <c r="CR559" s="1580">
        <v>118.1058531983806</v>
      </c>
      <c r="CS559" s="1580">
        <v>18.567107096799731</v>
      </c>
      <c r="CT559" s="1580">
        <v>99.538746101580955</v>
      </c>
      <c r="CU559" s="1580">
        <v>0</v>
      </c>
      <c r="CV559" s="1580">
        <v>0</v>
      </c>
      <c r="CW559" s="1580"/>
      <c r="CX559" s="1580"/>
      <c r="CY559" s="1580"/>
      <c r="CZ559" s="1580">
        <v>0</v>
      </c>
      <c r="DA559" s="1580">
        <v>0</v>
      </c>
      <c r="DB559" s="1580">
        <v>0</v>
      </c>
      <c r="DC559" s="1580"/>
      <c r="DD559" s="1580"/>
      <c r="DE559" s="1580">
        <v>0</v>
      </c>
      <c r="DF559" s="1580">
        <v>0</v>
      </c>
      <c r="DG559" s="1580">
        <v>0</v>
      </c>
      <c r="DH559" s="1580">
        <v>0</v>
      </c>
      <c r="DI559" s="1580">
        <v>0</v>
      </c>
      <c r="DJ559" s="1580"/>
      <c r="DK559" s="1580">
        <v>0</v>
      </c>
      <c r="DL559" s="1580">
        <v>0</v>
      </c>
      <c r="DM559" s="1580"/>
      <c r="DN559" s="1580">
        <v>0</v>
      </c>
      <c r="DO559" s="1580">
        <v>0</v>
      </c>
      <c r="DP559" s="1580">
        <v>0</v>
      </c>
      <c r="DQ559" s="1580">
        <v>0</v>
      </c>
      <c r="DR559" s="1580">
        <v>0</v>
      </c>
      <c r="DS559" s="1580"/>
      <c r="DT559" s="1580"/>
      <c r="DU559" s="1580">
        <v>4178.8602617558081</v>
      </c>
      <c r="DV559" s="1580"/>
      <c r="DW559" s="1580">
        <v>0</v>
      </c>
      <c r="DX559" s="1580">
        <v>0</v>
      </c>
      <c r="DY559" s="1580">
        <v>-1174.4000000000005</v>
      </c>
      <c r="DZ559" s="1580"/>
      <c r="EA559" s="1580">
        <v>0</v>
      </c>
      <c r="EB559" s="1580"/>
      <c r="EC559" s="1580">
        <v>-1292.1074580173949</v>
      </c>
      <c r="ED559" s="1580"/>
      <c r="EE559" s="1580">
        <v>0</v>
      </c>
      <c r="EF559" s="1580">
        <v>0</v>
      </c>
      <c r="EG559" s="1580"/>
      <c r="EH559" s="1580">
        <v>0</v>
      </c>
      <c r="EI559" s="1580">
        <v>0</v>
      </c>
      <c r="EJ559" s="1580">
        <v>0</v>
      </c>
      <c r="EK559" s="1580">
        <v>0</v>
      </c>
      <c r="EL559" s="1580">
        <v>0</v>
      </c>
      <c r="EM559" s="1580"/>
      <c r="EN559" s="1580"/>
      <c r="EO559" s="1580">
        <v>0</v>
      </c>
      <c r="EP559" s="1580">
        <v>0</v>
      </c>
      <c r="EQ559" s="1580"/>
      <c r="ER559" s="1580">
        <v>0</v>
      </c>
      <c r="ES559" s="1580"/>
      <c r="ET559" s="1580">
        <v>0</v>
      </c>
      <c r="EU559" s="1580"/>
      <c r="EV559" s="1580">
        <v>230</v>
      </c>
      <c r="EW559" s="1580"/>
      <c r="EX559" s="1580"/>
      <c r="EY559" s="1580"/>
      <c r="EZ559" s="1580"/>
      <c r="FA559" s="1580">
        <v>0</v>
      </c>
      <c r="FB559" s="1580"/>
      <c r="FC559" s="1580"/>
      <c r="FD559" s="1580"/>
      <c r="FE559" s="1580"/>
      <c r="FF559" s="1580">
        <v>0</v>
      </c>
      <c r="FG559" s="1580">
        <v>0</v>
      </c>
      <c r="FH559" s="1580">
        <v>0</v>
      </c>
      <c r="FI559" s="1580">
        <v>0</v>
      </c>
    </row>
    <row r="560" spans="1:165">
      <c r="A560" s="1580">
        <v>558</v>
      </c>
      <c r="B560" s="1580" t="s">
        <v>2351</v>
      </c>
      <c r="C560" s="1580" t="s">
        <v>2328</v>
      </c>
      <c r="D560" s="1580" t="s">
        <v>2342</v>
      </c>
      <c r="E560" s="1580" t="s">
        <v>2343</v>
      </c>
      <c r="F560" s="1580" t="s">
        <v>2344</v>
      </c>
      <c r="G560" s="1580" t="s">
        <v>1239</v>
      </c>
      <c r="H560" s="1580" t="s">
        <v>1239</v>
      </c>
      <c r="I560" s="1580" t="s">
        <v>1239</v>
      </c>
      <c r="J560" s="1580" t="s">
        <v>2329</v>
      </c>
      <c r="K560" s="1581">
        <v>44774</v>
      </c>
      <c r="L560" s="1580">
        <v>0</v>
      </c>
      <c r="M560" s="1580">
        <v>0</v>
      </c>
      <c r="N560" s="1580">
        <v>1011.848</v>
      </c>
      <c r="O560" s="1580">
        <v>1011.848</v>
      </c>
      <c r="P560" s="1580">
        <v>1011.848</v>
      </c>
      <c r="Q560" s="1580">
        <v>1011.848</v>
      </c>
      <c r="R560" s="1580"/>
      <c r="S560" s="1580">
        <v>183.49</v>
      </c>
      <c r="T560" s="1580">
        <v>70.459999999999994</v>
      </c>
      <c r="U560" s="1580"/>
      <c r="V560" s="1580">
        <v>256958.7996</v>
      </c>
      <c r="W560" s="1580">
        <v>256958.7996</v>
      </c>
      <c r="X560" s="1580">
        <v>224286.22767999998</v>
      </c>
      <c r="Y560" s="1580">
        <v>0</v>
      </c>
      <c r="Z560" s="1580">
        <v>34067.736017751835</v>
      </c>
      <c r="AA560" s="1580">
        <v>0</v>
      </c>
      <c r="AB560" s="1580">
        <v>0</v>
      </c>
      <c r="AC560" s="1580">
        <v>0</v>
      </c>
      <c r="AD560" s="1580">
        <v>0</v>
      </c>
      <c r="AE560" s="1580">
        <v>108240.32407174661</v>
      </c>
      <c r="AF560" s="1580">
        <v>71295.898356775971</v>
      </c>
      <c r="AG560" s="1580">
        <v>0</v>
      </c>
      <c r="AH560" s="1580">
        <v>0</v>
      </c>
      <c r="AI560" s="1580">
        <v>0</v>
      </c>
      <c r="AJ560" s="1580">
        <v>0</v>
      </c>
      <c r="AK560" s="1580">
        <v>0</v>
      </c>
      <c r="AL560" s="1580">
        <v>5261.2227980656207</v>
      </c>
      <c r="AM560" s="1580"/>
      <c r="AN560" s="1580">
        <v>478.81998019777501</v>
      </c>
      <c r="AO560" s="1580">
        <v>1934.4622304546303</v>
      </c>
      <c r="AP560" s="1580">
        <v>10319.280800479861</v>
      </c>
      <c r="AQ560" s="1580">
        <v>0</v>
      </c>
      <c r="AR560" s="1580">
        <v>0</v>
      </c>
      <c r="AS560" s="1580">
        <v>0</v>
      </c>
      <c r="AT560" s="1580">
        <v>0</v>
      </c>
      <c r="AU560" s="1580">
        <v>0</v>
      </c>
      <c r="AV560" s="1580">
        <v>0</v>
      </c>
      <c r="AW560" s="1580">
        <v>0</v>
      </c>
      <c r="AX560" s="1580">
        <v>0</v>
      </c>
      <c r="AY560" s="1580">
        <v>0</v>
      </c>
      <c r="AZ560" s="1580">
        <v>0</v>
      </c>
      <c r="BA560" s="1580"/>
      <c r="BB560" s="1580">
        <v>0</v>
      </c>
      <c r="BC560" s="1580">
        <v>0</v>
      </c>
      <c r="BD560" s="1580">
        <v>0</v>
      </c>
      <c r="BE560" s="1580">
        <v>0</v>
      </c>
      <c r="BF560" s="1580">
        <v>0</v>
      </c>
      <c r="BG560" s="1580">
        <v>7551.0208920536688</v>
      </c>
      <c r="BH560" s="1580">
        <v>0</v>
      </c>
      <c r="BI560" s="1580">
        <v>0</v>
      </c>
      <c r="BJ560" s="1580">
        <v>0</v>
      </c>
      <c r="BK560" s="1580">
        <v>45938.14</v>
      </c>
      <c r="BL560" s="1580">
        <v>5</v>
      </c>
      <c r="BM560" s="1580"/>
      <c r="BN560" s="1580"/>
      <c r="BO560" s="1580"/>
      <c r="BP560" s="1580"/>
      <c r="BQ560" s="1580"/>
      <c r="BR560" s="1580"/>
      <c r="BS560" s="1580"/>
      <c r="BT560" s="1580"/>
      <c r="BU560" s="1580"/>
      <c r="BV560" s="1580">
        <v>78846.919248829639</v>
      </c>
      <c r="BW560" s="1580"/>
      <c r="BX560" s="1580"/>
      <c r="BY560" s="1580"/>
      <c r="BZ560" s="1580"/>
      <c r="CA560" s="1580"/>
      <c r="CB560" s="1580"/>
      <c r="CC560" s="1580"/>
      <c r="CD560" s="1580"/>
      <c r="CE560" s="1580"/>
      <c r="CF560" s="1580"/>
      <c r="CG560" s="1580"/>
      <c r="CH560" s="1580"/>
      <c r="CI560" s="1580">
        <v>224286.671</v>
      </c>
      <c r="CJ560" s="1580">
        <v>-32672.158600000024</v>
      </c>
      <c r="CK560" s="1580"/>
      <c r="CL560" s="1580"/>
      <c r="CM560" s="1580"/>
      <c r="CN560" s="1580"/>
      <c r="CO560" s="1580">
        <v>-35930.722480000019</v>
      </c>
      <c r="CP560" s="1580">
        <v>3258.1505600000132</v>
      </c>
      <c r="CQ560" s="1580">
        <v>31</v>
      </c>
      <c r="CR560" s="1580">
        <v>802.00518648294383</v>
      </c>
      <c r="CS560" s="1580">
        <v>141.20763769589689</v>
      </c>
      <c r="CT560" s="1580">
        <v>753.26426208594603</v>
      </c>
      <c r="CU560" s="1580">
        <v>0</v>
      </c>
      <c r="CV560" s="1580">
        <v>0</v>
      </c>
      <c r="CW560" s="1580">
        <v>0</v>
      </c>
      <c r="CX560" s="1580">
        <v>0</v>
      </c>
      <c r="CY560" s="1580">
        <v>0</v>
      </c>
      <c r="CZ560" s="1580">
        <v>0</v>
      </c>
      <c r="DA560" s="1580">
        <v>0</v>
      </c>
      <c r="DB560" s="1580">
        <v>0</v>
      </c>
      <c r="DC560" s="1580">
        <v>3260.8712590454525</v>
      </c>
      <c r="DD560" s="1580">
        <v>0</v>
      </c>
      <c r="DE560" s="1580">
        <v>0</v>
      </c>
      <c r="DF560" s="1580">
        <v>0</v>
      </c>
      <c r="DG560" s="1580">
        <v>345.36218170830944</v>
      </c>
      <c r="DH560" s="1580">
        <v>0</v>
      </c>
      <c r="DI560" s="1580">
        <v>-3222.5074363959866</v>
      </c>
      <c r="DJ560" s="1580"/>
      <c r="DK560" s="1580">
        <v>0</v>
      </c>
      <c r="DL560" s="1580">
        <v>0</v>
      </c>
      <c r="DM560" s="1580">
        <v>0</v>
      </c>
      <c r="DN560" s="1580">
        <v>0</v>
      </c>
      <c r="DO560" s="1580">
        <v>-420.09065162877323</v>
      </c>
      <c r="DP560" s="1580">
        <v>-56.102066027867352</v>
      </c>
      <c r="DQ560" s="1580">
        <v>0</v>
      </c>
      <c r="DR560" s="1580">
        <v>0</v>
      </c>
      <c r="DS560" s="1580"/>
      <c r="DT560" s="1580"/>
      <c r="DU560" s="1580"/>
      <c r="DV560" s="1580">
        <v>108240.32407174661</v>
      </c>
      <c r="DW560" s="1580">
        <v>0</v>
      </c>
      <c r="DX560" s="1580">
        <v>0</v>
      </c>
      <c r="DY560" s="1580">
        <v>-35930.722480000026</v>
      </c>
      <c r="DZ560" s="1580">
        <v>3258.1505600000091</v>
      </c>
      <c r="EA560" s="1580">
        <v>0</v>
      </c>
      <c r="EB560" s="1580">
        <v>0</v>
      </c>
      <c r="EC560" s="1580">
        <v>-33468.008315875195</v>
      </c>
      <c r="ED560" s="1580">
        <v>0</v>
      </c>
      <c r="EE560" s="1580">
        <v>0</v>
      </c>
      <c r="EF560" s="1580">
        <v>0</v>
      </c>
      <c r="EG560" s="1580">
        <v>0</v>
      </c>
      <c r="EH560" s="1580">
        <v>0</v>
      </c>
      <c r="EI560" s="1580">
        <v>0</v>
      </c>
      <c r="EJ560" s="1580">
        <v>0</v>
      </c>
      <c r="EK560" s="1580">
        <v>0</v>
      </c>
      <c r="EL560" s="1580">
        <v>0</v>
      </c>
      <c r="EM560" s="1580">
        <v>0</v>
      </c>
      <c r="EN560" s="1580">
        <v>0</v>
      </c>
      <c r="EO560" s="1580">
        <v>0</v>
      </c>
      <c r="EP560" s="1580">
        <v>17807.698288409396</v>
      </c>
      <c r="EQ560" s="1580">
        <v>0</v>
      </c>
      <c r="ER560" s="1580">
        <v>0</v>
      </c>
      <c r="ES560" s="1580">
        <v>0</v>
      </c>
      <c r="ET560" s="1580">
        <v>0</v>
      </c>
      <c r="EU560" s="1580">
        <v>0</v>
      </c>
      <c r="EV560" s="1580">
        <v>230</v>
      </c>
      <c r="EW560" s="1580">
        <v>0</v>
      </c>
      <c r="EX560" s="1580">
        <v>0</v>
      </c>
      <c r="EY560" s="1580">
        <v>0</v>
      </c>
      <c r="EZ560" s="1580"/>
      <c r="FA560" s="1580">
        <v>0</v>
      </c>
      <c r="FB560" s="1580"/>
      <c r="FC560" s="1580"/>
      <c r="FD560" s="1580"/>
      <c r="FE560" s="1580"/>
      <c r="FF560" s="1580">
        <v>0</v>
      </c>
      <c r="FG560" s="1580">
        <v>0</v>
      </c>
      <c r="FH560" s="1580">
        <v>0</v>
      </c>
      <c r="FI560" s="1580">
        <v>0</v>
      </c>
    </row>
    <row r="561" spans="1:165">
      <c r="A561" s="1580">
        <v>559</v>
      </c>
      <c r="B561" s="1580" t="s">
        <v>2351</v>
      </c>
      <c r="C561" s="1580" t="s">
        <v>2328</v>
      </c>
      <c r="D561" s="1580" t="s">
        <v>1826</v>
      </c>
      <c r="E561" s="1580" t="s">
        <v>921</v>
      </c>
      <c r="F561" s="1580" t="s">
        <v>2345</v>
      </c>
      <c r="G561" s="1580" t="s">
        <v>1239</v>
      </c>
      <c r="H561" s="1580" t="s">
        <v>1239</v>
      </c>
      <c r="I561" s="1580" t="s">
        <v>1239</v>
      </c>
      <c r="J561" s="1580" t="s">
        <v>2329</v>
      </c>
      <c r="K561" s="1581">
        <v>44774</v>
      </c>
      <c r="L561" s="1580">
        <v>0</v>
      </c>
      <c r="M561" s="1580">
        <v>0</v>
      </c>
      <c r="N561" s="1580">
        <v>71.58</v>
      </c>
      <c r="O561" s="1580">
        <v>67.285200000000003</v>
      </c>
      <c r="P561" s="1580">
        <v>71.58</v>
      </c>
      <c r="Q561" s="1580">
        <v>67.285200000000003</v>
      </c>
      <c r="R561" s="1580"/>
      <c r="S561" s="1580">
        <v>333.61</v>
      </c>
      <c r="T561" s="1580">
        <v>128.11000000000001</v>
      </c>
      <c r="U561" s="1580"/>
      <c r="V561" s="1580">
        <v>33049.917600000001</v>
      </c>
      <c r="W561" s="1580">
        <v>33049.917600000001</v>
      </c>
      <c r="X561" s="1580">
        <v>28848.8874</v>
      </c>
      <c r="Y561" s="1580">
        <v>0</v>
      </c>
      <c r="Z561" s="1580">
        <v>4381.8448910951693</v>
      </c>
      <c r="AA561" s="1580">
        <v>0</v>
      </c>
      <c r="AB561" s="1580">
        <v>0</v>
      </c>
      <c r="AC561" s="1580">
        <v>0</v>
      </c>
      <c r="AD561" s="1580">
        <v>0</v>
      </c>
      <c r="AE561" s="1580">
        <v>13922.037871760098</v>
      </c>
      <c r="AF561" s="1580">
        <v>9170.188703114598</v>
      </c>
      <c r="AG561" s="1580">
        <v>0</v>
      </c>
      <c r="AH561" s="1580">
        <v>0</v>
      </c>
      <c r="AI561" s="1580">
        <v>0</v>
      </c>
      <c r="AJ561" s="1580">
        <v>0</v>
      </c>
      <c r="AK561" s="1580">
        <v>0</v>
      </c>
      <c r="AL561" s="1580">
        <v>676.70661257338941</v>
      </c>
      <c r="AM561" s="1580"/>
      <c r="AN561" s="1580">
        <v>61.586566330402391</v>
      </c>
      <c r="AO561" s="1580">
        <v>248.81352365526379</v>
      </c>
      <c r="AP561" s="1580">
        <v>1327.2818549432684</v>
      </c>
      <c r="AQ561" s="1580">
        <v>0</v>
      </c>
      <c r="AR561" s="1580">
        <v>0</v>
      </c>
      <c r="AS561" s="1580">
        <v>0</v>
      </c>
      <c r="AT561" s="1580">
        <v>0</v>
      </c>
      <c r="AU561" s="1580">
        <v>0</v>
      </c>
      <c r="AV561" s="1580">
        <v>0</v>
      </c>
      <c r="AW561" s="1580">
        <v>0</v>
      </c>
      <c r="AX561" s="1580">
        <v>0</v>
      </c>
      <c r="AY561" s="1580">
        <v>0</v>
      </c>
      <c r="AZ561" s="1580">
        <v>0</v>
      </c>
      <c r="BA561" s="1580"/>
      <c r="BB561" s="1580">
        <v>0</v>
      </c>
      <c r="BC561" s="1580">
        <v>0</v>
      </c>
      <c r="BD561" s="1580">
        <v>0</v>
      </c>
      <c r="BE561" s="1580">
        <v>0</v>
      </c>
      <c r="BF561" s="1580">
        <v>0</v>
      </c>
      <c r="BG561" s="1580">
        <v>971.22398451007643</v>
      </c>
      <c r="BH561" s="1580">
        <v>0</v>
      </c>
      <c r="BI561" s="1580">
        <v>0</v>
      </c>
      <c r="BJ561" s="1580">
        <v>0</v>
      </c>
      <c r="BK561" s="1580">
        <v>5554.32</v>
      </c>
      <c r="BL561" s="1580">
        <v>27</v>
      </c>
      <c r="BM561" s="1580"/>
      <c r="BN561" s="1580"/>
      <c r="BO561" s="1580"/>
      <c r="BP561" s="1580"/>
      <c r="BQ561" s="1580">
        <v>1730.933243999998</v>
      </c>
      <c r="BR561" s="1580"/>
      <c r="BS561" s="1580"/>
      <c r="BT561" s="1580"/>
      <c r="BU561" s="1580"/>
      <c r="BV561" s="1580">
        <v>10141.412687624674</v>
      </c>
      <c r="BW561" s="1580"/>
      <c r="BX561" s="1580"/>
      <c r="BY561" s="1580"/>
      <c r="BZ561" s="1580"/>
      <c r="CA561" s="1580"/>
      <c r="CB561" s="1580"/>
      <c r="CC561" s="1580"/>
      <c r="CD561" s="1580"/>
      <c r="CE561" s="1580"/>
      <c r="CF561" s="1580"/>
      <c r="CG561" s="1580"/>
      <c r="CH561" s="1580"/>
      <c r="CI561" s="1580">
        <v>27119.888700000003</v>
      </c>
      <c r="CJ561" s="1580">
        <v>-3947.063843999993</v>
      </c>
      <c r="CK561" s="1580"/>
      <c r="CL561" s="1580"/>
      <c r="CM561" s="1580"/>
      <c r="CN561" s="1580"/>
      <c r="CO561" s="1580">
        <v>-4620.4890000000005</v>
      </c>
      <c r="CP561" s="1580">
        <v>419.45879999999892</v>
      </c>
      <c r="CQ561" s="1580">
        <v>31</v>
      </c>
      <c r="CR561" s="1580">
        <v>103.15514735677425</v>
      </c>
      <c r="CS561" s="1580">
        <v>18.162344732827762</v>
      </c>
      <c r="CT561" s="1580">
        <v>96.886014284770454</v>
      </c>
      <c r="CU561" s="1580">
        <v>0</v>
      </c>
      <c r="CV561" s="1580">
        <v>0</v>
      </c>
      <c r="CW561" s="1580">
        <v>0</v>
      </c>
      <c r="CX561" s="1580">
        <v>0</v>
      </c>
      <c r="CY561" s="1580">
        <v>0</v>
      </c>
      <c r="CZ561" s="1580">
        <v>0</v>
      </c>
      <c r="DA561" s="1580">
        <v>0</v>
      </c>
      <c r="DB561" s="1580">
        <v>0</v>
      </c>
      <c r="DC561" s="1580">
        <v>419.4183041550732</v>
      </c>
      <c r="DD561" s="1580">
        <v>0</v>
      </c>
      <c r="DE561" s="1580">
        <v>0</v>
      </c>
      <c r="DF561" s="1580">
        <v>0</v>
      </c>
      <c r="DG561" s="1580">
        <v>44.421017901138384</v>
      </c>
      <c r="DH561" s="1580">
        <v>0</v>
      </c>
      <c r="DI561" s="1580">
        <v>-414.48388995763753</v>
      </c>
      <c r="DJ561" s="1580"/>
      <c r="DK561" s="1580">
        <v>0</v>
      </c>
      <c r="DL561" s="1580">
        <v>0</v>
      </c>
      <c r="DM561" s="1580">
        <v>0</v>
      </c>
      <c r="DN561" s="1580">
        <v>0</v>
      </c>
      <c r="DO561" s="1580">
        <v>-54.032709267127075</v>
      </c>
      <c r="DP561" s="1580">
        <v>-7.2159344922714652</v>
      </c>
      <c r="DQ561" s="1580">
        <v>0</v>
      </c>
      <c r="DR561" s="1580">
        <v>0</v>
      </c>
      <c r="DS561" s="1580"/>
      <c r="DT561" s="1580"/>
      <c r="DU561" s="1580"/>
      <c r="DV561" s="1580">
        <v>13922.037871760098</v>
      </c>
      <c r="DW561" s="1580">
        <v>0</v>
      </c>
      <c r="DX561" s="1580">
        <v>0</v>
      </c>
      <c r="DY561" s="1580">
        <v>-4620.4890000000014</v>
      </c>
      <c r="DZ561" s="1580">
        <v>419.45879999999852</v>
      </c>
      <c r="EA561" s="1580">
        <v>0</v>
      </c>
      <c r="EB561" s="1580">
        <v>0</v>
      </c>
      <c r="EC561" s="1580">
        <v>-4304.7069866230922</v>
      </c>
      <c r="ED561" s="1580">
        <v>0</v>
      </c>
      <c r="EE561" s="1580">
        <v>0</v>
      </c>
      <c r="EF561" s="1580">
        <v>0</v>
      </c>
      <c r="EG561" s="1580">
        <v>0</v>
      </c>
      <c r="EH561" s="1580">
        <v>0</v>
      </c>
      <c r="EI561" s="1580">
        <v>0</v>
      </c>
      <c r="EJ561" s="1580">
        <v>0</v>
      </c>
      <c r="EK561" s="1580">
        <v>0</v>
      </c>
      <c r="EL561" s="1580">
        <v>0</v>
      </c>
      <c r="EM561" s="1580">
        <v>0</v>
      </c>
      <c r="EN561" s="1580">
        <v>0</v>
      </c>
      <c r="EO561" s="1580">
        <v>0</v>
      </c>
      <c r="EP561" s="1580">
        <v>2290.453692801043</v>
      </c>
      <c r="EQ561" s="1580">
        <v>0</v>
      </c>
      <c r="ER561" s="1580">
        <v>0</v>
      </c>
      <c r="ES561" s="1580">
        <v>0</v>
      </c>
      <c r="ET561" s="1580">
        <v>0</v>
      </c>
      <c r="EU561" s="1580">
        <v>0</v>
      </c>
      <c r="EV561" s="1580">
        <v>230</v>
      </c>
      <c r="EW561" s="1580">
        <v>0</v>
      </c>
      <c r="EX561" s="1580">
        <v>0</v>
      </c>
      <c r="EY561" s="1580">
        <v>0</v>
      </c>
      <c r="EZ561" s="1580"/>
      <c r="FA561" s="1580">
        <v>0</v>
      </c>
      <c r="FB561" s="1580"/>
      <c r="FC561" s="1580"/>
      <c r="FD561" s="1580"/>
      <c r="FE561" s="1580"/>
      <c r="FF561" s="1580">
        <v>0</v>
      </c>
      <c r="FG561" s="1580">
        <v>0</v>
      </c>
      <c r="FH561" s="1580">
        <v>0</v>
      </c>
      <c r="FI561" s="1580">
        <v>0</v>
      </c>
    </row>
    <row r="562" spans="1:165">
      <c r="A562" s="1580">
        <v>560</v>
      </c>
      <c r="B562" s="1580" t="s">
        <v>2351</v>
      </c>
      <c r="C562" s="1580" t="s">
        <v>2336</v>
      </c>
      <c r="D562" s="1580" t="s">
        <v>533</v>
      </c>
      <c r="E562" s="1580" t="s">
        <v>921</v>
      </c>
      <c r="F562" s="1580" t="s">
        <v>2345</v>
      </c>
      <c r="G562" s="1580" t="s">
        <v>1239</v>
      </c>
      <c r="H562" s="1580" t="s">
        <v>1239</v>
      </c>
      <c r="I562" s="1580" t="s">
        <v>893</v>
      </c>
      <c r="J562" s="1580" t="s">
        <v>2329</v>
      </c>
      <c r="K562" s="1581">
        <v>44774</v>
      </c>
      <c r="L562" s="1580">
        <v>497</v>
      </c>
      <c r="M562" s="1580">
        <v>467.18</v>
      </c>
      <c r="N562" s="1580">
        <v>20.617999999999999</v>
      </c>
      <c r="O562" s="1580">
        <v>19.38092</v>
      </c>
      <c r="P562" s="1580">
        <v>20.617999999999999</v>
      </c>
      <c r="Q562" s="1580">
        <v>19.38092</v>
      </c>
      <c r="R562" s="1580">
        <v>52.19</v>
      </c>
      <c r="S562" s="1580">
        <v>96.28</v>
      </c>
      <c r="T562" s="1580">
        <v>128.11000000000001</v>
      </c>
      <c r="U562" s="1580">
        <v>25938.43</v>
      </c>
      <c r="V562" s="1580">
        <v>4626.4730199999995</v>
      </c>
      <c r="W562" s="1580">
        <v>30564.903020000002</v>
      </c>
      <c r="X562" s="1580">
        <v>23587.20752</v>
      </c>
      <c r="Y562" s="1580">
        <v>0</v>
      </c>
      <c r="Z562" s="1580">
        <v>1098.0726994859208</v>
      </c>
      <c r="AA562" s="1580">
        <v>0</v>
      </c>
      <c r="AB562" s="1580">
        <v>0</v>
      </c>
      <c r="AC562" s="1580">
        <v>0</v>
      </c>
      <c r="AD562" s="1580">
        <v>0</v>
      </c>
      <c r="AE562" s="1580">
        <v>23226.622324707889</v>
      </c>
      <c r="AF562" s="1580">
        <v>2641.3935551944228</v>
      </c>
      <c r="AG562" s="1580">
        <v>0</v>
      </c>
      <c r="AH562" s="1580">
        <v>0</v>
      </c>
      <c r="AI562" s="1580">
        <v>0</v>
      </c>
      <c r="AJ562" s="1580">
        <v>0</v>
      </c>
      <c r="AK562" s="1580">
        <v>0</v>
      </c>
      <c r="AL562" s="1580">
        <v>194.91948781835907</v>
      </c>
      <c r="AM562" s="1580"/>
      <c r="AN562" s="1580">
        <v>10.135822257206417</v>
      </c>
      <c r="AO562" s="1580">
        <v>429.22392841896755</v>
      </c>
      <c r="AP562" s="1580">
        <v>2283.35918041684</v>
      </c>
      <c r="AQ562" s="1580">
        <v>0</v>
      </c>
      <c r="AR562" s="1580">
        <v>0</v>
      </c>
      <c r="AS562" s="1580">
        <v>0</v>
      </c>
      <c r="AT562" s="1580">
        <v>0</v>
      </c>
      <c r="AU562" s="1580">
        <v>0</v>
      </c>
      <c r="AV562" s="1580">
        <v>0</v>
      </c>
      <c r="AW562" s="1580">
        <v>0</v>
      </c>
      <c r="AX562" s="1580">
        <v>0</v>
      </c>
      <c r="AY562" s="1580">
        <v>0</v>
      </c>
      <c r="AZ562" s="1580">
        <v>0</v>
      </c>
      <c r="BA562" s="1580"/>
      <c r="BB562" s="1580">
        <v>0</v>
      </c>
      <c r="BC562" s="1580">
        <v>0</v>
      </c>
      <c r="BD562" s="1580">
        <v>0</v>
      </c>
      <c r="BE562" s="1580">
        <v>0</v>
      </c>
      <c r="BF562" s="1580">
        <v>0</v>
      </c>
      <c r="BG562" s="1580">
        <v>108.00977054851167</v>
      </c>
      <c r="BH562" s="1580">
        <v>0</v>
      </c>
      <c r="BI562" s="1580">
        <v>0</v>
      </c>
      <c r="BJ562" s="1580">
        <v>0</v>
      </c>
      <c r="BK562" s="1580">
        <v>0</v>
      </c>
      <c r="BL562" s="1580">
        <v>0</v>
      </c>
      <c r="BM562" s="1580"/>
      <c r="BN562" s="1580"/>
      <c r="BO562" s="1580"/>
      <c r="BP562" s="1580"/>
      <c r="BQ562" s="1580">
        <v>1415.2324511999998</v>
      </c>
      <c r="BR562" s="1580"/>
      <c r="BS562" s="1580"/>
      <c r="BT562" s="1580"/>
      <c r="BU562" s="1580"/>
      <c r="BV562" s="1580">
        <v>2749.4033257429346</v>
      </c>
      <c r="BW562" s="1580"/>
      <c r="BX562" s="1580"/>
      <c r="BY562" s="1580"/>
      <c r="BZ562" s="1580"/>
      <c r="CA562" s="1580"/>
      <c r="CB562" s="1580"/>
      <c r="CC562" s="1580"/>
      <c r="CD562" s="1580"/>
      <c r="CE562" s="1580"/>
      <c r="CF562" s="1580"/>
      <c r="CG562" s="1580"/>
      <c r="CH562" s="1580"/>
      <c r="CI562" s="1580">
        <v>22171.768400000001</v>
      </c>
      <c r="CJ562" s="1580">
        <v>-6559.2704387999911</v>
      </c>
      <c r="CK562" s="1580"/>
      <c r="CL562" s="1580"/>
      <c r="CM562" s="1580"/>
      <c r="CN562" s="1580"/>
      <c r="CO562" s="1580">
        <v>-7098.5169799999985</v>
      </c>
      <c r="CP562" s="1580">
        <v>120.82147999999968</v>
      </c>
      <c r="CQ562" s="1580">
        <v>31</v>
      </c>
      <c r="CR562" s="1580">
        <v>203.13783909678932</v>
      </c>
      <c r="CS562" s="1580">
        <v>31.331548386111194</v>
      </c>
      <c r="CT562" s="1580">
        <v>166.6756532135114</v>
      </c>
      <c r="CU562" s="1580">
        <v>0</v>
      </c>
      <c r="CV562" s="1580">
        <v>0</v>
      </c>
      <c r="CW562" s="1580">
        <v>0</v>
      </c>
      <c r="CX562" s="1580">
        <v>0</v>
      </c>
      <c r="CY562" s="1580">
        <v>0</v>
      </c>
      <c r="CZ562" s="1580">
        <v>0</v>
      </c>
      <c r="DA562" s="1580">
        <v>0</v>
      </c>
      <c r="DB562" s="1580">
        <v>0</v>
      </c>
      <c r="DC562" s="1580">
        <v>120.80981552206322</v>
      </c>
      <c r="DD562" s="1580">
        <v>0</v>
      </c>
      <c r="DE562" s="1580">
        <v>0</v>
      </c>
      <c r="DF562" s="1580">
        <v>0</v>
      </c>
      <c r="DG562" s="1580">
        <v>4.9400591702377028</v>
      </c>
      <c r="DH562" s="1580">
        <v>0</v>
      </c>
      <c r="DI562" s="1580">
        <v>-103.86799515978817</v>
      </c>
      <c r="DJ562" s="1580"/>
      <c r="DK562" s="1580">
        <v>0</v>
      </c>
      <c r="DL562" s="1580">
        <v>0</v>
      </c>
      <c r="DM562" s="1580">
        <v>0</v>
      </c>
      <c r="DN562" s="1580">
        <v>0</v>
      </c>
      <c r="DO562" s="1580">
        <v>-15.563654647522043</v>
      </c>
      <c r="DP562" s="1580">
        <v>-1.1875873878229601</v>
      </c>
      <c r="DQ562" s="1580">
        <v>0</v>
      </c>
      <c r="DR562" s="1580">
        <v>0</v>
      </c>
      <c r="DS562" s="1580"/>
      <c r="DT562" s="1580"/>
      <c r="DU562" s="1580">
        <v>23226.622324707889</v>
      </c>
      <c r="DV562" s="1580">
        <v>0</v>
      </c>
      <c r="DW562" s="1580">
        <v>0</v>
      </c>
      <c r="DX562" s="1580">
        <v>0</v>
      </c>
      <c r="DY562" s="1580">
        <v>-7098.5169800000003</v>
      </c>
      <c r="DZ562" s="1580">
        <v>120.82148000000007</v>
      </c>
      <c r="EA562" s="1580">
        <v>0</v>
      </c>
      <c r="EB562" s="1580">
        <v>0</v>
      </c>
      <c r="EC562" s="1580">
        <v>-7181.6931054063516</v>
      </c>
      <c r="ED562" s="1580">
        <v>0</v>
      </c>
      <c r="EE562" s="1580">
        <v>0</v>
      </c>
      <c r="EF562" s="1580">
        <v>0</v>
      </c>
      <c r="EG562" s="1580">
        <v>0</v>
      </c>
      <c r="EH562" s="1580">
        <v>0</v>
      </c>
      <c r="EI562" s="1580">
        <v>0</v>
      </c>
      <c r="EJ562" s="1580">
        <v>0</v>
      </c>
      <c r="EK562" s="1580">
        <v>0</v>
      </c>
      <c r="EL562" s="1580">
        <v>0</v>
      </c>
      <c r="EM562" s="1580">
        <v>0</v>
      </c>
      <c r="EN562" s="1580">
        <v>0</v>
      </c>
      <c r="EO562" s="1580">
        <v>0</v>
      </c>
      <c r="EP562" s="1580">
        <v>573.97847984366445</v>
      </c>
      <c r="EQ562" s="1580">
        <v>0</v>
      </c>
      <c r="ER562" s="1580">
        <v>0</v>
      </c>
      <c r="ES562" s="1580">
        <v>0</v>
      </c>
      <c r="ET562" s="1580">
        <v>0</v>
      </c>
      <c r="EU562" s="1580">
        <v>0</v>
      </c>
      <c r="EV562" s="1580">
        <v>230</v>
      </c>
      <c r="EW562" s="1580">
        <v>0</v>
      </c>
      <c r="EX562" s="1580">
        <v>0</v>
      </c>
      <c r="EY562" s="1580">
        <v>0</v>
      </c>
      <c r="EZ562" s="1580"/>
      <c r="FA562" s="1580">
        <v>0</v>
      </c>
      <c r="FB562" s="1580"/>
      <c r="FC562" s="1580"/>
      <c r="FD562" s="1580"/>
      <c r="FE562" s="1580"/>
      <c r="FF562" s="1580">
        <v>0</v>
      </c>
      <c r="FG562" s="1580">
        <v>0</v>
      </c>
      <c r="FH562" s="1580">
        <v>0</v>
      </c>
      <c r="FI562" s="1580">
        <v>0</v>
      </c>
    </row>
    <row r="563" spans="1:165">
      <c r="A563" s="1580">
        <v>561</v>
      </c>
      <c r="B563" s="1580" t="s">
        <v>2351</v>
      </c>
      <c r="C563" s="1580" t="s">
        <v>2336</v>
      </c>
      <c r="D563" s="1580" t="s">
        <v>533</v>
      </c>
      <c r="E563" s="1580" t="s">
        <v>921</v>
      </c>
      <c r="F563" s="1580" t="s">
        <v>2345</v>
      </c>
      <c r="G563" s="1580" t="s">
        <v>1239</v>
      </c>
      <c r="H563" s="1580" t="s">
        <v>1239</v>
      </c>
      <c r="I563" s="1580" t="s">
        <v>2326</v>
      </c>
      <c r="J563" s="1580" t="s">
        <v>2329</v>
      </c>
      <c r="K563" s="1581">
        <v>44774</v>
      </c>
      <c r="L563" s="1580">
        <v>497</v>
      </c>
      <c r="M563" s="1580">
        <v>467.18</v>
      </c>
      <c r="N563" s="1580">
        <v>162.51599999999999</v>
      </c>
      <c r="O563" s="1580">
        <v>152.76504</v>
      </c>
      <c r="P563" s="1580">
        <v>162.51599999999999</v>
      </c>
      <c r="Q563" s="1580">
        <v>152.76504</v>
      </c>
      <c r="R563" s="1580">
        <v>18.12</v>
      </c>
      <c r="S563" s="1580">
        <v>96.28</v>
      </c>
      <c r="T563" s="1580">
        <v>128.11000000000001</v>
      </c>
      <c r="U563" s="1580">
        <v>9005.6400000000012</v>
      </c>
      <c r="V563" s="1580">
        <v>36466.965240000005</v>
      </c>
      <c r="W563" s="1580">
        <v>45472.605240000004</v>
      </c>
      <c r="X563" s="1580">
        <v>43689.24424</v>
      </c>
      <c r="Y563" s="1580">
        <v>0</v>
      </c>
      <c r="Z563" s="1580">
        <v>8655.2712595622233</v>
      </c>
      <c r="AA563" s="1580">
        <v>0</v>
      </c>
      <c r="AB563" s="1580">
        <v>0</v>
      </c>
      <c r="AC563" s="1580">
        <v>0</v>
      </c>
      <c r="AD563" s="1580">
        <v>0</v>
      </c>
      <c r="AE563" s="1580">
        <v>6490.2923440394898</v>
      </c>
      <c r="AF563" s="1580">
        <v>20820.094820835038</v>
      </c>
      <c r="AG563" s="1580">
        <v>0</v>
      </c>
      <c r="AH563" s="1580">
        <v>0</v>
      </c>
      <c r="AI563" s="1580">
        <v>0</v>
      </c>
      <c r="AJ563" s="1580">
        <v>0</v>
      </c>
      <c r="AK563" s="1580">
        <v>0</v>
      </c>
      <c r="AL563" s="1580">
        <v>1536.4019537437407</v>
      </c>
      <c r="AM563" s="1580"/>
      <c r="AN563" s="1580">
        <v>79.89297167291484</v>
      </c>
      <c r="AO563" s="1580">
        <v>395.05059474907807</v>
      </c>
      <c r="AP563" s="1580">
        <v>2117.8765568053655</v>
      </c>
      <c r="AQ563" s="1580">
        <v>0</v>
      </c>
      <c r="AR563" s="1580">
        <v>0</v>
      </c>
      <c r="AS563" s="1580">
        <v>0</v>
      </c>
      <c r="AT563" s="1580">
        <v>0</v>
      </c>
      <c r="AU563" s="1580">
        <v>0</v>
      </c>
      <c r="AV563" s="1580">
        <v>0</v>
      </c>
      <c r="AW563" s="1580">
        <v>0</v>
      </c>
      <c r="AX563" s="1580">
        <v>0</v>
      </c>
      <c r="AY563" s="1580">
        <v>0</v>
      </c>
      <c r="AZ563" s="1580">
        <v>0</v>
      </c>
      <c r="BA563" s="1580"/>
      <c r="BB563" s="1580">
        <v>0</v>
      </c>
      <c r="BC563" s="1580">
        <v>0</v>
      </c>
      <c r="BD563" s="1580">
        <v>0</v>
      </c>
      <c r="BE563" s="1580">
        <v>0</v>
      </c>
      <c r="BF563" s="1580">
        <v>0</v>
      </c>
      <c r="BG563" s="1580">
        <v>851.35880640517621</v>
      </c>
      <c r="BH563" s="1580">
        <v>0</v>
      </c>
      <c r="BI563" s="1580">
        <v>0</v>
      </c>
      <c r="BJ563" s="1580">
        <v>0</v>
      </c>
      <c r="BK563" s="1580">
        <v>0</v>
      </c>
      <c r="BL563" s="1580">
        <v>0</v>
      </c>
      <c r="BM563" s="1580"/>
      <c r="BN563" s="1580"/>
      <c r="BO563" s="1580"/>
      <c r="BP563" s="1580"/>
      <c r="BQ563" s="1580">
        <v>2621.3546543999983</v>
      </c>
      <c r="BR563" s="1580"/>
      <c r="BS563" s="1580"/>
      <c r="BT563" s="1580"/>
      <c r="BU563" s="1580"/>
      <c r="BV563" s="1580">
        <v>21671.453627240215</v>
      </c>
      <c r="BW563" s="1580"/>
      <c r="BX563" s="1580"/>
      <c r="BY563" s="1580"/>
      <c r="BZ563" s="1580"/>
      <c r="CA563" s="1580"/>
      <c r="CB563" s="1580"/>
      <c r="CC563" s="1580"/>
      <c r="CD563" s="1580"/>
      <c r="CE563" s="1580"/>
      <c r="CF563" s="1580"/>
      <c r="CG563" s="1580"/>
      <c r="CH563" s="1580"/>
      <c r="CI563" s="1580">
        <v>41069.003800000006</v>
      </c>
      <c r="CJ563" s="1580">
        <v>-1675.2751255999974</v>
      </c>
      <c r="CK563" s="1580"/>
      <c r="CL563" s="1580"/>
      <c r="CM563" s="1580"/>
      <c r="CN563" s="1580"/>
      <c r="CO563" s="1580">
        <v>-2735.7047600000005</v>
      </c>
      <c r="CP563" s="1580">
        <v>952.34375999999759</v>
      </c>
      <c r="CQ563" s="1580">
        <v>31</v>
      </c>
      <c r="CR563" s="1580">
        <v>223.8740633025518</v>
      </c>
      <c r="CS563" s="1580">
        <v>28.837038209717036</v>
      </c>
      <c r="CT563" s="1580">
        <v>154.59611503901806</v>
      </c>
      <c r="CU563" s="1580">
        <v>0</v>
      </c>
      <c r="CV563" s="1580">
        <v>0</v>
      </c>
      <c r="CW563" s="1580">
        <v>0</v>
      </c>
      <c r="CX563" s="1580">
        <v>0</v>
      </c>
      <c r="CY563" s="1580">
        <v>0</v>
      </c>
      <c r="CZ563" s="1580">
        <v>0</v>
      </c>
      <c r="DA563" s="1580">
        <v>0</v>
      </c>
      <c r="DB563" s="1580">
        <v>0</v>
      </c>
      <c r="DC563" s="1580">
        <v>952.25181779918421</v>
      </c>
      <c r="DD563" s="1580">
        <v>0</v>
      </c>
      <c r="DE563" s="1580">
        <v>0</v>
      </c>
      <c r="DF563" s="1580">
        <v>0</v>
      </c>
      <c r="DG563" s="1580">
        <v>38.938726166958531</v>
      </c>
      <c r="DH563" s="1580">
        <v>0</v>
      </c>
      <c r="DI563" s="1580">
        <v>-818.71234365060354</v>
      </c>
      <c r="DJ563" s="1580"/>
      <c r="DK563" s="1580">
        <v>0</v>
      </c>
      <c r="DL563" s="1580">
        <v>0</v>
      </c>
      <c r="DM563" s="1580">
        <v>0</v>
      </c>
      <c r="DN563" s="1580">
        <v>0</v>
      </c>
      <c r="DO563" s="1580">
        <v>-122.67644285074653</v>
      </c>
      <c r="DP563" s="1580">
        <v>-9.3608474109727524</v>
      </c>
      <c r="DQ563" s="1580">
        <v>0</v>
      </c>
      <c r="DR563" s="1580">
        <v>0</v>
      </c>
      <c r="DS563" s="1580"/>
      <c r="DT563" s="1580"/>
      <c r="DU563" s="1580">
        <v>6490.2923440394898</v>
      </c>
      <c r="DV563" s="1580">
        <v>0</v>
      </c>
      <c r="DW563" s="1580">
        <v>0</v>
      </c>
      <c r="DX563" s="1580">
        <v>0</v>
      </c>
      <c r="DY563" s="1580">
        <v>-2735.7047600000042</v>
      </c>
      <c r="DZ563" s="1580">
        <v>952.34375999999611</v>
      </c>
      <c r="EA563" s="1580">
        <v>0</v>
      </c>
      <c r="EB563" s="1580">
        <v>0</v>
      </c>
      <c r="EC563" s="1580">
        <v>-2006.8043957332666</v>
      </c>
      <c r="ED563" s="1580">
        <v>0</v>
      </c>
      <c r="EE563" s="1580">
        <v>0</v>
      </c>
      <c r="EF563" s="1580">
        <v>0</v>
      </c>
      <c r="EG563" s="1580">
        <v>0</v>
      </c>
      <c r="EH563" s="1580">
        <v>0</v>
      </c>
      <c r="EI563" s="1580">
        <v>0</v>
      </c>
      <c r="EJ563" s="1580">
        <v>0</v>
      </c>
      <c r="EK563" s="1580">
        <v>0</v>
      </c>
      <c r="EL563" s="1580">
        <v>0</v>
      </c>
      <c r="EM563" s="1580">
        <v>0</v>
      </c>
      <c r="EN563" s="1580">
        <v>0</v>
      </c>
      <c r="EO563" s="1580">
        <v>0</v>
      </c>
      <c r="EP563" s="1580">
        <v>4524.2354559255491</v>
      </c>
      <c r="EQ563" s="1580">
        <v>0</v>
      </c>
      <c r="ER563" s="1580">
        <v>0</v>
      </c>
      <c r="ES563" s="1580">
        <v>0</v>
      </c>
      <c r="ET563" s="1580">
        <v>0</v>
      </c>
      <c r="EU563" s="1580">
        <v>0</v>
      </c>
      <c r="EV563" s="1580">
        <v>230</v>
      </c>
      <c r="EW563" s="1580">
        <v>0</v>
      </c>
      <c r="EX563" s="1580">
        <v>0</v>
      </c>
      <c r="EY563" s="1580">
        <v>0</v>
      </c>
      <c r="EZ563" s="1580"/>
      <c r="FA563" s="1580">
        <v>0</v>
      </c>
      <c r="FB563" s="1580"/>
      <c r="FC563" s="1580"/>
      <c r="FD563" s="1580"/>
      <c r="FE563" s="1580"/>
      <c r="FF563" s="1580">
        <v>0</v>
      </c>
      <c r="FG563" s="1580">
        <v>0</v>
      </c>
      <c r="FH563" s="1580">
        <v>0</v>
      </c>
      <c r="FI563" s="1580">
        <v>0</v>
      </c>
    </row>
    <row r="564" spans="1:165">
      <c r="A564" s="1580">
        <v>562</v>
      </c>
      <c r="B564" s="1580" t="s">
        <v>2351</v>
      </c>
      <c r="C564" s="1580" t="s">
        <v>2336</v>
      </c>
      <c r="D564" s="1580" t="s">
        <v>533</v>
      </c>
      <c r="E564" s="1580" t="s">
        <v>921</v>
      </c>
      <c r="F564" s="1580" t="s">
        <v>2345</v>
      </c>
      <c r="G564" s="1580" t="s">
        <v>1239</v>
      </c>
      <c r="H564" s="1580" t="s">
        <v>1239</v>
      </c>
      <c r="I564" s="1580" t="s">
        <v>1239</v>
      </c>
      <c r="J564" s="1580" t="s">
        <v>2329</v>
      </c>
      <c r="K564" s="1581">
        <v>44774</v>
      </c>
      <c r="L564" s="1580">
        <v>0</v>
      </c>
      <c r="M564" s="1580">
        <v>0</v>
      </c>
      <c r="N564" s="1580">
        <v>0</v>
      </c>
      <c r="O564" s="1580">
        <v>0</v>
      </c>
      <c r="P564" s="1580">
        <v>0</v>
      </c>
      <c r="Q564" s="1580">
        <v>0</v>
      </c>
      <c r="R564" s="1580"/>
      <c r="S564" s="1580"/>
      <c r="T564" s="1580"/>
      <c r="U564" s="1580"/>
      <c r="V564" s="1580"/>
      <c r="W564" s="1580"/>
      <c r="X564" s="1580"/>
      <c r="Y564" s="1580"/>
      <c r="Z564" s="1580"/>
      <c r="AA564" s="1580">
        <v>0</v>
      </c>
      <c r="AB564" s="1580"/>
      <c r="AC564" s="1580"/>
      <c r="AD564" s="1580"/>
      <c r="AE564" s="1580"/>
      <c r="AF564" s="1580"/>
      <c r="AG564" s="1580"/>
      <c r="AH564" s="1580"/>
      <c r="AI564" s="1580"/>
      <c r="AJ564" s="1580"/>
      <c r="AK564" s="1580"/>
      <c r="AL564" s="1580"/>
      <c r="AM564" s="1580"/>
      <c r="AN564" s="1580"/>
      <c r="AO564" s="1580"/>
      <c r="AP564" s="1580"/>
      <c r="AQ564" s="1580"/>
      <c r="AR564" s="1580"/>
      <c r="AS564" s="1580"/>
      <c r="AT564" s="1580"/>
      <c r="AU564" s="1580"/>
      <c r="AV564" s="1580"/>
      <c r="AW564" s="1580"/>
      <c r="AX564" s="1580"/>
      <c r="AY564" s="1580"/>
      <c r="AZ564" s="1580">
        <v>0</v>
      </c>
      <c r="BA564" s="1580"/>
      <c r="BB564" s="1580"/>
      <c r="BC564" s="1580"/>
      <c r="BD564" s="1580"/>
      <c r="BE564" s="1580"/>
      <c r="BF564" s="1580"/>
      <c r="BG564" s="1580"/>
      <c r="BH564" s="1580"/>
      <c r="BI564" s="1580">
        <v>0</v>
      </c>
      <c r="BJ564" s="1580">
        <v>0</v>
      </c>
      <c r="BK564" s="1580">
        <v>4723.55</v>
      </c>
      <c r="BL564" s="1580">
        <v>2</v>
      </c>
      <c r="BM564" s="1580"/>
      <c r="BN564" s="1580"/>
      <c r="BO564" s="1580"/>
      <c r="BP564" s="1580"/>
      <c r="BQ564" s="1580"/>
      <c r="BR564" s="1580"/>
      <c r="BS564" s="1580"/>
      <c r="BT564" s="1580"/>
      <c r="BU564" s="1580"/>
      <c r="BV564" s="1580"/>
      <c r="BW564" s="1580"/>
      <c r="BX564" s="1580"/>
      <c r="BY564" s="1580"/>
      <c r="BZ564" s="1580"/>
      <c r="CA564" s="1580"/>
      <c r="CB564" s="1580"/>
      <c r="CC564" s="1580"/>
      <c r="CD564" s="1580"/>
      <c r="CE564" s="1580"/>
      <c r="CF564" s="1580"/>
      <c r="CG564" s="1580"/>
      <c r="CH564" s="1580"/>
      <c r="CI564" s="1580"/>
      <c r="CJ564" s="1580">
        <v>-0.03</v>
      </c>
      <c r="CK564" s="1580"/>
      <c r="CL564" s="1580"/>
      <c r="CM564" s="1580"/>
      <c r="CN564" s="1580"/>
      <c r="CO564" s="1580">
        <v>0</v>
      </c>
      <c r="CP564" s="1580">
        <v>0</v>
      </c>
      <c r="CQ564" s="1580">
        <v>31</v>
      </c>
      <c r="CR564" s="1580"/>
      <c r="CS564" s="1580"/>
      <c r="CT564" s="1580"/>
      <c r="CU564" s="1580"/>
      <c r="CV564" s="1580"/>
      <c r="CW564" s="1580"/>
      <c r="CX564" s="1580"/>
      <c r="CY564" s="1580"/>
      <c r="CZ564" s="1580"/>
      <c r="DA564" s="1580"/>
      <c r="DB564" s="1580"/>
      <c r="DC564" s="1580"/>
      <c r="DD564" s="1580"/>
      <c r="DE564" s="1580"/>
      <c r="DF564" s="1580"/>
      <c r="DG564" s="1580"/>
      <c r="DH564" s="1580"/>
      <c r="DI564" s="1580"/>
      <c r="DJ564" s="1580"/>
      <c r="DK564" s="1580">
        <v>0</v>
      </c>
      <c r="DL564" s="1580"/>
      <c r="DM564" s="1580"/>
      <c r="DN564" s="1580"/>
      <c r="DO564" s="1580"/>
      <c r="DP564" s="1580"/>
      <c r="DQ564" s="1580"/>
      <c r="DR564" s="1580"/>
      <c r="DS564" s="1580"/>
      <c r="DT564" s="1580"/>
      <c r="DU564" s="1580"/>
      <c r="DV564" s="1580"/>
      <c r="DW564" s="1580"/>
      <c r="DX564" s="1580"/>
      <c r="DY564" s="1580"/>
      <c r="DZ564" s="1580"/>
      <c r="EA564" s="1580"/>
      <c r="EB564" s="1580"/>
      <c r="EC564" s="1580"/>
      <c r="ED564" s="1580"/>
      <c r="EE564" s="1580"/>
      <c r="EF564" s="1580"/>
      <c r="EG564" s="1580"/>
      <c r="EH564" s="1580"/>
      <c r="EI564" s="1580"/>
      <c r="EJ564" s="1580"/>
      <c r="EK564" s="1580"/>
      <c r="EL564" s="1580"/>
      <c r="EM564" s="1580"/>
      <c r="EN564" s="1580"/>
      <c r="EO564" s="1580"/>
      <c r="EP564" s="1580"/>
      <c r="EQ564" s="1580"/>
      <c r="ER564" s="1580"/>
      <c r="ES564" s="1580"/>
      <c r="ET564" s="1580"/>
      <c r="EU564" s="1580"/>
      <c r="EV564" s="1580">
        <v>230</v>
      </c>
      <c r="EW564" s="1580"/>
      <c r="EX564" s="1580"/>
      <c r="EY564" s="1580"/>
      <c r="EZ564" s="1580"/>
      <c r="FA564" s="1580">
        <v>0</v>
      </c>
      <c r="FB564" s="1580"/>
      <c r="FC564" s="1580"/>
      <c r="FD564" s="1580"/>
      <c r="FE564" s="1580"/>
      <c r="FF564" s="1580">
        <v>0</v>
      </c>
      <c r="FG564" s="1580">
        <v>0</v>
      </c>
      <c r="FH564" s="1580">
        <v>0</v>
      </c>
      <c r="FI564" s="1580">
        <v>0</v>
      </c>
    </row>
    <row r="565" spans="1:165">
      <c r="A565" s="1580">
        <v>563</v>
      </c>
      <c r="B565" s="1580" t="s">
        <v>2351</v>
      </c>
      <c r="C565" s="1580" t="s">
        <v>2328</v>
      </c>
      <c r="D565" s="1580" t="s">
        <v>1826</v>
      </c>
      <c r="E565" s="1580" t="s">
        <v>2346</v>
      </c>
      <c r="F565" s="1580" t="s">
        <v>1239</v>
      </c>
      <c r="G565" s="1580" t="s">
        <v>1239</v>
      </c>
      <c r="H565" s="1580" t="s">
        <v>1239</v>
      </c>
      <c r="I565" s="1580" t="s">
        <v>1239</v>
      </c>
      <c r="J565" s="1580" t="s">
        <v>2329</v>
      </c>
      <c r="K565" s="1581">
        <v>44774</v>
      </c>
      <c r="L565" s="1580">
        <v>0</v>
      </c>
      <c r="M565" s="1580">
        <v>0</v>
      </c>
      <c r="N565" s="1580">
        <v>0.998</v>
      </c>
      <c r="O565" s="1580">
        <v>0.998</v>
      </c>
      <c r="P565" s="1580">
        <v>0.998</v>
      </c>
      <c r="Q565" s="1580">
        <v>0.998</v>
      </c>
      <c r="R565" s="1580"/>
      <c r="S565" s="1580">
        <v>333.61</v>
      </c>
      <c r="T565" s="1580">
        <v>128.11000000000001</v>
      </c>
      <c r="U565" s="1580"/>
      <c r="V565" s="1580">
        <v>460.79656000000006</v>
      </c>
      <c r="W565" s="1580">
        <v>460.79656000000006</v>
      </c>
      <c r="X565" s="1580">
        <v>402.22393999999997</v>
      </c>
      <c r="Y565" s="1580">
        <v>0</v>
      </c>
      <c r="Z565" s="1580">
        <v>61.093618347485034</v>
      </c>
      <c r="AA565" s="1580">
        <v>0</v>
      </c>
      <c r="AB565" s="1580">
        <v>0</v>
      </c>
      <c r="AC565" s="1580">
        <v>0</v>
      </c>
      <c r="AD565" s="1580">
        <v>0</v>
      </c>
      <c r="AE565" s="1580">
        <v>194.10720586779237</v>
      </c>
      <c r="AF565" s="1580">
        <v>127.85482433233263</v>
      </c>
      <c r="AG565" s="1580">
        <v>0</v>
      </c>
      <c r="AH565" s="1580">
        <v>0</v>
      </c>
      <c r="AI565" s="1580">
        <v>0</v>
      </c>
      <c r="AJ565" s="1580">
        <v>0</v>
      </c>
      <c r="AK565" s="1580">
        <v>0</v>
      </c>
      <c r="AL565" s="1580">
        <v>9.4349427123252685</v>
      </c>
      <c r="AM565" s="1580"/>
      <c r="AN565" s="1580">
        <v>0.8586671304518243</v>
      </c>
      <c r="AO565" s="1580">
        <v>3.4690681280798166</v>
      </c>
      <c r="AP565" s="1580">
        <v>18.505550310608857</v>
      </c>
      <c r="AQ565" s="1580">
        <v>0</v>
      </c>
      <c r="AR565" s="1580">
        <v>0</v>
      </c>
      <c r="AS565" s="1580">
        <v>0</v>
      </c>
      <c r="AT565" s="1580">
        <v>0</v>
      </c>
      <c r="AU565" s="1580">
        <v>0</v>
      </c>
      <c r="AV565" s="1580">
        <v>0</v>
      </c>
      <c r="AW565" s="1580">
        <v>0</v>
      </c>
      <c r="AX565" s="1580">
        <v>0</v>
      </c>
      <c r="AY565" s="1580">
        <v>0</v>
      </c>
      <c r="AZ565" s="1580">
        <v>0</v>
      </c>
      <c r="BA565" s="1580"/>
      <c r="BB565" s="1580">
        <v>0</v>
      </c>
      <c r="BC565" s="1580">
        <v>0</v>
      </c>
      <c r="BD565" s="1580">
        <v>0</v>
      </c>
      <c r="BE565" s="1580">
        <v>0</v>
      </c>
      <c r="BF565" s="1580">
        <v>0</v>
      </c>
      <c r="BG565" s="1580">
        <v>13.541234095292767</v>
      </c>
      <c r="BH565" s="1580">
        <v>0</v>
      </c>
      <c r="BI565" s="1580">
        <v>0</v>
      </c>
      <c r="BJ565" s="1580">
        <v>0</v>
      </c>
      <c r="BK565" s="1580">
        <v>82.39</v>
      </c>
      <c r="BL565" s="1580">
        <v>2</v>
      </c>
      <c r="BM565" s="1580"/>
      <c r="BN565" s="1580"/>
      <c r="BO565" s="1580"/>
      <c r="BP565" s="1580"/>
      <c r="BQ565" s="1580"/>
      <c r="BR565" s="1580"/>
      <c r="BS565" s="1580"/>
      <c r="BT565" s="1580"/>
      <c r="BU565" s="1580"/>
      <c r="BV565" s="1580">
        <v>141.39605842762541</v>
      </c>
      <c r="BW565" s="1580"/>
      <c r="BX565" s="1580"/>
      <c r="BY565" s="1580"/>
      <c r="BZ565" s="1580"/>
      <c r="CA565" s="1580"/>
      <c r="CB565" s="1580"/>
      <c r="CC565" s="1580"/>
      <c r="CD565" s="1580"/>
      <c r="CE565" s="1580"/>
      <c r="CF565" s="1580"/>
      <c r="CG565" s="1580"/>
      <c r="CH565" s="1580"/>
      <c r="CI565" s="1580">
        <v>403.03</v>
      </c>
      <c r="CJ565" s="1580">
        <v>-57.796560000000056</v>
      </c>
      <c r="CK565" s="1580"/>
      <c r="CL565" s="1580"/>
      <c r="CM565" s="1580"/>
      <c r="CN565" s="1580"/>
      <c r="CO565" s="1580">
        <v>-64.420900000000017</v>
      </c>
      <c r="CP565" s="1580">
        <v>5.8482799999999848</v>
      </c>
      <c r="CQ565" s="1580">
        <v>31</v>
      </c>
      <c r="CR565" s="1580">
        <v>1.4382346613866162</v>
      </c>
      <c r="CS565" s="1580">
        <v>0.25322743843758166</v>
      </c>
      <c r="CT565" s="1580">
        <v>1.3508276369963816</v>
      </c>
      <c r="CU565" s="1580">
        <v>0</v>
      </c>
      <c r="CV565" s="1580">
        <v>0</v>
      </c>
      <c r="CW565" s="1580">
        <v>0</v>
      </c>
      <c r="CX565" s="1580">
        <v>0</v>
      </c>
      <c r="CY565" s="1580">
        <v>0</v>
      </c>
      <c r="CZ565" s="1580">
        <v>0</v>
      </c>
      <c r="DA565" s="1580">
        <v>0</v>
      </c>
      <c r="DB565" s="1580">
        <v>0</v>
      </c>
      <c r="DC565" s="1580">
        <v>5.8477153890299149</v>
      </c>
      <c r="DD565" s="1580">
        <v>0</v>
      </c>
      <c r="DE565" s="1580">
        <v>0</v>
      </c>
      <c r="DF565" s="1580">
        <v>0</v>
      </c>
      <c r="DG565" s="1580">
        <v>0.61933746668533374</v>
      </c>
      <c r="DH565" s="1580">
        <v>0</v>
      </c>
      <c r="DI565" s="1580">
        <v>-5.7789176051651552</v>
      </c>
      <c r="DJ565" s="1580"/>
      <c r="DK565" s="1580">
        <v>0</v>
      </c>
      <c r="DL565" s="1580">
        <v>0</v>
      </c>
      <c r="DM565" s="1580">
        <v>0</v>
      </c>
      <c r="DN565" s="1580">
        <v>0</v>
      </c>
      <c r="DO565" s="1580">
        <v>-0.75334791629775033</v>
      </c>
      <c r="DP565" s="1580">
        <v>-0.1006077482996216</v>
      </c>
      <c r="DQ565" s="1580">
        <v>0</v>
      </c>
      <c r="DR565" s="1580">
        <v>0</v>
      </c>
      <c r="DS565" s="1580"/>
      <c r="DT565" s="1580"/>
      <c r="DU565" s="1580"/>
      <c r="DV565" s="1580">
        <v>194.10720586779237</v>
      </c>
      <c r="DW565" s="1580">
        <v>0</v>
      </c>
      <c r="DX565" s="1580">
        <v>0</v>
      </c>
      <c r="DY565" s="1580">
        <v>-64.420900000000017</v>
      </c>
      <c r="DZ565" s="1580">
        <v>5.8482799999999742</v>
      </c>
      <c r="EA565" s="1580">
        <v>0</v>
      </c>
      <c r="EB565" s="1580">
        <v>0</v>
      </c>
      <c r="EC565" s="1580">
        <v>-60.018127586614213</v>
      </c>
      <c r="ED565" s="1580">
        <v>0</v>
      </c>
      <c r="EE565" s="1580">
        <v>0</v>
      </c>
      <c r="EF565" s="1580">
        <v>0</v>
      </c>
      <c r="EG565" s="1580">
        <v>0</v>
      </c>
      <c r="EH565" s="1580">
        <v>0</v>
      </c>
      <c r="EI565" s="1580">
        <v>0</v>
      </c>
      <c r="EJ565" s="1580">
        <v>0</v>
      </c>
      <c r="EK565" s="1580">
        <v>0</v>
      </c>
      <c r="EL565" s="1580">
        <v>0</v>
      </c>
      <c r="EM565" s="1580">
        <v>0</v>
      </c>
      <c r="EN565" s="1580">
        <v>0</v>
      </c>
      <c r="EO565" s="1580">
        <v>0</v>
      </c>
      <c r="EP565" s="1580">
        <v>31.934517818041925</v>
      </c>
      <c r="EQ565" s="1580">
        <v>0</v>
      </c>
      <c r="ER565" s="1580">
        <v>0</v>
      </c>
      <c r="ES565" s="1580">
        <v>0</v>
      </c>
      <c r="ET565" s="1580">
        <v>0</v>
      </c>
      <c r="EU565" s="1580">
        <v>0</v>
      </c>
      <c r="EV565" s="1580">
        <v>230</v>
      </c>
      <c r="EW565" s="1580">
        <v>0</v>
      </c>
      <c r="EX565" s="1580">
        <v>0</v>
      </c>
      <c r="EY565" s="1580">
        <v>0</v>
      </c>
      <c r="EZ565" s="1580"/>
      <c r="FA565" s="1580">
        <v>0</v>
      </c>
      <c r="FB565" s="1580"/>
      <c r="FC565" s="1580"/>
      <c r="FD565" s="1580"/>
      <c r="FE565" s="1580"/>
      <c r="FF565" s="1580">
        <v>0</v>
      </c>
      <c r="FG565" s="1580">
        <v>0</v>
      </c>
      <c r="FH565" s="1580">
        <v>0</v>
      </c>
      <c r="FI565" s="1580">
        <v>0</v>
      </c>
    </row>
    <row r="566" spans="1:165">
      <c r="A566" s="1580">
        <v>564</v>
      </c>
      <c r="B566" s="1580" t="s">
        <v>2351</v>
      </c>
      <c r="C566" s="1580" t="s">
        <v>2328</v>
      </c>
      <c r="D566" s="1580" t="s">
        <v>1826</v>
      </c>
      <c r="E566" s="1580" t="s">
        <v>2346</v>
      </c>
      <c r="F566" s="1580" t="s">
        <v>1239</v>
      </c>
      <c r="G566" s="1580" t="s">
        <v>1239</v>
      </c>
      <c r="H566" s="1580" t="s">
        <v>1239</v>
      </c>
      <c r="I566" s="1580" t="s">
        <v>1239</v>
      </c>
      <c r="J566" s="1580" t="s">
        <v>2329</v>
      </c>
      <c r="K566" s="1581">
        <v>44774</v>
      </c>
      <c r="L566" s="1580">
        <v>0</v>
      </c>
      <c r="M566" s="1580">
        <v>0</v>
      </c>
      <c r="N566" s="1580">
        <v>0.03</v>
      </c>
      <c r="O566" s="1580">
        <v>0.03</v>
      </c>
      <c r="P566" s="1580">
        <v>0.03</v>
      </c>
      <c r="Q566" s="1580">
        <v>0.03</v>
      </c>
      <c r="R566" s="1580"/>
      <c r="S566" s="1580">
        <v>333.61</v>
      </c>
      <c r="T566" s="1580">
        <v>128.11000000000001</v>
      </c>
      <c r="U566" s="1580"/>
      <c r="V566" s="1580">
        <v>13.851600000000001</v>
      </c>
      <c r="W566" s="1580">
        <v>13.851600000000001</v>
      </c>
      <c r="X566" s="1580">
        <v>12.0909</v>
      </c>
      <c r="Y566" s="1580">
        <v>0</v>
      </c>
      <c r="Z566" s="1580">
        <v>1.8364815134514538</v>
      </c>
      <c r="AA566" s="1580">
        <v>0</v>
      </c>
      <c r="AB566" s="1580">
        <v>0</v>
      </c>
      <c r="AC566" s="1580">
        <v>0</v>
      </c>
      <c r="AD566" s="1580">
        <v>0</v>
      </c>
      <c r="AE566" s="1580">
        <v>5.8348859479296298</v>
      </c>
      <c r="AF566" s="1580">
        <v>3.8433313927554895</v>
      </c>
      <c r="AG566" s="1580">
        <v>0</v>
      </c>
      <c r="AH566" s="1580">
        <v>0</v>
      </c>
      <c r="AI566" s="1580">
        <v>0</v>
      </c>
      <c r="AJ566" s="1580">
        <v>0</v>
      </c>
      <c r="AK566" s="1580">
        <v>0</v>
      </c>
      <c r="AL566" s="1580">
        <v>0.28361551239454713</v>
      </c>
      <c r="AM566" s="1580"/>
      <c r="AN566" s="1580">
        <v>2.581163718793059E-2</v>
      </c>
      <c r="AO566" s="1580">
        <v>0.1042806050524995</v>
      </c>
      <c r="AP566" s="1580">
        <v>0.55627906745317202</v>
      </c>
      <c r="AQ566" s="1580">
        <v>0</v>
      </c>
      <c r="AR566" s="1580">
        <v>0</v>
      </c>
      <c r="AS566" s="1580">
        <v>0</v>
      </c>
      <c r="AT566" s="1580">
        <v>0</v>
      </c>
      <c r="AU566" s="1580">
        <v>0</v>
      </c>
      <c r="AV566" s="1580">
        <v>0</v>
      </c>
      <c r="AW566" s="1580">
        <v>0</v>
      </c>
      <c r="AX566" s="1580">
        <v>0</v>
      </c>
      <c r="AY566" s="1580">
        <v>0</v>
      </c>
      <c r="AZ566" s="1580">
        <v>0</v>
      </c>
      <c r="BA566" s="1580"/>
      <c r="BB566" s="1580">
        <v>0</v>
      </c>
      <c r="BC566" s="1580">
        <v>0</v>
      </c>
      <c r="BD566" s="1580">
        <v>0</v>
      </c>
      <c r="BE566" s="1580">
        <v>0</v>
      </c>
      <c r="BF566" s="1580">
        <v>0</v>
      </c>
      <c r="BG566" s="1580">
        <v>0.40705112510900099</v>
      </c>
      <c r="BH566" s="1580">
        <v>0</v>
      </c>
      <c r="BI566" s="1580">
        <v>0</v>
      </c>
      <c r="BJ566" s="1580">
        <v>0</v>
      </c>
      <c r="BK566" s="1580">
        <v>2.48</v>
      </c>
      <c r="BL566" s="1580">
        <v>1</v>
      </c>
      <c r="BM566" s="1580"/>
      <c r="BN566" s="1580"/>
      <c r="BO566" s="1580"/>
      <c r="BP566" s="1580"/>
      <c r="BQ566" s="1580"/>
      <c r="BR566" s="1580"/>
      <c r="BS566" s="1580"/>
      <c r="BT566" s="1580"/>
      <c r="BU566" s="1580"/>
      <c r="BV566" s="1580">
        <v>4.2503825178644909</v>
      </c>
      <c r="BW566" s="1580"/>
      <c r="BX566" s="1580"/>
      <c r="BY566" s="1580"/>
      <c r="BZ566" s="1580"/>
      <c r="CA566" s="1580"/>
      <c r="CB566" s="1580"/>
      <c r="CC566" s="1580"/>
      <c r="CD566" s="1580"/>
      <c r="CE566" s="1580"/>
      <c r="CF566" s="1580"/>
      <c r="CG566" s="1580"/>
      <c r="CH566" s="1580"/>
      <c r="CI566" s="1580">
        <v>12.0909</v>
      </c>
      <c r="CJ566" s="1580">
        <v>-1.7907000000000011</v>
      </c>
      <c r="CK566" s="1580"/>
      <c r="CL566" s="1580"/>
      <c r="CM566" s="1580"/>
      <c r="CN566" s="1580"/>
      <c r="CO566" s="1580">
        <v>-1.9365000000000003</v>
      </c>
      <c r="CP566" s="1580">
        <v>0.17579999999999954</v>
      </c>
      <c r="CQ566" s="1580">
        <v>31</v>
      </c>
      <c r="CR566" s="1580">
        <v>4.3233506855312243E-2</v>
      </c>
      <c r="CS566" s="1580">
        <v>7.6120472476226969E-3</v>
      </c>
      <c r="CT566" s="1580">
        <v>4.0606041192275955E-2</v>
      </c>
      <c r="CU566" s="1580">
        <v>0</v>
      </c>
      <c r="CV566" s="1580">
        <v>0</v>
      </c>
      <c r="CW566" s="1580">
        <v>0</v>
      </c>
      <c r="CX566" s="1580">
        <v>0</v>
      </c>
      <c r="CY566" s="1580">
        <v>0</v>
      </c>
      <c r="CZ566" s="1580">
        <v>0</v>
      </c>
      <c r="DA566" s="1580">
        <v>0</v>
      </c>
      <c r="DB566" s="1580">
        <v>0</v>
      </c>
      <c r="DC566" s="1580">
        <v>0.17578302772635102</v>
      </c>
      <c r="DD566" s="1580">
        <v>0</v>
      </c>
      <c r="DE566" s="1580">
        <v>0</v>
      </c>
      <c r="DF566" s="1580">
        <v>0</v>
      </c>
      <c r="DG566" s="1580">
        <v>1.8617358717996024E-2</v>
      </c>
      <c r="DH566" s="1580">
        <v>0</v>
      </c>
      <c r="DI566" s="1580">
        <v>-0.17371495807109683</v>
      </c>
      <c r="DJ566" s="1580"/>
      <c r="DK566" s="1580">
        <v>0</v>
      </c>
      <c r="DL566" s="1580">
        <v>0</v>
      </c>
      <c r="DM566" s="1580">
        <v>0</v>
      </c>
      <c r="DN566" s="1580">
        <v>0</v>
      </c>
      <c r="DO566" s="1580">
        <v>-2.2645728946826149E-2</v>
      </c>
      <c r="DP566" s="1580">
        <v>-3.0242810110106717E-3</v>
      </c>
      <c r="DQ566" s="1580">
        <v>0</v>
      </c>
      <c r="DR566" s="1580">
        <v>0</v>
      </c>
      <c r="DS566" s="1580"/>
      <c r="DT566" s="1580"/>
      <c r="DU566" s="1580"/>
      <c r="DV566" s="1580">
        <v>5.8348859479296298</v>
      </c>
      <c r="DW566" s="1580">
        <v>0</v>
      </c>
      <c r="DX566" s="1580">
        <v>0</v>
      </c>
      <c r="DY566" s="1580">
        <v>-1.9365000000000006</v>
      </c>
      <c r="DZ566" s="1580">
        <v>0.17579999999999973</v>
      </c>
      <c r="EA566" s="1580">
        <v>0</v>
      </c>
      <c r="EB566" s="1580">
        <v>0</v>
      </c>
      <c r="EC566" s="1580">
        <v>-1.8041521318621498</v>
      </c>
      <c r="ED566" s="1580">
        <v>0</v>
      </c>
      <c r="EE566" s="1580">
        <v>0</v>
      </c>
      <c r="EF566" s="1580">
        <v>0</v>
      </c>
      <c r="EG566" s="1580">
        <v>0</v>
      </c>
      <c r="EH566" s="1580">
        <v>0</v>
      </c>
      <c r="EI566" s="1580">
        <v>0</v>
      </c>
      <c r="EJ566" s="1580">
        <v>0</v>
      </c>
      <c r="EK566" s="1580">
        <v>0</v>
      </c>
      <c r="EL566" s="1580">
        <v>0</v>
      </c>
      <c r="EM566" s="1580">
        <v>0</v>
      </c>
      <c r="EN566" s="1580">
        <v>0</v>
      </c>
      <c r="EO566" s="1580">
        <v>0</v>
      </c>
      <c r="EP566" s="1580">
        <v>0.95995544543212197</v>
      </c>
      <c r="EQ566" s="1580">
        <v>0</v>
      </c>
      <c r="ER566" s="1580">
        <v>0</v>
      </c>
      <c r="ES566" s="1580">
        <v>0</v>
      </c>
      <c r="ET566" s="1580">
        <v>0</v>
      </c>
      <c r="EU566" s="1580">
        <v>0</v>
      </c>
      <c r="EV566" s="1580">
        <v>230</v>
      </c>
      <c r="EW566" s="1580">
        <v>0</v>
      </c>
      <c r="EX566" s="1580">
        <v>0</v>
      </c>
      <c r="EY566" s="1580">
        <v>0</v>
      </c>
      <c r="EZ566" s="1580"/>
      <c r="FA566" s="1580">
        <v>0</v>
      </c>
      <c r="FB566" s="1580"/>
      <c r="FC566" s="1580"/>
      <c r="FD566" s="1580"/>
      <c r="FE566" s="1580"/>
      <c r="FF566" s="1580">
        <v>0</v>
      </c>
      <c r="FG566" s="1580">
        <v>0</v>
      </c>
      <c r="FH566" s="1580">
        <v>0</v>
      </c>
      <c r="FI566" s="1580">
        <v>0</v>
      </c>
    </row>
    <row r="567" spans="1:165">
      <c r="A567" s="1580">
        <v>565</v>
      </c>
      <c r="B567" s="1580" t="s">
        <v>2351</v>
      </c>
      <c r="C567" s="1580" t="s">
        <v>2337</v>
      </c>
      <c r="D567" s="1580" t="s">
        <v>533</v>
      </c>
      <c r="E567" s="1580" t="s">
        <v>2346</v>
      </c>
      <c r="F567" s="1580" t="s">
        <v>1239</v>
      </c>
      <c r="G567" s="1580" t="s">
        <v>1239</v>
      </c>
      <c r="H567" s="1580" t="s">
        <v>1239</v>
      </c>
      <c r="I567" s="1580" t="s">
        <v>893</v>
      </c>
      <c r="J567" s="1580" t="s">
        <v>2329</v>
      </c>
      <c r="K567" s="1581">
        <v>44774</v>
      </c>
      <c r="L567" s="1580">
        <v>0</v>
      </c>
      <c r="M567" s="1580">
        <v>0</v>
      </c>
      <c r="N567" s="1580">
        <v>1.0349999999999999</v>
      </c>
      <c r="O567" s="1580">
        <v>1.0349999999999999</v>
      </c>
      <c r="P567" s="1580">
        <v>1.0349999999999999</v>
      </c>
      <c r="Q567" s="1580">
        <v>1.0349999999999999</v>
      </c>
      <c r="R567" s="1580"/>
      <c r="S567" s="1580">
        <v>1351.49</v>
      </c>
      <c r="T567" s="1580">
        <v>128.11000000000001</v>
      </c>
      <c r="U567" s="1580"/>
      <c r="V567" s="1580">
        <v>1531.386</v>
      </c>
      <c r="W567" s="1580">
        <v>1531.386</v>
      </c>
      <c r="X567" s="1580">
        <v>1181.8768499999999</v>
      </c>
      <c r="Y567" s="1580">
        <v>0</v>
      </c>
      <c r="Z567" s="1580">
        <v>55.121992626245422</v>
      </c>
      <c r="AA567" s="1580">
        <v>0</v>
      </c>
      <c r="AB567" s="1580">
        <v>0</v>
      </c>
      <c r="AC567" s="1580">
        <v>0</v>
      </c>
      <c r="AD567" s="1580">
        <v>0</v>
      </c>
      <c r="AE567" s="1580">
        <v>1163.2826930246595</v>
      </c>
      <c r="AF567" s="1580">
        <v>132.59493305006438</v>
      </c>
      <c r="AG567" s="1580">
        <v>0</v>
      </c>
      <c r="AH567" s="1580">
        <v>0</v>
      </c>
      <c r="AI567" s="1580">
        <v>0</v>
      </c>
      <c r="AJ567" s="1580">
        <v>0</v>
      </c>
      <c r="AK567" s="1580">
        <v>0</v>
      </c>
      <c r="AL567" s="1580">
        <v>9.7847351776118749</v>
      </c>
      <c r="AM567" s="1580"/>
      <c r="AN567" s="1580">
        <v>0.50880667553635861</v>
      </c>
      <c r="AO567" s="1580">
        <v>21.499567631642844</v>
      </c>
      <c r="AP567" s="1580">
        <v>114.35930021762015</v>
      </c>
      <c r="AQ567" s="1580">
        <v>0</v>
      </c>
      <c r="AR567" s="1580">
        <v>0</v>
      </c>
      <c r="AS567" s="1580">
        <v>0</v>
      </c>
      <c r="AT567" s="1580">
        <v>0</v>
      </c>
      <c r="AU567" s="1580">
        <v>0</v>
      </c>
      <c r="AV567" s="1580">
        <v>0</v>
      </c>
      <c r="AW567" s="1580">
        <v>0</v>
      </c>
      <c r="AX567" s="1580">
        <v>0</v>
      </c>
      <c r="AY567" s="1580">
        <v>0</v>
      </c>
      <c r="AZ567" s="1580">
        <v>0</v>
      </c>
      <c r="BA567" s="1580"/>
      <c r="BB567" s="1580">
        <v>0</v>
      </c>
      <c r="BC567" s="1580">
        <v>0</v>
      </c>
      <c r="BD567" s="1580">
        <v>0</v>
      </c>
      <c r="BE567" s="1580">
        <v>0</v>
      </c>
      <c r="BF567" s="1580">
        <v>0</v>
      </c>
      <c r="BG567" s="1580">
        <v>5.4219668502138703</v>
      </c>
      <c r="BH567" s="1580">
        <v>0</v>
      </c>
      <c r="BI567" s="1580">
        <v>0</v>
      </c>
      <c r="BJ567" s="1580">
        <v>0</v>
      </c>
      <c r="BK567" s="1580">
        <v>0</v>
      </c>
      <c r="BL567" s="1580">
        <v>0</v>
      </c>
      <c r="BM567" s="1580"/>
      <c r="BN567" s="1580"/>
      <c r="BO567" s="1580"/>
      <c r="BP567" s="1580"/>
      <c r="BQ567" s="1580"/>
      <c r="BR567" s="1580"/>
      <c r="BS567" s="1580"/>
      <c r="BT567" s="1580"/>
      <c r="BU567" s="1580"/>
      <c r="BV567" s="1580">
        <v>138.01689990027825</v>
      </c>
      <c r="BW567" s="1580"/>
      <c r="BX567" s="1580"/>
      <c r="BY567" s="1580"/>
      <c r="BZ567" s="1580"/>
      <c r="CA567" s="1580"/>
      <c r="CB567" s="1580"/>
      <c r="CC567" s="1580"/>
      <c r="CD567" s="1580"/>
      <c r="CE567" s="1580"/>
      <c r="CF567" s="1580"/>
      <c r="CG567" s="1580"/>
      <c r="CH567" s="1580"/>
      <c r="CI567" s="1580">
        <v>1187.5864000000001</v>
      </c>
      <c r="CJ567" s="1580">
        <v>-343.8295999999998</v>
      </c>
      <c r="CK567" s="1580"/>
      <c r="CL567" s="1580"/>
      <c r="CM567" s="1580"/>
      <c r="CN567" s="1580"/>
      <c r="CO567" s="1580">
        <v>-355.57424999999995</v>
      </c>
      <c r="CP567" s="1580">
        <v>6.0650999999999842</v>
      </c>
      <c r="CQ567" s="1580">
        <v>31</v>
      </c>
      <c r="CR567" s="1580">
        <v>10.174680252935389</v>
      </c>
      <c r="CS567" s="1580">
        <v>1.5693783569162179</v>
      </c>
      <c r="CT567" s="1580">
        <v>8.3477497663476328</v>
      </c>
      <c r="CU567" s="1580">
        <v>0</v>
      </c>
      <c r="CV567" s="1580">
        <v>0</v>
      </c>
      <c r="CW567" s="1580">
        <v>0</v>
      </c>
      <c r="CX567" s="1580">
        <v>0</v>
      </c>
      <c r="CY567" s="1580">
        <v>0</v>
      </c>
      <c r="CZ567" s="1580">
        <v>0</v>
      </c>
      <c r="DA567" s="1580">
        <v>0</v>
      </c>
      <c r="DB567" s="1580">
        <v>0</v>
      </c>
      <c r="DC567" s="1580">
        <v>6.0645144565590954</v>
      </c>
      <c r="DD567" s="1580">
        <v>0</v>
      </c>
      <c r="DE567" s="1580">
        <v>0</v>
      </c>
      <c r="DF567" s="1580">
        <v>0</v>
      </c>
      <c r="DG567" s="1580">
        <v>0.24798531580153416</v>
      </c>
      <c r="DH567" s="1580">
        <v>0</v>
      </c>
      <c r="DI567" s="1580">
        <v>-5.2140544665040665</v>
      </c>
      <c r="DJ567" s="1580"/>
      <c r="DK567" s="1580">
        <v>0</v>
      </c>
      <c r="DL567" s="1580">
        <v>0</v>
      </c>
      <c r="DM567" s="1580">
        <v>0</v>
      </c>
      <c r="DN567" s="1580">
        <v>0</v>
      </c>
      <c r="DO567" s="1580">
        <v>-0.78127764866550109</v>
      </c>
      <c r="DP567" s="1580">
        <v>-5.9615527519486067E-2</v>
      </c>
      <c r="DQ567" s="1580">
        <v>0</v>
      </c>
      <c r="DR567" s="1580">
        <v>0</v>
      </c>
      <c r="DS567" s="1580"/>
      <c r="DT567" s="1580"/>
      <c r="DU567" s="1580"/>
      <c r="DV567" s="1580">
        <v>1163.2826930246595</v>
      </c>
      <c r="DW567" s="1580">
        <v>0</v>
      </c>
      <c r="DX567" s="1580">
        <v>0</v>
      </c>
      <c r="DY567" s="1580">
        <v>-355.57425000000012</v>
      </c>
      <c r="DZ567" s="1580">
        <v>6.0650999999999726</v>
      </c>
      <c r="EA567" s="1580">
        <v>0</v>
      </c>
      <c r="EB567" s="1580">
        <v>0</v>
      </c>
      <c r="EC567" s="1580">
        <v>-359.68808461859601</v>
      </c>
      <c r="ED567" s="1580">
        <v>0</v>
      </c>
      <c r="EE567" s="1580">
        <v>0</v>
      </c>
      <c r="EF567" s="1580">
        <v>0</v>
      </c>
      <c r="EG567" s="1580">
        <v>0</v>
      </c>
      <c r="EH567" s="1580">
        <v>0</v>
      </c>
      <c r="EI567" s="1580">
        <v>0</v>
      </c>
      <c r="EJ567" s="1580">
        <v>0</v>
      </c>
      <c r="EK567" s="1580">
        <v>0</v>
      </c>
      <c r="EL567" s="1580">
        <v>0</v>
      </c>
      <c r="EM567" s="1580">
        <v>0</v>
      </c>
      <c r="EN567" s="1580">
        <v>0</v>
      </c>
      <c r="EO567" s="1580">
        <v>0</v>
      </c>
      <c r="EP567" s="1580">
        <v>28.813062694645101</v>
      </c>
      <c r="EQ567" s="1580">
        <v>0</v>
      </c>
      <c r="ER567" s="1580">
        <v>0</v>
      </c>
      <c r="ES567" s="1580">
        <v>0</v>
      </c>
      <c r="ET567" s="1580">
        <v>0</v>
      </c>
      <c r="EU567" s="1580">
        <v>0</v>
      </c>
      <c r="EV567" s="1580">
        <v>230</v>
      </c>
      <c r="EW567" s="1580">
        <v>0</v>
      </c>
      <c r="EX567" s="1580">
        <v>0</v>
      </c>
      <c r="EY567" s="1580">
        <v>0</v>
      </c>
      <c r="EZ567" s="1580"/>
      <c r="FA567" s="1580">
        <v>0</v>
      </c>
      <c r="FB567" s="1580"/>
      <c r="FC567" s="1580"/>
      <c r="FD567" s="1580"/>
      <c r="FE567" s="1580"/>
      <c r="FF567" s="1580">
        <v>0</v>
      </c>
      <c r="FG567" s="1580">
        <v>0</v>
      </c>
      <c r="FH567" s="1580">
        <v>0</v>
      </c>
      <c r="FI567" s="1580">
        <v>0</v>
      </c>
    </row>
    <row r="568" spans="1:165">
      <c r="A568" s="1580">
        <v>566</v>
      </c>
      <c r="B568" s="1580" t="s">
        <v>2351</v>
      </c>
      <c r="C568" s="1580" t="s">
        <v>2337</v>
      </c>
      <c r="D568" s="1580" t="s">
        <v>533</v>
      </c>
      <c r="E568" s="1580" t="s">
        <v>2346</v>
      </c>
      <c r="F568" s="1580" t="s">
        <v>1239</v>
      </c>
      <c r="G568" s="1580" t="s">
        <v>1239</v>
      </c>
      <c r="H568" s="1580" t="s">
        <v>1239</v>
      </c>
      <c r="I568" s="1580" t="s">
        <v>2326</v>
      </c>
      <c r="J568" s="1580" t="s">
        <v>2329</v>
      </c>
      <c r="K568" s="1581">
        <v>44774</v>
      </c>
      <c r="L568" s="1580">
        <v>0</v>
      </c>
      <c r="M568" s="1580">
        <v>0</v>
      </c>
      <c r="N568" s="1580">
        <v>12.145</v>
      </c>
      <c r="O568" s="1580">
        <v>12.145</v>
      </c>
      <c r="P568" s="1580">
        <v>12.145</v>
      </c>
      <c r="Q568" s="1580">
        <v>12.145</v>
      </c>
      <c r="R568" s="1580"/>
      <c r="S568" s="1580">
        <v>96.28</v>
      </c>
      <c r="T568" s="1580">
        <v>128.11000000000001</v>
      </c>
      <c r="U568" s="1580"/>
      <c r="V568" s="1580">
        <v>2725.2165500000001</v>
      </c>
      <c r="W568" s="1580">
        <v>2725.2165500000001</v>
      </c>
      <c r="X568" s="1580">
        <v>2728.2528000000002</v>
      </c>
      <c r="Y568" s="1580">
        <v>0</v>
      </c>
      <c r="Z568" s="1580">
        <v>646.81797144516975</v>
      </c>
      <c r="AA568" s="1580">
        <v>0</v>
      </c>
      <c r="AB568" s="1580">
        <v>0</v>
      </c>
      <c r="AC568" s="1580">
        <v>0</v>
      </c>
      <c r="AD568" s="1580">
        <v>0</v>
      </c>
      <c r="AE568" s="1580">
        <v>0</v>
      </c>
      <c r="AF568" s="1580">
        <v>1555.9086588338473</v>
      </c>
      <c r="AG568" s="1580">
        <v>0</v>
      </c>
      <c r="AH568" s="1580">
        <v>0</v>
      </c>
      <c r="AI568" s="1580">
        <v>0</v>
      </c>
      <c r="AJ568" s="1580">
        <v>0</v>
      </c>
      <c r="AK568" s="1580">
        <v>0</v>
      </c>
      <c r="AL568" s="1580">
        <v>114.81701326772583</v>
      </c>
      <c r="AM568" s="1580"/>
      <c r="AN568" s="1580">
        <v>5.9704899269459668</v>
      </c>
      <c r="AO568" s="1580">
        <v>0</v>
      </c>
      <c r="AP568" s="1580">
        <v>0</v>
      </c>
      <c r="AQ568" s="1580">
        <v>0</v>
      </c>
      <c r="AR568" s="1580">
        <v>0</v>
      </c>
      <c r="AS568" s="1580">
        <v>0</v>
      </c>
      <c r="AT568" s="1580">
        <v>0</v>
      </c>
      <c r="AU568" s="1580">
        <v>0</v>
      </c>
      <c r="AV568" s="1580">
        <v>0</v>
      </c>
      <c r="AW568" s="1580">
        <v>0</v>
      </c>
      <c r="AX568" s="1580">
        <v>0</v>
      </c>
      <c r="AY568" s="1580">
        <v>0</v>
      </c>
      <c r="AZ568" s="1580">
        <v>0</v>
      </c>
      <c r="BA568" s="1580"/>
      <c r="BB568" s="1580">
        <v>0</v>
      </c>
      <c r="BC568" s="1580">
        <v>0</v>
      </c>
      <c r="BD568" s="1580">
        <v>0</v>
      </c>
      <c r="BE568" s="1580">
        <v>0</v>
      </c>
      <c r="BF568" s="1580">
        <v>0</v>
      </c>
      <c r="BG568" s="1580">
        <v>63.622982991156967</v>
      </c>
      <c r="BH568" s="1580">
        <v>0</v>
      </c>
      <c r="BI568" s="1580">
        <v>0</v>
      </c>
      <c r="BJ568" s="1580">
        <v>0</v>
      </c>
      <c r="BK568" s="1580">
        <v>0</v>
      </c>
      <c r="BL568" s="1580">
        <v>0</v>
      </c>
      <c r="BM568" s="1580"/>
      <c r="BN568" s="1580"/>
      <c r="BO568" s="1580"/>
      <c r="BP568" s="1580"/>
      <c r="BQ568" s="1580"/>
      <c r="BR568" s="1580"/>
      <c r="BS568" s="1580"/>
      <c r="BT568" s="1580"/>
      <c r="BU568" s="1580"/>
      <c r="BV568" s="1580">
        <v>1619.5316418250043</v>
      </c>
      <c r="BW568" s="1580"/>
      <c r="BX568" s="1580"/>
      <c r="BY568" s="1580"/>
      <c r="BZ568" s="1580"/>
      <c r="CA568" s="1580"/>
      <c r="CB568" s="1580"/>
      <c r="CC568" s="1580"/>
      <c r="CD568" s="1580"/>
      <c r="CE568" s="1580"/>
      <c r="CF568" s="1580"/>
      <c r="CG568" s="1580"/>
      <c r="CH568" s="1580"/>
      <c r="CI568" s="1580">
        <v>2729.3760000000002</v>
      </c>
      <c r="CJ568" s="1580">
        <v>4.1294499999999061</v>
      </c>
      <c r="CK568" s="1580"/>
      <c r="CL568" s="1580"/>
      <c r="CM568" s="1580"/>
      <c r="CN568" s="1580"/>
      <c r="CO568" s="1580">
        <v>-68.133449999999996</v>
      </c>
      <c r="CP568" s="1580">
        <v>71.169699999999821</v>
      </c>
      <c r="CQ568" s="1580">
        <v>31</v>
      </c>
      <c r="CR568" s="1580">
        <v>3.0221938307831806</v>
      </c>
      <c r="CS568" s="1580">
        <v>0</v>
      </c>
      <c r="CT568" s="1580">
        <v>0</v>
      </c>
      <c r="CU568" s="1580">
        <v>0</v>
      </c>
      <c r="CV568" s="1580">
        <v>0</v>
      </c>
      <c r="CW568" s="1580">
        <v>0</v>
      </c>
      <c r="CX568" s="1580">
        <v>0</v>
      </c>
      <c r="CY568" s="1580">
        <v>0</v>
      </c>
      <c r="CZ568" s="1580">
        <v>0</v>
      </c>
      <c r="DA568" s="1580">
        <v>0</v>
      </c>
      <c r="DB568" s="1580">
        <v>0</v>
      </c>
      <c r="DC568" s="1580">
        <v>71.16282905788421</v>
      </c>
      <c r="DD568" s="1580">
        <v>0</v>
      </c>
      <c r="DE568" s="1580">
        <v>0</v>
      </c>
      <c r="DF568" s="1580">
        <v>0</v>
      </c>
      <c r="DG568" s="1580">
        <v>2.9099339714102612</v>
      </c>
      <c r="DH568" s="1580">
        <v>0</v>
      </c>
      <c r="DI568" s="1580">
        <v>-61.183276807431753</v>
      </c>
      <c r="DJ568" s="1580"/>
      <c r="DK568" s="1580">
        <v>0</v>
      </c>
      <c r="DL568" s="1580">
        <v>0</v>
      </c>
      <c r="DM568" s="1580">
        <v>0</v>
      </c>
      <c r="DN568" s="1580">
        <v>0</v>
      </c>
      <c r="DO568" s="1580">
        <v>-9.1677459353067832</v>
      </c>
      <c r="DP568" s="1580">
        <v>-0.69954645577213359</v>
      </c>
      <c r="DQ568" s="1580">
        <v>0</v>
      </c>
      <c r="DR568" s="1580">
        <v>0</v>
      </c>
      <c r="DS568" s="1580"/>
      <c r="DT568" s="1580"/>
      <c r="DU568" s="1580"/>
      <c r="DV568" s="1580">
        <v>0</v>
      </c>
      <c r="DW568" s="1580">
        <v>0</v>
      </c>
      <c r="DX568" s="1580">
        <v>0</v>
      </c>
      <c r="DY568" s="1580">
        <v>-68.133450000000039</v>
      </c>
      <c r="DZ568" s="1580">
        <v>71.169699999999921</v>
      </c>
      <c r="EA568" s="1580">
        <v>0</v>
      </c>
      <c r="EB568" s="1580">
        <v>0</v>
      </c>
      <c r="EC568" s="1580">
        <v>0</v>
      </c>
      <c r="ED568" s="1580">
        <v>0</v>
      </c>
      <c r="EE568" s="1580">
        <v>0</v>
      </c>
      <c r="EF568" s="1580">
        <v>0</v>
      </c>
      <c r="EG568" s="1580">
        <v>0</v>
      </c>
      <c r="EH568" s="1580">
        <v>0</v>
      </c>
      <c r="EI568" s="1580">
        <v>0</v>
      </c>
      <c r="EJ568" s="1580">
        <v>0</v>
      </c>
      <c r="EK568" s="1580">
        <v>0</v>
      </c>
      <c r="EL568" s="1580">
        <v>0</v>
      </c>
      <c r="EM568" s="1580">
        <v>0</v>
      </c>
      <c r="EN568" s="1580">
        <v>0</v>
      </c>
      <c r="EO568" s="1580">
        <v>0</v>
      </c>
      <c r="EP568" s="1580">
        <v>338.10110765842006</v>
      </c>
      <c r="EQ568" s="1580">
        <v>0</v>
      </c>
      <c r="ER568" s="1580">
        <v>0</v>
      </c>
      <c r="ES568" s="1580">
        <v>0</v>
      </c>
      <c r="ET568" s="1580">
        <v>0</v>
      </c>
      <c r="EU568" s="1580">
        <v>0</v>
      </c>
      <c r="EV568" s="1580">
        <v>230</v>
      </c>
      <c r="EW568" s="1580">
        <v>0</v>
      </c>
      <c r="EX568" s="1580">
        <v>0</v>
      </c>
      <c r="EY568" s="1580">
        <v>0</v>
      </c>
      <c r="EZ568" s="1580"/>
      <c r="FA568" s="1580">
        <v>0</v>
      </c>
      <c r="FB568" s="1580"/>
      <c r="FC568" s="1580"/>
      <c r="FD568" s="1580"/>
      <c r="FE568" s="1580"/>
      <c r="FF568" s="1580">
        <v>0</v>
      </c>
      <c r="FG568" s="1580">
        <v>0</v>
      </c>
      <c r="FH568" s="1580">
        <v>0</v>
      </c>
      <c r="FI568" s="1580">
        <v>0</v>
      </c>
    </row>
    <row r="569" spans="1:165">
      <c r="A569" s="1580">
        <v>567</v>
      </c>
      <c r="B569" s="1580" t="s">
        <v>2351</v>
      </c>
      <c r="C569" s="1580" t="s">
        <v>2337</v>
      </c>
      <c r="D569" s="1580" t="s">
        <v>533</v>
      </c>
      <c r="E569" s="1580" t="s">
        <v>2346</v>
      </c>
      <c r="F569" s="1580" t="s">
        <v>1239</v>
      </c>
      <c r="G569" s="1580" t="s">
        <v>1239</v>
      </c>
      <c r="H569" s="1580" t="s">
        <v>1239</v>
      </c>
      <c r="I569" s="1580" t="s">
        <v>1239</v>
      </c>
      <c r="J569" s="1580" t="s">
        <v>2329</v>
      </c>
      <c r="K569" s="1581">
        <v>44774</v>
      </c>
      <c r="L569" s="1580">
        <v>95</v>
      </c>
      <c r="M569" s="1580">
        <v>95</v>
      </c>
      <c r="N569" s="1580">
        <v>0</v>
      </c>
      <c r="O569" s="1580">
        <v>0</v>
      </c>
      <c r="P569" s="1580">
        <v>0</v>
      </c>
      <c r="Q569" s="1580">
        <v>0</v>
      </c>
      <c r="R569" s="1580">
        <v>18.12</v>
      </c>
      <c r="S569" s="1580"/>
      <c r="T569" s="1580"/>
      <c r="U569" s="1580">
        <v>1721.4</v>
      </c>
      <c r="V569" s="1580"/>
      <c r="W569" s="1580">
        <v>1721.4</v>
      </c>
      <c r="X569" s="1580">
        <v>1372.75</v>
      </c>
      <c r="Y569" s="1580">
        <v>0</v>
      </c>
      <c r="Z569" s="1580">
        <v>0</v>
      </c>
      <c r="AA569" s="1580">
        <v>0</v>
      </c>
      <c r="AB569" s="1580">
        <v>0</v>
      </c>
      <c r="AC569" s="1580">
        <v>0</v>
      </c>
      <c r="AD569" s="1580">
        <v>0</v>
      </c>
      <c r="AE569" s="1580">
        <v>1240.5991402087554</v>
      </c>
      <c r="AF569" s="1580"/>
      <c r="AG569" s="1580"/>
      <c r="AH569" s="1580"/>
      <c r="AI569" s="1580">
        <v>0</v>
      </c>
      <c r="AJ569" s="1580">
        <v>0</v>
      </c>
      <c r="AK569" s="1580">
        <v>0</v>
      </c>
      <c r="AL569" s="1580">
        <v>0</v>
      </c>
      <c r="AM569" s="1580"/>
      <c r="AN569" s="1580">
        <v>0</v>
      </c>
      <c r="AO569" s="1580">
        <v>75.512689137147717</v>
      </c>
      <c r="AP569" s="1580">
        <v>404.82549878573383</v>
      </c>
      <c r="AQ569" s="1580">
        <v>0</v>
      </c>
      <c r="AR569" s="1580">
        <v>0</v>
      </c>
      <c r="AS569" s="1580"/>
      <c r="AT569" s="1580"/>
      <c r="AU569" s="1580">
        <v>0</v>
      </c>
      <c r="AV569" s="1580">
        <v>0</v>
      </c>
      <c r="AW569" s="1580">
        <v>0</v>
      </c>
      <c r="AX569" s="1580"/>
      <c r="AY569" s="1580"/>
      <c r="AZ569" s="1580">
        <v>0</v>
      </c>
      <c r="BA569" s="1580"/>
      <c r="BB569" s="1580">
        <v>0</v>
      </c>
      <c r="BC569" s="1580">
        <v>0</v>
      </c>
      <c r="BD569" s="1580">
        <v>0</v>
      </c>
      <c r="BE569" s="1580">
        <v>0</v>
      </c>
      <c r="BF569" s="1580"/>
      <c r="BG569" s="1580">
        <v>0</v>
      </c>
      <c r="BH569" s="1580">
        <v>0</v>
      </c>
      <c r="BI569" s="1580">
        <v>0</v>
      </c>
      <c r="BJ569" s="1580">
        <v>0</v>
      </c>
      <c r="BK569" s="1580">
        <v>361.66</v>
      </c>
      <c r="BL569" s="1580">
        <v>1</v>
      </c>
      <c r="BM569" s="1580"/>
      <c r="BN569" s="1580"/>
      <c r="BO569" s="1580"/>
      <c r="BP569" s="1580"/>
      <c r="BQ569" s="1580"/>
      <c r="BR569" s="1580"/>
      <c r="BS569" s="1580"/>
      <c r="BT569" s="1580"/>
      <c r="BU569" s="1580"/>
      <c r="BV569" s="1580">
        <v>0</v>
      </c>
      <c r="BW569" s="1580"/>
      <c r="BX569" s="1580"/>
      <c r="BY569" s="1580"/>
      <c r="BZ569" s="1580"/>
      <c r="CA569" s="1580"/>
      <c r="CB569" s="1580"/>
      <c r="CC569" s="1580"/>
      <c r="CD569" s="1580"/>
      <c r="CE569" s="1580"/>
      <c r="CF569" s="1580"/>
      <c r="CG569" s="1580"/>
      <c r="CH569" s="1580"/>
      <c r="CI569" s="1580">
        <v>1372.75</v>
      </c>
      <c r="CJ569" s="1580">
        <v>-348.68000000000006</v>
      </c>
      <c r="CK569" s="1580"/>
      <c r="CL569" s="1580"/>
      <c r="CM569" s="1580"/>
      <c r="CN569" s="1580"/>
      <c r="CO569" s="1580">
        <v>-348.65000000000015</v>
      </c>
      <c r="CP569" s="1580">
        <v>0</v>
      </c>
      <c r="CQ569" s="1580">
        <v>31</v>
      </c>
      <c r="CR569" s="1580">
        <v>35.062675168269209</v>
      </c>
      <c r="CS569" s="1580">
        <v>5.5121099193624161</v>
      </c>
      <c r="CT569" s="1580">
        <v>29.550565248906821</v>
      </c>
      <c r="CU569" s="1580">
        <v>0</v>
      </c>
      <c r="CV569" s="1580">
        <v>0</v>
      </c>
      <c r="CW569" s="1580"/>
      <c r="CX569" s="1580"/>
      <c r="CY569" s="1580"/>
      <c r="CZ569" s="1580">
        <v>0</v>
      </c>
      <c r="DA569" s="1580">
        <v>0</v>
      </c>
      <c r="DB569" s="1580">
        <v>0</v>
      </c>
      <c r="DC569" s="1580"/>
      <c r="DD569" s="1580"/>
      <c r="DE569" s="1580">
        <v>0</v>
      </c>
      <c r="DF569" s="1580">
        <v>0</v>
      </c>
      <c r="DG569" s="1580">
        <v>0</v>
      </c>
      <c r="DH569" s="1580">
        <v>0</v>
      </c>
      <c r="DI569" s="1580">
        <v>0</v>
      </c>
      <c r="DJ569" s="1580"/>
      <c r="DK569" s="1580">
        <v>0</v>
      </c>
      <c r="DL569" s="1580">
        <v>0</v>
      </c>
      <c r="DM569" s="1580"/>
      <c r="DN569" s="1580">
        <v>0</v>
      </c>
      <c r="DO569" s="1580">
        <v>0</v>
      </c>
      <c r="DP569" s="1580">
        <v>0</v>
      </c>
      <c r="DQ569" s="1580">
        <v>0</v>
      </c>
      <c r="DR569" s="1580">
        <v>0</v>
      </c>
      <c r="DS569" s="1580"/>
      <c r="DT569" s="1580"/>
      <c r="DU569" s="1580">
        <v>1240.5991402087554</v>
      </c>
      <c r="DV569" s="1580"/>
      <c r="DW569" s="1580">
        <v>0</v>
      </c>
      <c r="DX569" s="1580">
        <v>0</v>
      </c>
      <c r="DY569" s="1580">
        <v>-348.65000000000009</v>
      </c>
      <c r="DZ569" s="1580"/>
      <c r="EA569" s="1580">
        <v>0</v>
      </c>
      <c r="EB569" s="1580"/>
      <c r="EC569" s="1580">
        <v>-383.59440159891403</v>
      </c>
      <c r="ED569" s="1580"/>
      <c r="EE569" s="1580">
        <v>0</v>
      </c>
      <c r="EF569" s="1580">
        <v>0</v>
      </c>
      <c r="EG569" s="1580"/>
      <c r="EH569" s="1580">
        <v>0</v>
      </c>
      <c r="EI569" s="1580">
        <v>0</v>
      </c>
      <c r="EJ569" s="1580">
        <v>0</v>
      </c>
      <c r="EK569" s="1580">
        <v>0</v>
      </c>
      <c r="EL569" s="1580">
        <v>0</v>
      </c>
      <c r="EM569" s="1580"/>
      <c r="EN569" s="1580"/>
      <c r="EO569" s="1580">
        <v>0</v>
      </c>
      <c r="EP569" s="1580">
        <v>0</v>
      </c>
      <c r="EQ569" s="1580"/>
      <c r="ER569" s="1580">
        <v>0</v>
      </c>
      <c r="ES569" s="1580"/>
      <c r="ET569" s="1580">
        <v>0</v>
      </c>
      <c r="EU569" s="1580"/>
      <c r="EV569" s="1580">
        <v>230</v>
      </c>
      <c r="EW569" s="1580"/>
      <c r="EX569" s="1580"/>
      <c r="EY569" s="1580"/>
      <c r="EZ569" s="1580"/>
      <c r="FA569" s="1580">
        <v>0</v>
      </c>
      <c r="FB569" s="1580"/>
      <c r="FC569" s="1580"/>
      <c r="FD569" s="1580"/>
      <c r="FE569" s="1580"/>
      <c r="FF569" s="1580">
        <v>0</v>
      </c>
      <c r="FG569" s="1580">
        <v>0</v>
      </c>
      <c r="FH569" s="1580">
        <v>0</v>
      </c>
      <c r="FI569" s="1580">
        <v>0</v>
      </c>
    </row>
    <row r="570" spans="1:165">
      <c r="A570" s="1580">
        <v>568</v>
      </c>
      <c r="B570" s="1580" t="s">
        <v>2351</v>
      </c>
      <c r="C570" s="1580" t="s">
        <v>2328</v>
      </c>
      <c r="D570" s="1580" t="s">
        <v>2340</v>
      </c>
      <c r="E570" s="1580" t="s">
        <v>894</v>
      </c>
      <c r="F570" s="1580" t="s">
        <v>2347</v>
      </c>
      <c r="G570" s="1580" t="s">
        <v>2348</v>
      </c>
      <c r="H570" s="1580" t="s">
        <v>1239</v>
      </c>
      <c r="I570" s="1580" t="s">
        <v>1239</v>
      </c>
      <c r="J570" s="1580" t="s">
        <v>2329</v>
      </c>
      <c r="K570" s="1581">
        <v>44774</v>
      </c>
      <c r="L570" s="1580">
        <v>0</v>
      </c>
      <c r="M570" s="1580">
        <v>0</v>
      </c>
      <c r="N570" s="1580">
        <v>0</v>
      </c>
      <c r="O570" s="1580">
        <v>0</v>
      </c>
      <c r="P570" s="1580">
        <v>0</v>
      </c>
      <c r="Q570" s="1580">
        <v>0</v>
      </c>
      <c r="R570" s="1580"/>
      <c r="S570" s="1580"/>
      <c r="T570" s="1580"/>
      <c r="U570" s="1580"/>
      <c r="V570" s="1580"/>
      <c r="W570" s="1580"/>
      <c r="X570" s="1580"/>
      <c r="Y570" s="1580"/>
      <c r="Z570" s="1580"/>
      <c r="AA570" s="1580">
        <v>0</v>
      </c>
      <c r="AB570" s="1580"/>
      <c r="AC570" s="1580"/>
      <c r="AD570" s="1580"/>
      <c r="AE570" s="1580"/>
      <c r="AF570" s="1580"/>
      <c r="AG570" s="1580"/>
      <c r="AH570" s="1580"/>
      <c r="AI570" s="1580"/>
      <c r="AJ570" s="1580"/>
      <c r="AK570" s="1580"/>
      <c r="AL570" s="1580"/>
      <c r="AM570" s="1580"/>
      <c r="AN570" s="1580"/>
      <c r="AO570" s="1580"/>
      <c r="AP570" s="1580"/>
      <c r="AQ570" s="1580"/>
      <c r="AR570" s="1580"/>
      <c r="AS570" s="1580"/>
      <c r="AT570" s="1580"/>
      <c r="AU570" s="1580"/>
      <c r="AV570" s="1580"/>
      <c r="AW570" s="1580"/>
      <c r="AX570" s="1580"/>
      <c r="AY570" s="1580"/>
      <c r="AZ570" s="1580">
        <v>0</v>
      </c>
      <c r="BA570" s="1580"/>
      <c r="BB570" s="1580"/>
      <c r="BC570" s="1580"/>
      <c r="BD570" s="1580"/>
      <c r="BE570" s="1580"/>
      <c r="BF570" s="1580"/>
      <c r="BG570" s="1580"/>
      <c r="BH570" s="1580"/>
      <c r="BI570" s="1580">
        <v>0</v>
      </c>
      <c r="BJ570" s="1580">
        <v>0</v>
      </c>
      <c r="BK570" s="1580">
        <v>785.6</v>
      </c>
      <c r="BL570" s="1580">
        <v>101</v>
      </c>
      <c r="BM570" s="1580"/>
      <c r="BN570" s="1580"/>
      <c r="BO570" s="1580"/>
      <c r="BP570" s="1580"/>
      <c r="BQ570" s="1580"/>
      <c r="BR570" s="1580"/>
      <c r="BS570" s="1580"/>
      <c r="BT570" s="1580"/>
      <c r="BU570" s="1580"/>
      <c r="BV570" s="1580"/>
      <c r="BW570" s="1580"/>
      <c r="BX570" s="1580"/>
      <c r="BY570" s="1580"/>
      <c r="BZ570" s="1580"/>
      <c r="CA570" s="1580"/>
      <c r="CB570" s="1580"/>
      <c r="CC570" s="1580"/>
      <c r="CD570" s="1580"/>
      <c r="CE570" s="1580"/>
      <c r="CF570" s="1580"/>
      <c r="CG570" s="1580"/>
      <c r="CH570" s="1580"/>
      <c r="CI570" s="1580"/>
      <c r="CJ570" s="1580">
        <v>-0.03</v>
      </c>
      <c r="CK570" s="1580"/>
      <c r="CL570" s="1580"/>
      <c r="CM570" s="1580"/>
      <c r="CN570" s="1580"/>
      <c r="CO570" s="1580">
        <v>0</v>
      </c>
      <c r="CP570" s="1580">
        <v>0</v>
      </c>
      <c r="CQ570" s="1580">
        <v>31</v>
      </c>
      <c r="CR570" s="1580"/>
      <c r="CS570" s="1580"/>
      <c r="CT570" s="1580"/>
      <c r="CU570" s="1580"/>
      <c r="CV570" s="1580"/>
      <c r="CW570" s="1580"/>
      <c r="CX570" s="1580"/>
      <c r="CY570" s="1580"/>
      <c r="CZ570" s="1580"/>
      <c r="DA570" s="1580"/>
      <c r="DB570" s="1580"/>
      <c r="DC570" s="1580"/>
      <c r="DD570" s="1580"/>
      <c r="DE570" s="1580"/>
      <c r="DF570" s="1580"/>
      <c r="DG570" s="1580"/>
      <c r="DH570" s="1580"/>
      <c r="DI570" s="1580"/>
      <c r="DJ570" s="1580"/>
      <c r="DK570" s="1580">
        <v>0</v>
      </c>
      <c r="DL570" s="1580"/>
      <c r="DM570" s="1580"/>
      <c r="DN570" s="1580"/>
      <c r="DO570" s="1580"/>
      <c r="DP570" s="1580"/>
      <c r="DQ570" s="1580"/>
      <c r="DR570" s="1580"/>
      <c r="DS570" s="1580"/>
      <c r="DT570" s="1580"/>
      <c r="DU570" s="1580"/>
      <c r="DV570" s="1580"/>
      <c r="DW570" s="1580"/>
      <c r="DX570" s="1580"/>
      <c r="DY570" s="1580"/>
      <c r="DZ570" s="1580"/>
      <c r="EA570" s="1580"/>
      <c r="EB570" s="1580"/>
      <c r="EC570" s="1580"/>
      <c r="ED570" s="1580"/>
      <c r="EE570" s="1580"/>
      <c r="EF570" s="1580"/>
      <c r="EG570" s="1580"/>
      <c r="EH570" s="1580"/>
      <c r="EI570" s="1580"/>
      <c r="EJ570" s="1580"/>
      <c r="EK570" s="1580"/>
      <c r="EL570" s="1580"/>
      <c r="EM570" s="1580"/>
      <c r="EN570" s="1580"/>
      <c r="EO570" s="1580"/>
      <c r="EP570" s="1580"/>
      <c r="EQ570" s="1580"/>
      <c r="ER570" s="1580"/>
      <c r="ES570" s="1580"/>
      <c r="ET570" s="1580"/>
      <c r="EU570" s="1580"/>
      <c r="EV570" s="1580">
        <v>230</v>
      </c>
      <c r="EW570" s="1580"/>
      <c r="EX570" s="1580"/>
      <c r="EY570" s="1580"/>
      <c r="EZ570" s="1580"/>
      <c r="FA570" s="1580">
        <v>0</v>
      </c>
      <c r="FB570" s="1580"/>
      <c r="FC570" s="1580"/>
      <c r="FD570" s="1580"/>
      <c r="FE570" s="1580"/>
      <c r="FF570" s="1580">
        <v>0</v>
      </c>
      <c r="FG570" s="1580">
        <v>0</v>
      </c>
      <c r="FH570" s="1580">
        <v>0</v>
      </c>
      <c r="FI570" s="1580">
        <v>0</v>
      </c>
    </row>
    <row r="571" spans="1:165">
      <c r="A571" s="1580">
        <v>569</v>
      </c>
      <c r="B571" s="1580" t="s">
        <v>2351</v>
      </c>
      <c r="C571" s="1580" t="s">
        <v>2328</v>
      </c>
      <c r="D571" s="1580" t="s">
        <v>2340</v>
      </c>
      <c r="E571" s="1580" t="s">
        <v>894</v>
      </c>
      <c r="F571" s="1580" t="s">
        <v>2347</v>
      </c>
      <c r="G571" s="1580" t="s">
        <v>2348</v>
      </c>
      <c r="H571" s="1580" t="s">
        <v>1239</v>
      </c>
      <c r="I571" s="1580" t="s">
        <v>1239</v>
      </c>
      <c r="J571" s="1580" t="s">
        <v>2329</v>
      </c>
      <c r="K571" s="1581">
        <v>44774</v>
      </c>
      <c r="L571" s="1580">
        <v>0</v>
      </c>
      <c r="M571" s="1580">
        <v>0</v>
      </c>
      <c r="N571" s="1580">
        <v>13.619</v>
      </c>
      <c r="O571" s="1580">
        <v>13.619</v>
      </c>
      <c r="P571" s="1580">
        <v>13.619</v>
      </c>
      <c r="Q571" s="1580">
        <v>13.619</v>
      </c>
      <c r="R571" s="1580"/>
      <c r="S571" s="1580">
        <v>333.61</v>
      </c>
      <c r="T571" s="1580">
        <v>128.11000000000001</v>
      </c>
      <c r="U571" s="1580"/>
      <c r="V571" s="1580">
        <v>6288.1646799999999</v>
      </c>
      <c r="W571" s="1580">
        <v>6288.1646799999999</v>
      </c>
      <c r="X571" s="1580">
        <v>5488.8655699999999</v>
      </c>
      <c r="Y571" s="1580">
        <v>0</v>
      </c>
      <c r="Z571" s="1580">
        <v>833.70139105651174</v>
      </c>
      <c r="AA571" s="1580">
        <v>0</v>
      </c>
      <c r="AB571" s="1580">
        <v>0</v>
      </c>
      <c r="AC571" s="1580">
        <v>0</v>
      </c>
      <c r="AD571" s="1580">
        <v>0</v>
      </c>
      <c r="AE571" s="1580">
        <v>2648.8437241617876</v>
      </c>
      <c r="AF571" s="1580">
        <v>1744.7443412645671</v>
      </c>
      <c r="AG571" s="1580">
        <v>0</v>
      </c>
      <c r="AH571" s="1580">
        <v>0</v>
      </c>
      <c r="AI571" s="1580">
        <v>0</v>
      </c>
      <c r="AJ571" s="1580">
        <v>0</v>
      </c>
      <c r="AK571" s="1580">
        <v>0</v>
      </c>
      <c r="AL571" s="1580">
        <v>128.75198877671124</v>
      </c>
      <c r="AM571" s="1580"/>
      <c r="AN571" s="1580">
        <v>11.717622895414223</v>
      </c>
      <c r="AO571" s="1580">
        <v>47.339918673666354</v>
      </c>
      <c r="AP571" s="1580">
        <v>252.53215398815834</v>
      </c>
      <c r="AQ571" s="1580">
        <v>0</v>
      </c>
      <c r="AR571" s="1580">
        <v>0</v>
      </c>
      <c r="AS571" s="1580">
        <v>0</v>
      </c>
      <c r="AT571" s="1580">
        <v>0</v>
      </c>
      <c r="AU571" s="1580">
        <v>0</v>
      </c>
      <c r="AV571" s="1580">
        <v>0</v>
      </c>
      <c r="AW571" s="1580">
        <v>0</v>
      </c>
      <c r="AX571" s="1580">
        <v>0</v>
      </c>
      <c r="AY571" s="1580">
        <v>0</v>
      </c>
      <c r="AZ571" s="1580">
        <v>0</v>
      </c>
      <c r="BA571" s="1580"/>
      <c r="BB571" s="1580">
        <v>0</v>
      </c>
      <c r="BC571" s="1580">
        <v>0</v>
      </c>
      <c r="BD571" s="1580">
        <v>0</v>
      </c>
      <c r="BE571" s="1580">
        <v>0</v>
      </c>
      <c r="BF571" s="1580">
        <v>0</v>
      </c>
      <c r="BG571" s="1580">
        <v>184.78764242864949</v>
      </c>
      <c r="BH571" s="1580">
        <v>0</v>
      </c>
      <c r="BI571" s="1580">
        <v>0</v>
      </c>
      <c r="BJ571" s="1580">
        <v>0</v>
      </c>
      <c r="BK571" s="1580">
        <v>0</v>
      </c>
      <c r="BL571" s="1580">
        <v>0</v>
      </c>
      <c r="BM571" s="1580"/>
      <c r="BN571" s="1580"/>
      <c r="BO571" s="1580"/>
      <c r="BP571" s="1580"/>
      <c r="BQ571" s="1580"/>
      <c r="BR571" s="1580">
        <v>658.7510299999999</v>
      </c>
      <c r="BS571" s="1580"/>
      <c r="BT571" s="1580"/>
      <c r="BU571" s="1580"/>
      <c r="BV571" s="1580">
        <v>1929.5319836932165</v>
      </c>
      <c r="BW571" s="1580"/>
      <c r="BX571" s="1580"/>
      <c r="BY571" s="1580"/>
      <c r="BZ571" s="1580"/>
      <c r="CA571" s="1580"/>
      <c r="CB571" s="1580"/>
      <c r="CC571" s="1580"/>
      <c r="CD571" s="1580"/>
      <c r="CE571" s="1580"/>
      <c r="CF571" s="1580"/>
      <c r="CG571" s="1580"/>
      <c r="CH571" s="1580"/>
      <c r="CI571" s="1580">
        <v>4830.4691999999995</v>
      </c>
      <c r="CJ571" s="1580">
        <v>-703.23288000000048</v>
      </c>
      <c r="CK571" s="1580"/>
      <c r="CL571" s="1580"/>
      <c r="CM571" s="1580"/>
      <c r="CN571" s="1580"/>
      <c r="CO571" s="1580">
        <v>-879.10645000000011</v>
      </c>
      <c r="CP571" s="1580">
        <v>79.807339999999797</v>
      </c>
      <c r="CQ571" s="1580">
        <v>31</v>
      </c>
      <c r="CR571" s="1580">
        <v>19.626570995416387</v>
      </c>
      <c r="CS571" s="1580">
        <v>3.4556157155124509</v>
      </c>
      <c r="CT571" s="1580">
        <v>18.433789166586877</v>
      </c>
      <c r="CU571" s="1580">
        <v>0</v>
      </c>
      <c r="CV571" s="1580">
        <v>0</v>
      </c>
      <c r="CW571" s="1580">
        <v>0</v>
      </c>
      <c r="CX571" s="1580">
        <v>0</v>
      </c>
      <c r="CY571" s="1580">
        <v>0</v>
      </c>
      <c r="CZ571" s="1580">
        <v>0</v>
      </c>
      <c r="DA571" s="1580">
        <v>0</v>
      </c>
      <c r="DB571" s="1580">
        <v>0</v>
      </c>
      <c r="DC571" s="1580">
        <v>79.799635153505733</v>
      </c>
      <c r="DD571" s="1580">
        <v>0</v>
      </c>
      <c r="DE571" s="1580">
        <v>0</v>
      </c>
      <c r="DF571" s="1580">
        <v>0</v>
      </c>
      <c r="DG571" s="1580">
        <v>8.4516602793462425</v>
      </c>
      <c r="DH571" s="1580">
        <v>0</v>
      </c>
      <c r="DI571" s="1580">
        <v>-78.860800465675652</v>
      </c>
      <c r="DJ571" s="1580"/>
      <c r="DK571" s="1580">
        <v>0</v>
      </c>
      <c r="DL571" s="1580">
        <v>0</v>
      </c>
      <c r="DM571" s="1580">
        <v>0</v>
      </c>
      <c r="DN571" s="1580">
        <v>0</v>
      </c>
      <c r="DO571" s="1580">
        <v>-10.280406084227494</v>
      </c>
      <c r="DP571" s="1580">
        <v>-1.3729227696318098</v>
      </c>
      <c r="DQ571" s="1580">
        <v>0</v>
      </c>
      <c r="DR571" s="1580">
        <v>0</v>
      </c>
      <c r="DS571" s="1580"/>
      <c r="DT571" s="1580"/>
      <c r="DU571" s="1580"/>
      <c r="DV571" s="1580">
        <v>2648.8437241617876</v>
      </c>
      <c r="DW571" s="1580">
        <v>0</v>
      </c>
      <c r="DX571" s="1580">
        <v>0</v>
      </c>
      <c r="DY571" s="1580">
        <v>-879.10644999999977</v>
      </c>
      <c r="DZ571" s="1580">
        <v>79.807339999999613</v>
      </c>
      <c r="EA571" s="1580">
        <v>0</v>
      </c>
      <c r="EB571" s="1580">
        <v>0</v>
      </c>
      <c r="EC571" s="1580">
        <v>-819.02492946102075</v>
      </c>
      <c r="ED571" s="1580">
        <v>0</v>
      </c>
      <c r="EE571" s="1580">
        <v>0</v>
      </c>
      <c r="EF571" s="1580">
        <v>0</v>
      </c>
      <c r="EG571" s="1580">
        <v>0</v>
      </c>
      <c r="EH571" s="1580">
        <v>0</v>
      </c>
      <c r="EI571" s="1580">
        <v>0</v>
      </c>
      <c r="EJ571" s="1580">
        <v>0</v>
      </c>
      <c r="EK571" s="1580">
        <v>0</v>
      </c>
      <c r="EL571" s="1580">
        <v>0</v>
      </c>
      <c r="EM571" s="1580">
        <v>0</v>
      </c>
      <c r="EN571" s="1580">
        <v>0</v>
      </c>
      <c r="EO571" s="1580">
        <v>0</v>
      </c>
      <c r="EP571" s="1580">
        <v>435.78777371133566</v>
      </c>
      <c r="EQ571" s="1580">
        <v>0</v>
      </c>
      <c r="ER571" s="1580">
        <v>0</v>
      </c>
      <c r="ES571" s="1580">
        <v>0</v>
      </c>
      <c r="ET571" s="1580">
        <v>0</v>
      </c>
      <c r="EU571" s="1580">
        <v>0</v>
      </c>
      <c r="EV571" s="1580">
        <v>230</v>
      </c>
      <c r="EW571" s="1580">
        <v>0</v>
      </c>
      <c r="EX571" s="1580">
        <v>0</v>
      </c>
      <c r="EY571" s="1580">
        <v>0</v>
      </c>
      <c r="EZ571" s="1580"/>
      <c r="FA571" s="1580">
        <v>0</v>
      </c>
      <c r="FB571" s="1580"/>
      <c r="FC571" s="1580"/>
      <c r="FD571" s="1580"/>
      <c r="FE571" s="1580"/>
      <c r="FF571" s="1580">
        <v>0</v>
      </c>
      <c r="FG571" s="1580">
        <v>0</v>
      </c>
      <c r="FH571" s="1580">
        <v>0</v>
      </c>
      <c r="FI571" s="1580">
        <v>0</v>
      </c>
    </row>
    <row r="572" spans="1:165">
      <c r="A572" s="1580">
        <v>570</v>
      </c>
      <c r="B572" s="1580" t="s">
        <v>2351</v>
      </c>
      <c r="C572" s="1580" t="s">
        <v>2328</v>
      </c>
      <c r="D572" s="1580" t="s">
        <v>2340</v>
      </c>
      <c r="E572" s="1580" t="s">
        <v>894</v>
      </c>
      <c r="F572" s="1580" t="s">
        <v>2347</v>
      </c>
      <c r="G572" s="1580" t="s">
        <v>2349</v>
      </c>
      <c r="H572" s="1580" t="s">
        <v>1239</v>
      </c>
      <c r="I572" s="1580" t="s">
        <v>1239</v>
      </c>
      <c r="J572" s="1580" t="s">
        <v>2329</v>
      </c>
      <c r="K572" s="1581">
        <v>44774</v>
      </c>
      <c r="L572" s="1580">
        <v>0</v>
      </c>
      <c r="M572" s="1580">
        <v>0</v>
      </c>
      <c r="N572" s="1580">
        <v>3.4420000000000002</v>
      </c>
      <c r="O572" s="1580">
        <v>1.3768</v>
      </c>
      <c r="P572" s="1580">
        <v>3.4420000000000002</v>
      </c>
      <c r="Q572" s="1580">
        <v>1.3768</v>
      </c>
      <c r="R572" s="1580"/>
      <c r="S572" s="1580">
        <v>333.61</v>
      </c>
      <c r="T572" s="1580">
        <v>128.11000000000001</v>
      </c>
      <c r="U572" s="1580"/>
      <c r="V572" s="1580">
        <v>1589.2402400000001</v>
      </c>
      <c r="W572" s="1580">
        <v>1589.2402400000001</v>
      </c>
      <c r="X572" s="1580">
        <v>1387.2292600000001</v>
      </c>
      <c r="Y572" s="1580">
        <v>0</v>
      </c>
      <c r="Z572" s="1580">
        <v>210.70564564333017</v>
      </c>
      <c r="AA572" s="1580">
        <v>0</v>
      </c>
      <c r="AB572" s="1580">
        <v>0</v>
      </c>
      <c r="AC572" s="1580">
        <v>0</v>
      </c>
      <c r="AD572" s="1580">
        <v>0</v>
      </c>
      <c r="AE572" s="1580">
        <v>669.45591442579291</v>
      </c>
      <c r="AF572" s="1580">
        <v>440.95822179547986</v>
      </c>
      <c r="AG572" s="1580">
        <v>0</v>
      </c>
      <c r="AH572" s="1580">
        <v>0</v>
      </c>
      <c r="AI572" s="1580">
        <v>0</v>
      </c>
      <c r="AJ572" s="1580">
        <v>0</v>
      </c>
      <c r="AK572" s="1580">
        <v>0</v>
      </c>
      <c r="AL572" s="1580">
        <v>32.540153122067707</v>
      </c>
      <c r="AM572" s="1580"/>
      <c r="AN572" s="1580">
        <v>2.9614551733619034</v>
      </c>
      <c r="AO572" s="1580">
        <v>11.96446141969011</v>
      </c>
      <c r="AP572" s="1580">
        <v>63.82375167246061</v>
      </c>
      <c r="AQ572" s="1580">
        <v>0</v>
      </c>
      <c r="AR572" s="1580">
        <v>0</v>
      </c>
      <c r="AS572" s="1580">
        <v>0</v>
      </c>
      <c r="AT572" s="1580">
        <v>0</v>
      </c>
      <c r="AU572" s="1580">
        <v>0</v>
      </c>
      <c r="AV572" s="1580">
        <v>0</v>
      </c>
      <c r="AW572" s="1580">
        <v>0</v>
      </c>
      <c r="AX572" s="1580">
        <v>0</v>
      </c>
      <c r="AY572" s="1580">
        <v>0</v>
      </c>
      <c r="AZ572" s="1580">
        <v>0</v>
      </c>
      <c r="BA572" s="1580"/>
      <c r="BB572" s="1580">
        <v>0</v>
      </c>
      <c r="BC572" s="1580">
        <v>0</v>
      </c>
      <c r="BD572" s="1580">
        <v>0</v>
      </c>
      <c r="BE572" s="1580">
        <v>0</v>
      </c>
      <c r="BF572" s="1580">
        <v>0</v>
      </c>
      <c r="BG572" s="1580">
        <v>46.702332420839383</v>
      </c>
      <c r="BH572" s="1580">
        <v>0</v>
      </c>
      <c r="BI572" s="1580">
        <v>0</v>
      </c>
      <c r="BJ572" s="1580">
        <v>0</v>
      </c>
      <c r="BK572" s="1580">
        <v>0</v>
      </c>
      <c r="BL572" s="1580">
        <v>0</v>
      </c>
      <c r="BM572" s="1580"/>
      <c r="BN572" s="1580"/>
      <c r="BO572" s="1580"/>
      <c r="BP572" s="1580"/>
      <c r="BQ572" s="1580"/>
      <c r="BR572" s="1580"/>
      <c r="BS572" s="1580">
        <v>898.93337199999985</v>
      </c>
      <c r="BT572" s="1580"/>
      <c r="BU572" s="1580"/>
      <c r="BV572" s="1580">
        <v>487.66055421631927</v>
      </c>
      <c r="BW572" s="1580"/>
      <c r="BX572" s="1580"/>
      <c r="BY572" s="1580"/>
      <c r="BZ572" s="1580"/>
      <c r="CA572" s="1580"/>
      <c r="CB572" s="1580"/>
      <c r="CC572" s="1580"/>
      <c r="CD572" s="1580"/>
      <c r="CE572" s="1580"/>
      <c r="CF572" s="1580"/>
      <c r="CG572" s="1580"/>
      <c r="CH572" s="1580"/>
      <c r="CI572" s="1580">
        <v>489.43079999999998</v>
      </c>
      <c r="CJ572" s="1580">
        <v>-70.020576000000005</v>
      </c>
      <c r="CK572" s="1580"/>
      <c r="CL572" s="1580"/>
      <c r="CM572" s="1580"/>
      <c r="CN572" s="1580"/>
      <c r="CO572" s="1580">
        <v>-222.18110000000004</v>
      </c>
      <c r="CP572" s="1580">
        <v>20.170119999999951</v>
      </c>
      <c r="CQ572" s="1580">
        <v>31</v>
      </c>
      <c r="CR572" s="1580">
        <v>4.9603243531992121</v>
      </c>
      <c r="CS572" s="1580">
        <v>0.87335555421057798</v>
      </c>
      <c r="CT572" s="1580">
        <v>4.6588664594604623</v>
      </c>
      <c r="CU572" s="1580">
        <v>0</v>
      </c>
      <c r="CV572" s="1580">
        <v>0</v>
      </c>
      <c r="CW572" s="1580">
        <v>0</v>
      </c>
      <c r="CX572" s="1580">
        <v>0</v>
      </c>
      <c r="CY572" s="1580">
        <v>0</v>
      </c>
      <c r="CZ572" s="1580">
        <v>0</v>
      </c>
      <c r="DA572" s="1580">
        <v>0</v>
      </c>
      <c r="DB572" s="1580">
        <v>0</v>
      </c>
      <c r="DC572" s="1580">
        <v>20.168172714469961</v>
      </c>
      <c r="DD572" s="1580">
        <v>0</v>
      </c>
      <c r="DE572" s="1580">
        <v>0</v>
      </c>
      <c r="DF572" s="1580">
        <v>0</v>
      </c>
      <c r="DG572" s="1580">
        <v>2.1360316235780772</v>
      </c>
      <c r="DH572" s="1580">
        <v>0</v>
      </c>
      <c r="DI572" s="1580">
        <v>-19.930896189357213</v>
      </c>
      <c r="DJ572" s="1580"/>
      <c r="DK572" s="1580">
        <v>0</v>
      </c>
      <c r="DL572" s="1580">
        <v>0</v>
      </c>
      <c r="DM572" s="1580">
        <v>0</v>
      </c>
      <c r="DN572" s="1580">
        <v>0</v>
      </c>
      <c r="DO572" s="1580">
        <v>-2.5982199678325166</v>
      </c>
      <c r="DP572" s="1580">
        <v>-0.3469858413299578</v>
      </c>
      <c r="DQ572" s="1580">
        <v>0</v>
      </c>
      <c r="DR572" s="1580">
        <v>0</v>
      </c>
      <c r="DS572" s="1580"/>
      <c r="DT572" s="1580"/>
      <c r="DU572" s="1580"/>
      <c r="DV572" s="1580">
        <v>669.45591442579291</v>
      </c>
      <c r="DW572" s="1580">
        <v>0</v>
      </c>
      <c r="DX572" s="1580">
        <v>0</v>
      </c>
      <c r="DY572" s="1580">
        <v>-222.18110000000001</v>
      </c>
      <c r="DZ572" s="1580">
        <v>20.17011999999994</v>
      </c>
      <c r="EA572" s="1580">
        <v>0</v>
      </c>
      <c r="EB572" s="1580">
        <v>0</v>
      </c>
      <c r="EC572" s="1580">
        <v>-206.99638792898406</v>
      </c>
      <c r="ED572" s="1580">
        <v>0</v>
      </c>
      <c r="EE572" s="1580">
        <v>0</v>
      </c>
      <c r="EF572" s="1580">
        <v>0</v>
      </c>
      <c r="EG572" s="1580">
        <v>0</v>
      </c>
      <c r="EH572" s="1580">
        <v>0</v>
      </c>
      <c r="EI572" s="1580">
        <v>0</v>
      </c>
      <c r="EJ572" s="1580">
        <v>0</v>
      </c>
      <c r="EK572" s="1580">
        <v>0</v>
      </c>
      <c r="EL572" s="1580">
        <v>0</v>
      </c>
      <c r="EM572" s="1580">
        <v>0</v>
      </c>
      <c r="EN572" s="1580">
        <v>0</v>
      </c>
      <c r="EO572" s="1580">
        <v>0</v>
      </c>
      <c r="EP572" s="1580">
        <v>110.13888810591214</v>
      </c>
      <c r="EQ572" s="1580">
        <v>0</v>
      </c>
      <c r="ER572" s="1580">
        <v>0</v>
      </c>
      <c r="ES572" s="1580">
        <v>0</v>
      </c>
      <c r="ET572" s="1580">
        <v>0</v>
      </c>
      <c r="EU572" s="1580">
        <v>0</v>
      </c>
      <c r="EV572" s="1580">
        <v>230</v>
      </c>
      <c r="EW572" s="1580">
        <v>0</v>
      </c>
      <c r="EX572" s="1580">
        <v>0</v>
      </c>
      <c r="EY572" s="1580">
        <v>0</v>
      </c>
      <c r="EZ572" s="1580"/>
      <c r="FA572" s="1580">
        <v>0</v>
      </c>
      <c r="FB572" s="1580"/>
      <c r="FC572" s="1580"/>
      <c r="FD572" s="1580"/>
      <c r="FE572" s="1580"/>
      <c r="FF572" s="1580">
        <v>0</v>
      </c>
      <c r="FG572" s="1580">
        <v>0</v>
      </c>
      <c r="FH572" s="1580">
        <v>0</v>
      </c>
      <c r="FI572" s="1580">
        <v>0</v>
      </c>
    </row>
    <row r="573" spans="1:165">
      <c r="A573" s="1580">
        <v>571</v>
      </c>
      <c r="B573" s="1580" t="s">
        <v>2351</v>
      </c>
      <c r="C573" s="1580" t="s">
        <v>2328</v>
      </c>
      <c r="D573" s="1580" t="s">
        <v>2340</v>
      </c>
      <c r="E573" s="1580" t="s">
        <v>894</v>
      </c>
      <c r="F573" s="1580" t="s">
        <v>2350</v>
      </c>
      <c r="G573" s="1580" t="s">
        <v>2348</v>
      </c>
      <c r="H573" s="1580" t="s">
        <v>1239</v>
      </c>
      <c r="I573" s="1580" t="s">
        <v>1239</v>
      </c>
      <c r="J573" s="1580" t="s">
        <v>2329</v>
      </c>
      <c r="K573" s="1581">
        <v>44774</v>
      </c>
      <c r="L573" s="1580">
        <v>0</v>
      </c>
      <c r="M573" s="1580">
        <v>0</v>
      </c>
      <c r="N573" s="1580">
        <v>0</v>
      </c>
      <c r="O573" s="1580">
        <v>0</v>
      </c>
      <c r="P573" s="1580">
        <v>0</v>
      </c>
      <c r="Q573" s="1580">
        <v>0</v>
      </c>
      <c r="R573" s="1580"/>
      <c r="S573" s="1580"/>
      <c r="T573" s="1580"/>
      <c r="U573" s="1580"/>
      <c r="V573" s="1580"/>
      <c r="W573" s="1580"/>
      <c r="X573" s="1580"/>
      <c r="Y573" s="1580"/>
      <c r="Z573" s="1580"/>
      <c r="AA573" s="1580">
        <v>0</v>
      </c>
      <c r="AB573" s="1580"/>
      <c r="AC573" s="1580"/>
      <c r="AD573" s="1580"/>
      <c r="AE573" s="1580"/>
      <c r="AF573" s="1580"/>
      <c r="AG573" s="1580"/>
      <c r="AH573" s="1580"/>
      <c r="AI573" s="1580"/>
      <c r="AJ573" s="1580"/>
      <c r="AK573" s="1580"/>
      <c r="AL573" s="1580"/>
      <c r="AM573" s="1580"/>
      <c r="AN573" s="1580"/>
      <c r="AO573" s="1580"/>
      <c r="AP573" s="1580"/>
      <c r="AQ573" s="1580"/>
      <c r="AR573" s="1580"/>
      <c r="AS573" s="1580"/>
      <c r="AT573" s="1580"/>
      <c r="AU573" s="1580"/>
      <c r="AV573" s="1580"/>
      <c r="AW573" s="1580"/>
      <c r="AX573" s="1580"/>
      <c r="AY573" s="1580"/>
      <c r="AZ573" s="1580">
        <v>0</v>
      </c>
      <c r="BA573" s="1580"/>
      <c r="BB573" s="1580"/>
      <c r="BC573" s="1580"/>
      <c r="BD573" s="1580"/>
      <c r="BE573" s="1580"/>
      <c r="BF573" s="1580"/>
      <c r="BG573" s="1580"/>
      <c r="BH573" s="1580"/>
      <c r="BI573" s="1580">
        <v>0</v>
      </c>
      <c r="BJ573" s="1580">
        <v>0</v>
      </c>
      <c r="BK573" s="1580">
        <v>7.89</v>
      </c>
      <c r="BL573" s="1580">
        <v>1</v>
      </c>
      <c r="BM573" s="1580"/>
      <c r="BN573" s="1580"/>
      <c r="BO573" s="1580"/>
      <c r="BP573" s="1580"/>
      <c r="BQ573" s="1580"/>
      <c r="BR573" s="1580"/>
      <c r="BS573" s="1580"/>
      <c r="BT573" s="1580"/>
      <c r="BU573" s="1580"/>
      <c r="BV573" s="1580"/>
      <c r="BW573" s="1580"/>
      <c r="BX573" s="1580"/>
      <c r="BY573" s="1580"/>
      <c r="BZ573" s="1580"/>
      <c r="CA573" s="1580"/>
      <c r="CB573" s="1580"/>
      <c r="CC573" s="1580"/>
      <c r="CD573" s="1580"/>
      <c r="CE573" s="1580"/>
      <c r="CF573" s="1580"/>
      <c r="CG573" s="1580"/>
      <c r="CH573" s="1580"/>
      <c r="CI573" s="1580"/>
      <c r="CJ573" s="1580">
        <v>-0.03</v>
      </c>
      <c r="CK573" s="1580"/>
      <c r="CL573" s="1580"/>
      <c r="CM573" s="1580"/>
      <c r="CN573" s="1580"/>
      <c r="CO573" s="1580">
        <v>0</v>
      </c>
      <c r="CP573" s="1580">
        <v>0</v>
      </c>
      <c r="CQ573" s="1580">
        <v>31</v>
      </c>
      <c r="CR573" s="1580"/>
      <c r="CS573" s="1580"/>
      <c r="CT573" s="1580"/>
      <c r="CU573" s="1580"/>
      <c r="CV573" s="1580"/>
      <c r="CW573" s="1580"/>
      <c r="CX573" s="1580"/>
      <c r="CY573" s="1580"/>
      <c r="CZ573" s="1580"/>
      <c r="DA573" s="1580"/>
      <c r="DB573" s="1580"/>
      <c r="DC573" s="1580"/>
      <c r="DD573" s="1580"/>
      <c r="DE573" s="1580"/>
      <c r="DF573" s="1580"/>
      <c r="DG573" s="1580"/>
      <c r="DH573" s="1580"/>
      <c r="DI573" s="1580"/>
      <c r="DJ573" s="1580"/>
      <c r="DK573" s="1580">
        <v>0</v>
      </c>
      <c r="DL573" s="1580"/>
      <c r="DM573" s="1580"/>
      <c r="DN573" s="1580"/>
      <c r="DO573" s="1580"/>
      <c r="DP573" s="1580"/>
      <c r="DQ573" s="1580"/>
      <c r="DR573" s="1580"/>
      <c r="DS573" s="1580"/>
      <c r="DT573" s="1580"/>
      <c r="DU573" s="1580"/>
      <c r="DV573" s="1580"/>
      <c r="DW573" s="1580"/>
      <c r="DX573" s="1580"/>
      <c r="DY573" s="1580"/>
      <c r="DZ573" s="1580"/>
      <c r="EA573" s="1580"/>
      <c r="EB573" s="1580"/>
      <c r="EC573" s="1580"/>
      <c r="ED573" s="1580"/>
      <c r="EE573" s="1580"/>
      <c r="EF573" s="1580"/>
      <c r="EG573" s="1580"/>
      <c r="EH573" s="1580"/>
      <c r="EI573" s="1580"/>
      <c r="EJ573" s="1580"/>
      <c r="EK573" s="1580"/>
      <c r="EL573" s="1580"/>
      <c r="EM573" s="1580"/>
      <c r="EN573" s="1580"/>
      <c r="EO573" s="1580"/>
      <c r="EP573" s="1580"/>
      <c r="EQ573" s="1580"/>
      <c r="ER573" s="1580"/>
      <c r="ES573" s="1580"/>
      <c r="ET573" s="1580"/>
      <c r="EU573" s="1580"/>
      <c r="EV573" s="1580">
        <v>230</v>
      </c>
      <c r="EW573" s="1580"/>
      <c r="EX573" s="1580"/>
      <c r="EY573" s="1580"/>
      <c r="EZ573" s="1580"/>
      <c r="FA573" s="1580">
        <v>0</v>
      </c>
      <c r="FB573" s="1580"/>
      <c r="FC573" s="1580"/>
      <c r="FD573" s="1580"/>
      <c r="FE573" s="1580"/>
      <c r="FF573" s="1580">
        <v>0</v>
      </c>
      <c r="FG573" s="1580">
        <v>0</v>
      </c>
      <c r="FH573" s="1580">
        <v>0</v>
      </c>
      <c r="FI573" s="1580">
        <v>0</v>
      </c>
    </row>
    <row r="574" spans="1:165">
      <c r="A574" s="1580">
        <v>572</v>
      </c>
      <c r="B574" s="1580" t="s">
        <v>2351</v>
      </c>
      <c r="C574" s="1580" t="s">
        <v>2328</v>
      </c>
      <c r="D574" s="1580" t="s">
        <v>2340</v>
      </c>
      <c r="E574" s="1580" t="s">
        <v>894</v>
      </c>
      <c r="F574" s="1580" t="s">
        <v>2350</v>
      </c>
      <c r="G574" s="1580" t="s">
        <v>2348</v>
      </c>
      <c r="H574" s="1580" t="s">
        <v>1239</v>
      </c>
      <c r="I574" s="1580" t="s">
        <v>1239</v>
      </c>
      <c r="J574" s="1580" t="s">
        <v>2329</v>
      </c>
      <c r="K574" s="1581">
        <v>44774</v>
      </c>
      <c r="L574" s="1580">
        <v>0</v>
      </c>
      <c r="M574" s="1580">
        <v>0</v>
      </c>
      <c r="N574" s="1580">
        <v>0.104</v>
      </c>
      <c r="O574" s="1580">
        <v>0.104</v>
      </c>
      <c r="P574" s="1580">
        <v>0.104</v>
      </c>
      <c r="Q574" s="1580">
        <v>0.104</v>
      </c>
      <c r="R574" s="1580"/>
      <c r="S574" s="1580">
        <v>333.61</v>
      </c>
      <c r="T574" s="1580">
        <v>128.11000000000001</v>
      </c>
      <c r="U574" s="1580"/>
      <c r="V574" s="1580">
        <v>48.018879999999996</v>
      </c>
      <c r="W574" s="1580">
        <v>48.018879999999996</v>
      </c>
      <c r="X574" s="1580">
        <v>41.915119999999995</v>
      </c>
      <c r="Y574" s="1580">
        <v>0</v>
      </c>
      <c r="Z574" s="1580">
        <v>6.3664692466317065</v>
      </c>
      <c r="AA574" s="1580">
        <v>0</v>
      </c>
      <c r="AB574" s="1580">
        <v>0</v>
      </c>
      <c r="AC574" s="1580">
        <v>0</v>
      </c>
      <c r="AD574" s="1580">
        <v>0</v>
      </c>
      <c r="AE574" s="1580">
        <v>20.227604619489384</v>
      </c>
      <c r="AF574" s="1580">
        <v>13.32354882821903</v>
      </c>
      <c r="AG574" s="1580">
        <v>0</v>
      </c>
      <c r="AH574" s="1580">
        <v>0</v>
      </c>
      <c r="AI574" s="1580">
        <v>0</v>
      </c>
      <c r="AJ574" s="1580">
        <v>0</v>
      </c>
      <c r="AK574" s="1580">
        <v>0</v>
      </c>
      <c r="AL574" s="1580">
        <v>0.98320044296776332</v>
      </c>
      <c r="AM574" s="1580"/>
      <c r="AN574" s="1580">
        <v>8.9480342251492706E-2</v>
      </c>
      <c r="AO574" s="1580">
        <v>0.36150609751533158</v>
      </c>
      <c r="AP574" s="1580">
        <v>1.9284341005043297</v>
      </c>
      <c r="AQ574" s="1580">
        <v>0</v>
      </c>
      <c r="AR574" s="1580">
        <v>0</v>
      </c>
      <c r="AS574" s="1580">
        <v>0</v>
      </c>
      <c r="AT574" s="1580">
        <v>0</v>
      </c>
      <c r="AU574" s="1580">
        <v>0</v>
      </c>
      <c r="AV574" s="1580">
        <v>0</v>
      </c>
      <c r="AW574" s="1580">
        <v>0</v>
      </c>
      <c r="AX574" s="1580">
        <v>0</v>
      </c>
      <c r="AY574" s="1580">
        <v>0</v>
      </c>
      <c r="AZ574" s="1580">
        <v>0</v>
      </c>
      <c r="BA574" s="1580"/>
      <c r="BB574" s="1580">
        <v>0</v>
      </c>
      <c r="BC574" s="1580">
        <v>0</v>
      </c>
      <c r="BD574" s="1580">
        <v>0</v>
      </c>
      <c r="BE574" s="1580">
        <v>0</v>
      </c>
      <c r="BF574" s="1580">
        <v>0</v>
      </c>
      <c r="BG574" s="1580">
        <v>1.4111105670445367</v>
      </c>
      <c r="BH574" s="1580">
        <v>0</v>
      </c>
      <c r="BI574" s="1580">
        <v>0</v>
      </c>
      <c r="BJ574" s="1580">
        <v>0</v>
      </c>
      <c r="BK574" s="1580">
        <v>0</v>
      </c>
      <c r="BL574" s="1580">
        <v>0</v>
      </c>
      <c r="BM574" s="1580"/>
      <c r="BN574" s="1580"/>
      <c r="BO574" s="1580"/>
      <c r="BP574" s="1580"/>
      <c r="BQ574" s="1580"/>
      <c r="BR574" s="1580">
        <v>5.030479999999999</v>
      </c>
      <c r="BS574" s="1580"/>
      <c r="BT574" s="1580"/>
      <c r="BU574" s="1580"/>
      <c r="BV574" s="1580">
        <v>14.734659395263566</v>
      </c>
      <c r="BW574" s="1580"/>
      <c r="BX574" s="1580"/>
      <c r="BY574" s="1580"/>
      <c r="BZ574" s="1580"/>
      <c r="CA574" s="1580"/>
      <c r="CB574" s="1580"/>
      <c r="CC574" s="1580"/>
      <c r="CD574" s="1580"/>
      <c r="CE574" s="1580"/>
      <c r="CF574" s="1580"/>
      <c r="CG574" s="1580"/>
      <c r="CH574" s="1580"/>
      <c r="CI574" s="1580">
        <v>35.466000000000008</v>
      </c>
      <c r="CJ574" s="1580">
        <v>-6.8212799999999945</v>
      </c>
      <c r="CK574" s="1580"/>
      <c r="CL574" s="1580"/>
      <c r="CM574" s="1580"/>
      <c r="CN574" s="1580"/>
      <c r="CO574" s="1580">
        <v>-6.7132000000000005</v>
      </c>
      <c r="CP574" s="1580">
        <v>0.60943999999999843</v>
      </c>
      <c r="CQ574" s="1580">
        <v>31</v>
      </c>
      <c r="CR574" s="1580">
        <v>0.14987615709841151</v>
      </c>
      <c r="CS574" s="1580">
        <v>2.6388430458425371E-2</v>
      </c>
      <c r="CT574" s="1580">
        <v>0.14076760946655686</v>
      </c>
      <c r="CU574" s="1580">
        <v>0</v>
      </c>
      <c r="CV574" s="1580">
        <v>0</v>
      </c>
      <c r="CW574" s="1580">
        <v>0</v>
      </c>
      <c r="CX574" s="1580">
        <v>0</v>
      </c>
      <c r="CY574" s="1580">
        <v>0</v>
      </c>
      <c r="CZ574" s="1580">
        <v>0</v>
      </c>
      <c r="DA574" s="1580">
        <v>0</v>
      </c>
      <c r="DB574" s="1580">
        <v>0</v>
      </c>
      <c r="DC574" s="1580">
        <v>0.60938116278468257</v>
      </c>
      <c r="DD574" s="1580">
        <v>0</v>
      </c>
      <c r="DE574" s="1580">
        <v>0</v>
      </c>
      <c r="DF574" s="1580">
        <v>0</v>
      </c>
      <c r="DG574" s="1580">
        <v>6.454017688905278E-2</v>
      </c>
      <c r="DH574" s="1580">
        <v>0</v>
      </c>
      <c r="DI574" s="1580">
        <v>-0.60221185464646965</v>
      </c>
      <c r="DJ574" s="1580"/>
      <c r="DK574" s="1580">
        <v>0</v>
      </c>
      <c r="DL574" s="1580">
        <v>0</v>
      </c>
      <c r="DM574" s="1580">
        <v>0</v>
      </c>
      <c r="DN574" s="1580">
        <v>0</v>
      </c>
      <c r="DO574" s="1580">
        <v>-7.8505193682330554E-2</v>
      </c>
      <c r="DP574" s="1580">
        <v>-1.0484174171503657E-2</v>
      </c>
      <c r="DQ574" s="1580">
        <v>0</v>
      </c>
      <c r="DR574" s="1580">
        <v>0</v>
      </c>
      <c r="DS574" s="1580"/>
      <c r="DT574" s="1580"/>
      <c r="DU574" s="1580"/>
      <c r="DV574" s="1580">
        <v>20.227604619489384</v>
      </c>
      <c r="DW574" s="1580">
        <v>0</v>
      </c>
      <c r="DX574" s="1580">
        <v>0</v>
      </c>
      <c r="DY574" s="1580">
        <v>-6.7132000000000005</v>
      </c>
      <c r="DZ574" s="1580">
        <v>0.60943999999999754</v>
      </c>
      <c r="EA574" s="1580">
        <v>0</v>
      </c>
      <c r="EB574" s="1580">
        <v>0</v>
      </c>
      <c r="EC574" s="1580">
        <v>-6.2543940571221217</v>
      </c>
      <c r="ED574" s="1580">
        <v>0</v>
      </c>
      <c r="EE574" s="1580">
        <v>0</v>
      </c>
      <c r="EF574" s="1580">
        <v>0</v>
      </c>
      <c r="EG574" s="1580">
        <v>0</v>
      </c>
      <c r="EH574" s="1580">
        <v>0</v>
      </c>
      <c r="EI574" s="1580">
        <v>0</v>
      </c>
      <c r="EJ574" s="1580">
        <v>0</v>
      </c>
      <c r="EK574" s="1580">
        <v>0</v>
      </c>
      <c r="EL574" s="1580">
        <v>0</v>
      </c>
      <c r="EM574" s="1580">
        <v>0</v>
      </c>
      <c r="EN574" s="1580">
        <v>0</v>
      </c>
      <c r="EO574" s="1580">
        <v>0</v>
      </c>
      <c r="EP574" s="1580">
        <v>3.3278455441646897</v>
      </c>
      <c r="EQ574" s="1580">
        <v>0</v>
      </c>
      <c r="ER574" s="1580">
        <v>0</v>
      </c>
      <c r="ES574" s="1580">
        <v>0</v>
      </c>
      <c r="ET574" s="1580">
        <v>0</v>
      </c>
      <c r="EU574" s="1580">
        <v>0</v>
      </c>
      <c r="EV574" s="1580">
        <v>230</v>
      </c>
      <c r="EW574" s="1580">
        <v>0</v>
      </c>
      <c r="EX574" s="1580">
        <v>0</v>
      </c>
      <c r="EY574" s="1580">
        <v>0</v>
      </c>
      <c r="EZ574" s="1580"/>
      <c r="FA574" s="1580">
        <v>0</v>
      </c>
      <c r="FB574" s="1580"/>
      <c r="FC574" s="1580"/>
      <c r="FD574" s="1580"/>
      <c r="FE574" s="1580"/>
      <c r="FF574" s="1580">
        <v>0</v>
      </c>
      <c r="FG574" s="1580">
        <v>0</v>
      </c>
      <c r="FH574" s="1580">
        <v>0</v>
      </c>
      <c r="FI574" s="1580">
        <v>0</v>
      </c>
    </row>
    <row r="575" spans="1:165">
      <c r="A575" s="1580">
        <v>573</v>
      </c>
      <c r="B575" s="1580" t="s">
        <v>2351</v>
      </c>
      <c r="C575" s="1580" t="s">
        <v>2328</v>
      </c>
      <c r="D575" s="1580" t="s">
        <v>2340</v>
      </c>
      <c r="E575" s="1580" t="s">
        <v>894</v>
      </c>
      <c r="F575" s="1580" t="s">
        <v>2350</v>
      </c>
      <c r="G575" s="1580" t="s">
        <v>2349</v>
      </c>
      <c r="H575" s="1580" t="s">
        <v>1239</v>
      </c>
      <c r="I575" s="1580" t="s">
        <v>1239</v>
      </c>
      <c r="J575" s="1580" t="s">
        <v>2329</v>
      </c>
      <c r="K575" s="1581">
        <v>44774</v>
      </c>
      <c r="L575" s="1580">
        <v>0</v>
      </c>
      <c r="M575" s="1580">
        <v>0</v>
      </c>
      <c r="N575" s="1580">
        <v>0.14799999999999999</v>
      </c>
      <c r="O575" s="1580">
        <v>5.9200000000000003E-2</v>
      </c>
      <c r="P575" s="1580">
        <v>0.14799999999999999</v>
      </c>
      <c r="Q575" s="1580">
        <v>5.9200000000000003E-2</v>
      </c>
      <c r="R575" s="1580"/>
      <c r="S575" s="1580">
        <v>333.61</v>
      </c>
      <c r="T575" s="1580">
        <v>128.11000000000001</v>
      </c>
      <c r="U575" s="1580"/>
      <c r="V575" s="1580">
        <v>68.334559999999996</v>
      </c>
      <c r="W575" s="1580">
        <v>68.334559999999996</v>
      </c>
      <c r="X575" s="1580">
        <v>59.648439999999994</v>
      </c>
      <c r="Y575" s="1580">
        <v>0</v>
      </c>
      <c r="Z575" s="1580">
        <v>9.0599754663605054</v>
      </c>
      <c r="AA575" s="1580">
        <v>0</v>
      </c>
      <c r="AB575" s="1580">
        <v>0</v>
      </c>
      <c r="AC575" s="1580">
        <v>0</v>
      </c>
      <c r="AD575" s="1580">
        <v>0</v>
      </c>
      <c r="AE575" s="1580">
        <v>28.785437343119508</v>
      </c>
      <c r="AF575" s="1580">
        <v>18.960434870927081</v>
      </c>
      <c r="AG575" s="1580">
        <v>0</v>
      </c>
      <c r="AH575" s="1580">
        <v>0</v>
      </c>
      <c r="AI575" s="1580">
        <v>0</v>
      </c>
      <c r="AJ575" s="1580">
        <v>0</v>
      </c>
      <c r="AK575" s="1580">
        <v>0</v>
      </c>
      <c r="AL575" s="1580">
        <v>1.3991698611464325</v>
      </c>
      <c r="AM575" s="1580"/>
      <c r="AN575" s="1580">
        <v>0.12733741012712424</v>
      </c>
      <c r="AO575" s="1580">
        <v>0.51445098492566421</v>
      </c>
      <c r="AP575" s="1580">
        <v>2.7443100661023152</v>
      </c>
      <c r="AQ575" s="1580">
        <v>0</v>
      </c>
      <c r="AR575" s="1580">
        <v>0</v>
      </c>
      <c r="AS575" s="1580">
        <v>0</v>
      </c>
      <c r="AT575" s="1580">
        <v>0</v>
      </c>
      <c r="AU575" s="1580">
        <v>0</v>
      </c>
      <c r="AV575" s="1580">
        <v>0</v>
      </c>
      <c r="AW575" s="1580">
        <v>0</v>
      </c>
      <c r="AX575" s="1580">
        <v>0</v>
      </c>
      <c r="AY575" s="1580">
        <v>0</v>
      </c>
      <c r="AZ575" s="1580">
        <v>0</v>
      </c>
      <c r="BA575" s="1580"/>
      <c r="BB575" s="1580">
        <v>0</v>
      </c>
      <c r="BC575" s="1580">
        <v>0</v>
      </c>
      <c r="BD575" s="1580">
        <v>0</v>
      </c>
      <c r="BE575" s="1580">
        <v>0</v>
      </c>
      <c r="BF575" s="1580">
        <v>0</v>
      </c>
      <c r="BG575" s="1580">
        <v>2.0081188838710715</v>
      </c>
      <c r="BH575" s="1580">
        <v>0</v>
      </c>
      <c r="BI575" s="1580">
        <v>0</v>
      </c>
      <c r="BJ575" s="1580">
        <v>0</v>
      </c>
      <c r="BK575" s="1580">
        <v>0</v>
      </c>
      <c r="BL575" s="1580">
        <v>0</v>
      </c>
      <c r="BM575" s="1580"/>
      <c r="BN575" s="1580"/>
      <c r="BO575" s="1580"/>
      <c r="BP575" s="1580"/>
      <c r="BQ575" s="1580"/>
      <c r="BR575" s="1580"/>
      <c r="BS575" s="1580">
        <v>38.652567999999995</v>
      </c>
      <c r="BT575" s="1580"/>
      <c r="BU575" s="1580"/>
      <c r="BV575" s="1580">
        <v>20.968553754798151</v>
      </c>
      <c r="BW575" s="1580"/>
      <c r="BX575" s="1580"/>
      <c r="BY575" s="1580"/>
      <c r="BZ575" s="1580"/>
      <c r="CA575" s="1580"/>
      <c r="CB575" s="1580"/>
      <c r="CC575" s="1580"/>
      <c r="CD575" s="1580"/>
      <c r="CE575" s="1580"/>
      <c r="CF575" s="1580"/>
      <c r="CG575" s="1580"/>
      <c r="CH575" s="1580"/>
      <c r="CI575" s="1580">
        <v>21.279600000000002</v>
      </c>
      <c r="CJ575" s="1580">
        <v>-2.8045440000000035</v>
      </c>
      <c r="CK575" s="1580"/>
      <c r="CL575" s="1580"/>
      <c r="CM575" s="1580"/>
      <c r="CN575" s="1580"/>
      <c r="CO575" s="1580">
        <v>-9.5534000000000017</v>
      </c>
      <c r="CP575" s="1580">
        <v>0.86727999999999772</v>
      </c>
      <c r="CQ575" s="1580">
        <v>31</v>
      </c>
      <c r="CR575" s="1580">
        <v>0.21328530048620564</v>
      </c>
      <c r="CS575" s="1580">
        <v>3.7552766421605321E-2</v>
      </c>
      <c r="CT575" s="1580">
        <v>0.20032313654856138</v>
      </c>
      <c r="CU575" s="1580">
        <v>0</v>
      </c>
      <c r="CV575" s="1580">
        <v>0</v>
      </c>
      <c r="CW575" s="1580">
        <v>0</v>
      </c>
      <c r="CX575" s="1580">
        <v>0</v>
      </c>
      <c r="CY575" s="1580">
        <v>0</v>
      </c>
      <c r="CZ575" s="1580">
        <v>0</v>
      </c>
      <c r="DA575" s="1580">
        <v>0</v>
      </c>
      <c r="DB575" s="1580">
        <v>0</v>
      </c>
      <c r="DC575" s="1580">
        <v>0.86719627011666489</v>
      </c>
      <c r="DD575" s="1580">
        <v>0</v>
      </c>
      <c r="DE575" s="1580">
        <v>0</v>
      </c>
      <c r="DF575" s="1580">
        <v>0</v>
      </c>
      <c r="DG575" s="1580">
        <v>9.1845636342113846E-2</v>
      </c>
      <c r="DH575" s="1580">
        <v>0</v>
      </c>
      <c r="DI575" s="1580">
        <v>-0.85699379315074431</v>
      </c>
      <c r="DJ575" s="1580"/>
      <c r="DK575" s="1580">
        <v>0</v>
      </c>
      <c r="DL575" s="1580">
        <v>0</v>
      </c>
      <c r="DM575" s="1580">
        <v>0</v>
      </c>
      <c r="DN575" s="1580">
        <v>0</v>
      </c>
      <c r="DO575" s="1580">
        <v>-0.11171892947100903</v>
      </c>
      <c r="DP575" s="1580">
        <v>-1.4919786320985978E-2</v>
      </c>
      <c r="DQ575" s="1580">
        <v>0</v>
      </c>
      <c r="DR575" s="1580">
        <v>0</v>
      </c>
      <c r="DS575" s="1580"/>
      <c r="DT575" s="1580"/>
      <c r="DU575" s="1580"/>
      <c r="DV575" s="1580">
        <v>28.785437343119508</v>
      </c>
      <c r="DW575" s="1580">
        <v>0</v>
      </c>
      <c r="DX575" s="1580">
        <v>0</v>
      </c>
      <c r="DY575" s="1580">
        <v>-9.5534000000000034</v>
      </c>
      <c r="DZ575" s="1580">
        <v>0.86727999999999739</v>
      </c>
      <c r="EA575" s="1580">
        <v>0</v>
      </c>
      <c r="EB575" s="1580">
        <v>0</v>
      </c>
      <c r="EC575" s="1580">
        <v>-8.9004838505199437</v>
      </c>
      <c r="ED575" s="1580">
        <v>0</v>
      </c>
      <c r="EE575" s="1580">
        <v>0</v>
      </c>
      <c r="EF575" s="1580">
        <v>0</v>
      </c>
      <c r="EG575" s="1580">
        <v>0</v>
      </c>
      <c r="EH575" s="1580">
        <v>0</v>
      </c>
      <c r="EI575" s="1580">
        <v>0</v>
      </c>
      <c r="EJ575" s="1580">
        <v>0</v>
      </c>
      <c r="EK575" s="1580">
        <v>0</v>
      </c>
      <c r="EL575" s="1580">
        <v>0</v>
      </c>
      <c r="EM575" s="1580">
        <v>0</v>
      </c>
      <c r="EN575" s="1580">
        <v>0</v>
      </c>
      <c r="EO575" s="1580">
        <v>0</v>
      </c>
      <c r="EP575" s="1580">
        <v>4.735780197465135</v>
      </c>
      <c r="EQ575" s="1580">
        <v>0</v>
      </c>
      <c r="ER575" s="1580">
        <v>0</v>
      </c>
      <c r="ES575" s="1580">
        <v>0</v>
      </c>
      <c r="ET575" s="1580">
        <v>0</v>
      </c>
      <c r="EU575" s="1580">
        <v>0</v>
      </c>
      <c r="EV575" s="1580">
        <v>230</v>
      </c>
      <c r="EW575" s="1580">
        <v>0</v>
      </c>
      <c r="EX575" s="1580">
        <v>0</v>
      </c>
      <c r="EY575" s="1580">
        <v>0</v>
      </c>
      <c r="EZ575" s="1580"/>
      <c r="FA575" s="1580">
        <v>0</v>
      </c>
      <c r="FB575" s="1580"/>
      <c r="FC575" s="1580"/>
      <c r="FD575" s="1580"/>
      <c r="FE575" s="1580"/>
      <c r="FF575" s="1580">
        <v>0</v>
      </c>
      <c r="FG575" s="1580">
        <v>0</v>
      </c>
      <c r="FH575" s="1580">
        <v>0</v>
      </c>
      <c r="FI575" s="1580">
        <v>0</v>
      </c>
    </row>
    <row r="576" spans="1:165">
      <c r="A576" s="1757"/>
      <c r="B576" s="1757"/>
      <c r="C576" s="1757"/>
      <c r="D576" s="1757"/>
      <c r="E576" s="1757"/>
      <c r="F576" s="1757"/>
      <c r="G576" s="1757"/>
      <c r="H576" s="1757"/>
      <c r="I576" s="1757"/>
      <c r="J576" s="1757"/>
      <c r="K576" s="1757"/>
      <c r="L576" s="1757"/>
      <c r="M576" s="1757"/>
      <c r="N576" s="1757"/>
      <c r="O576" s="1757"/>
      <c r="P576" s="1757"/>
      <c r="Q576" s="1757"/>
      <c r="R576" s="1757"/>
      <c r="S576" s="1757"/>
      <c r="T576" s="1757"/>
      <c r="U576" s="1757"/>
      <c r="V576" s="1757"/>
      <c r="W576" s="1757"/>
      <c r="X576" s="1757"/>
      <c r="Y576" s="1757"/>
      <c r="Z576" s="1757"/>
      <c r="AA576" s="1757"/>
      <c r="AB576" s="1757"/>
      <c r="AC576" s="1757"/>
      <c r="AD576" s="1757"/>
      <c r="AE576" s="1757"/>
      <c r="AF576" s="1757"/>
      <c r="AG576" s="1757"/>
      <c r="AH576" s="1757"/>
      <c r="AI576" s="1757"/>
      <c r="AJ576" s="1757"/>
      <c r="AK576" s="1757"/>
      <c r="AL576" s="1757"/>
      <c r="AM576" s="1757"/>
      <c r="AN576" s="1757"/>
      <c r="AO576" s="1757"/>
      <c r="AP576" s="1757"/>
      <c r="AQ576" s="1757"/>
      <c r="AR576" s="1757"/>
      <c r="AS576" s="1757"/>
      <c r="AT576" s="1757"/>
      <c r="AU576" s="1757"/>
      <c r="AV576" s="1757"/>
      <c r="AW576" s="1757"/>
      <c r="AX576" s="1757"/>
      <c r="AY576" s="1757"/>
      <c r="AZ576" s="1757"/>
      <c r="BA576" s="1757"/>
      <c r="BB576" s="1757"/>
      <c r="BC576" s="1757"/>
      <c r="BD576" s="1757"/>
      <c r="BE576" s="1757"/>
      <c r="BF576" s="1757"/>
      <c r="BG576" s="1757"/>
      <c r="BH576" s="1757"/>
      <c r="BI576" s="1757"/>
      <c r="BJ576" s="1757"/>
      <c r="BK576" s="1757"/>
      <c r="BL576" s="1757"/>
      <c r="BM576" s="1757"/>
      <c r="BN576" s="1757"/>
      <c r="BO576" s="1757"/>
      <c r="BP576" s="1757"/>
      <c r="BQ576" s="1757"/>
      <c r="BR576" s="1757"/>
      <c r="BS576" s="1757"/>
      <c r="BT576" s="1757"/>
      <c r="BU576" s="1757"/>
      <c r="BV576" s="1757"/>
      <c r="BW576" s="1757"/>
      <c r="BX576" s="1757"/>
      <c r="BY576" s="1757"/>
      <c r="BZ576" s="1757"/>
      <c r="CA576" s="1757"/>
      <c r="CB576" s="1757"/>
      <c r="CC576" s="1757"/>
      <c r="CD576" s="1757"/>
      <c r="CE576" s="1757"/>
      <c r="CF576" s="1757"/>
      <c r="CG576" s="1757"/>
      <c r="CH576" s="1757"/>
      <c r="CI576" s="1757"/>
      <c r="CJ576" s="1757"/>
      <c r="CK576" s="1757"/>
      <c r="CL576" s="1757"/>
      <c r="CM576" s="1757"/>
      <c r="CN576" s="1757"/>
      <c r="CO576" s="1757"/>
      <c r="CP576" s="1757"/>
      <c r="CQ576" s="1757"/>
      <c r="CR576" s="1757"/>
      <c r="CS576" s="1757"/>
      <c r="CT576" s="1757"/>
      <c r="CU576" s="1757"/>
      <c r="CV576" s="1757"/>
      <c r="CW576" s="1757"/>
      <c r="CX576" s="1757"/>
      <c r="CY576" s="1757"/>
      <c r="CZ576" s="1757"/>
      <c r="DA576" s="1757"/>
      <c r="DB576" s="1757"/>
      <c r="DC576" s="1757"/>
      <c r="DD576" s="1757"/>
      <c r="DE576" s="1757"/>
      <c r="DF576" s="1757"/>
      <c r="DG576" s="1757"/>
      <c r="DH576" s="1757"/>
      <c r="DI576" s="1757"/>
      <c r="DJ576" s="1757"/>
      <c r="DK576" s="1757"/>
      <c r="DL576" s="1757"/>
      <c r="DM576" s="1757"/>
      <c r="DN576" s="1757"/>
      <c r="DO576" s="1757"/>
      <c r="DP576" s="1757"/>
      <c r="DQ576" s="1757"/>
      <c r="DR576" s="1757"/>
      <c r="DS576" s="1757"/>
      <c r="DT576" s="1757"/>
      <c r="DU576" s="1757"/>
      <c r="DV576" s="1757"/>
      <c r="DW576" s="1757"/>
      <c r="DX576" s="1757"/>
      <c r="DY576" s="1757"/>
      <c r="DZ576" s="1757"/>
      <c r="EA576" s="1757"/>
      <c r="EB576" s="1757"/>
      <c r="EC576" s="1757"/>
      <c r="ED576" s="1757"/>
      <c r="EE576" s="1757"/>
      <c r="EF576" s="1757"/>
      <c r="EG576" s="1757"/>
      <c r="EH576" s="1757"/>
      <c r="EI576" s="1757"/>
      <c r="EJ576" s="1757"/>
      <c r="EK576" s="1757"/>
      <c r="EL576" s="1757"/>
      <c r="EM576" s="1757"/>
      <c r="EN576" s="1757"/>
      <c r="EO576" s="1757"/>
      <c r="EP576" s="1757"/>
      <c r="EQ576" s="1757"/>
      <c r="ER576" s="1757"/>
      <c r="ES576" s="1757"/>
      <c r="ET576" s="1757"/>
      <c r="EU576" s="1757"/>
      <c r="EV576" s="1757"/>
      <c r="EW576" s="1757"/>
      <c r="EX576" s="1757"/>
      <c r="EY576" s="1757"/>
      <c r="EZ576" s="1757"/>
      <c r="FA576" s="1757"/>
      <c r="FB576" s="1757"/>
      <c r="FC576" s="1757"/>
      <c r="FD576" s="1757"/>
      <c r="FE576" s="1757"/>
      <c r="FF576" s="1757"/>
      <c r="FG576" s="1757"/>
      <c r="FH576" s="1757"/>
      <c r="FI576" s="1757"/>
    </row>
    <row r="577" spans="1:165">
      <c r="A577" s="1757"/>
      <c r="B577" s="1757"/>
      <c r="C577" s="1757"/>
      <c r="D577" s="1757"/>
      <c r="E577" s="1757"/>
      <c r="F577" s="1757"/>
      <c r="G577" s="1757"/>
      <c r="H577" s="1757"/>
      <c r="I577" s="1757"/>
      <c r="J577" s="1757"/>
      <c r="K577" s="1757"/>
      <c r="L577" s="1757"/>
      <c r="M577" s="1757"/>
      <c r="N577" s="1757"/>
      <c r="O577" s="1757"/>
      <c r="P577" s="1757"/>
      <c r="Q577" s="1757"/>
      <c r="R577" s="1757"/>
      <c r="S577" s="1757"/>
      <c r="T577" s="1757"/>
      <c r="U577" s="1757"/>
      <c r="V577" s="1757"/>
      <c r="W577" s="1757"/>
      <c r="X577" s="1757"/>
      <c r="Y577" s="1757"/>
      <c r="Z577" s="1757"/>
      <c r="AA577" s="1757"/>
      <c r="AB577" s="1757"/>
      <c r="AC577" s="1757"/>
      <c r="AD577" s="1757"/>
      <c r="AE577" s="1757"/>
      <c r="AF577" s="1757"/>
      <c r="AG577" s="1757"/>
      <c r="AH577" s="1757"/>
      <c r="AI577" s="1757"/>
      <c r="AJ577" s="1757"/>
      <c r="AK577" s="1757"/>
      <c r="AL577" s="1757"/>
      <c r="AM577" s="1757"/>
      <c r="AN577" s="1757"/>
      <c r="AO577" s="1757"/>
      <c r="AP577" s="1757"/>
      <c r="AQ577" s="1757"/>
      <c r="AR577" s="1757"/>
      <c r="AS577" s="1757"/>
      <c r="AT577" s="1757"/>
      <c r="AU577" s="1757"/>
      <c r="AV577" s="1757"/>
      <c r="AW577" s="1757"/>
      <c r="AX577" s="1757"/>
      <c r="AY577" s="1757"/>
      <c r="AZ577" s="1757"/>
      <c r="BA577" s="1757"/>
      <c r="BB577" s="1757"/>
      <c r="BC577" s="1757"/>
      <c r="BD577" s="1757"/>
      <c r="BE577" s="1757"/>
      <c r="BF577" s="1757"/>
      <c r="BG577" s="1757"/>
      <c r="BH577" s="1757"/>
      <c r="BI577" s="1757"/>
      <c r="BJ577" s="1757"/>
      <c r="BK577" s="1757"/>
      <c r="BL577" s="1757"/>
      <c r="BM577" s="1757"/>
      <c r="BN577" s="1757"/>
      <c r="BO577" s="1757"/>
      <c r="BP577" s="1757"/>
      <c r="BQ577" s="1757"/>
      <c r="BR577" s="1757"/>
      <c r="BS577" s="1757"/>
      <c r="BT577" s="1757"/>
      <c r="BU577" s="1757"/>
      <c r="BV577" s="1757"/>
      <c r="BW577" s="1757"/>
      <c r="BX577" s="1757"/>
      <c r="BY577" s="1757"/>
      <c r="BZ577" s="1757"/>
      <c r="CA577" s="1757"/>
      <c r="CB577" s="1757"/>
      <c r="CC577" s="1757"/>
      <c r="CD577" s="1757"/>
      <c r="CE577" s="1757"/>
      <c r="CF577" s="1757"/>
      <c r="CG577" s="1757"/>
      <c r="CH577" s="1757"/>
      <c r="CI577" s="1757"/>
      <c r="CJ577" s="1757"/>
      <c r="CK577" s="1757"/>
      <c r="CL577" s="1757"/>
      <c r="CM577" s="1757"/>
      <c r="CN577" s="1757"/>
      <c r="CO577" s="1757"/>
      <c r="CP577" s="1757"/>
      <c r="CQ577" s="1757"/>
      <c r="CR577" s="1757"/>
      <c r="CS577" s="1757"/>
      <c r="CT577" s="1757"/>
      <c r="CU577" s="1757"/>
      <c r="CV577" s="1757"/>
      <c r="CW577" s="1757"/>
      <c r="CX577" s="1757"/>
      <c r="CY577" s="1757"/>
      <c r="CZ577" s="1757"/>
      <c r="DA577" s="1757"/>
      <c r="DB577" s="1757"/>
      <c r="DC577" s="1757"/>
      <c r="DD577" s="1757"/>
      <c r="DE577" s="1757"/>
      <c r="DF577" s="1757"/>
      <c r="DG577" s="1757"/>
      <c r="DH577" s="1757"/>
      <c r="DI577" s="1757"/>
      <c r="DJ577" s="1757"/>
      <c r="DK577" s="1757"/>
      <c r="DL577" s="1757"/>
      <c r="DM577" s="1757"/>
      <c r="DN577" s="1757"/>
      <c r="DO577" s="1757"/>
      <c r="DP577" s="1757"/>
      <c r="DQ577" s="1757"/>
      <c r="DR577" s="1757"/>
      <c r="DS577" s="1757"/>
      <c r="DT577" s="1757"/>
      <c r="DU577" s="1757"/>
      <c r="DV577" s="1757"/>
      <c r="DW577" s="1757"/>
      <c r="DX577" s="1757"/>
      <c r="DY577" s="1757"/>
      <c r="DZ577" s="1757"/>
      <c r="EA577" s="1757"/>
      <c r="EB577" s="1757"/>
      <c r="EC577" s="1757"/>
      <c r="ED577" s="1757"/>
      <c r="EE577" s="1757"/>
      <c r="EF577" s="1757"/>
      <c r="EG577" s="1757"/>
      <c r="EH577" s="1757"/>
      <c r="EI577" s="1757"/>
      <c r="EJ577" s="1757"/>
      <c r="EK577" s="1757"/>
      <c r="EL577" s="1757"/>
      <c r="EM577" s="1757"/>
      <c r="EN577" s="1757"/>
      <c r="EO577" s="1757"/>
      <c r="EP577" s="1757"/>
      <c r="EQ577" s="1757"/>
      <c r="ER577" s="1757"/>
      <c r="ES577" s="1757"/>
      <c r="ET577" s="1757"/>
      <c r="EU577" s="1757"/>
      <c r="EV577" s="1757"/>
      <c r="EW577" s="1757"/>
      <c r="EX577" s="1757"/>
      <c r="EY577" s="1757"/>
      <c r="EZ577" s="1757"/>
      <c r="FA577" s="1757"/>
      <c r="FB577" s="1757"/>
      <c r="FC577" s="1757"/>
      <c r="FD577" s="1757"/>
      <c r="FE577" s="1757"/>
      <c r="FF577" s="1757"/>
      <c r="FG577" s="1757"/>
      <c r="FH577" s="1757"/>
      <c r="FI577" s="1757"/>
    </row>
    <row r="578" spans="1:165">
      <c r="A578" s="1757"/>
      <c r="B578" s="1757"/>
      <c r="C578" s="1757"/>
      <c r="D578" s="1757"/>
      <c r="E578" s="1757"/>
      <c r="F578" s="1757"/>
      <c r="G578" s="1757"/>
      <c r="H578" s="1757"/>
      <c r="I578" s="1757"/>
      <c r="J578" s="1757"/>
      <c r="K578" s="1757"/>
      <c r="L578" s="1757"/>
      <c r="M578" s="1757"/>
      <c r="N578" s="1757"/>
      <c r="O578" s="1757"/>
      <c r="P578" s="1757"/>
      <c r="Q578" s="1757"/>
      <c r="R578" s="1757"/>
      <c r="S578" s="1757"/>
      <c r="T578" s="1757"/>
      <c r="U578" s="1757"/>
      <c r="V578" s="1757"/>
      <c r="W578" s="1757"/>
      <c r="X578" s="1757"/>
      <c r="Y578" s="1757"/>
      <c r="Z578" s="1757"/>
      <c r="AA578" s="1757"/>
      <c r="AB578" s="1757"/>
      <c r="AC578" s="1757"/>
      <c r="AD578" s="1757"/>
      <c r="AE578" s="1757"/>
      <c r="AF578" s="1757"/>
      <c r="AG578" s="1757"/>
      <c r="AH578" s="1757"/>
      <c r="AI578" s="1757"/>
      <c r="AJ578" s="1757"/>
      <c r="AK578" s="1757"/>
      <c r="AL578" s="1757"/>
      <c r="AM578" s="1757"/>
      <c r="AN578" s="1757"/>
      <c r="AO578" s="1757"/>
      <c r="AP578" s="1757"/>
      <c r="AQ578" s="1757"/>
      <c r="AR578" s="1757"/>
      <c r="AS578" s="1757"/>
      <c r="AT578" s="1757"/>
      <c r="AU578" s="1757"/>
      <c r="AV578" s="1757"/>
      <c r="AW578" s="1757"/>
      <c r="AX578" s="1757"/>
      <c r="AY578" s="1757"/>
      <c r="AZ578" s="1757"/>
      <c r="BA578" s="1757"/>
      <c r="BB578" s="1757"/>
      <c r="BC578" s="1757"/>
      <c r="BD578" s="1757"/>
      <c r="BE578" s="1757"/>
      <c r="BF578" s="1757"/>
      <c r="BG578" s="1757"/>
      <c r="BH578" s="1757"/>
      <c r="BI578" s="1757"/>
      <c r="BJ578" s="1757"/>
      <c r="BK578" s="1757"/>
      <c r="BL578" s="1757"/>
      <c r="BM578" s="1757"/>
      <c r="BN578" s="1757"/>
      <c r="BO578" s="1757"/>
      <c r="BP578" s="1757"/>
      <c r="BQ578" s="1757"/>
      <c r="BR578" s="1757"/>
      <c r="BS578" s="1757"/>
      <c r="BT578" s="1757"/>
      <c r="BU578" s="1757"/>
      <c r="BV578" s="1757"/>
      <c r="BW578" s="1757"/>
      <c r="BX578" s="1757"/>
      <c r="BY578" s="1757"/>
      <c r="BZ578" s="1757"/>
      <c r="CA578" s="1757"/>
      <c r="CB578" s="1757"/>
      <c r="CC578" s="1757"/>
      <c r="CD578" s="1757"/>
      <c r="CE578" s="1757"/>
      <c r="CF578" s="1757"/>
      <c r="CG578" s="1757"/>
      <c r="CH578" s="1757"/>
      <c r="CI578" s="1757"/>
      <c r="CJ578" s="1757"/>
      <c r="CK578" s="1757"/>
      <c r="CL578" s="1757"/>
      <c r="CM578" s="1757"/>
      <c r="CN578" s="1757"/>
      <c r="CO578" s="1757"/>
      <c r="CP578" s="1757"/>
      <c r="CQ578" s="1757"/>
      <c r="CR578" s="1757"/>
      <c r="CS578" s="1757"/>
      <c r="CT578" s="1757"/>
      <c r="CU578" s="1757"/>
      <c r="CV578" s="1757"/>
      <c r="CW578" s="1757"/>
      <c r="CX578" s="1757"/>
      <c r="CY578" s="1757"/>
      <c r="CZ578" s="1757"/>
      <c r="DA578" s="1757"/>
      <c r="DB578" s="1757"/>
      <c r="DC578" s="1757"/>
      <c r="DD578" s="1757"/>
      <c r="DE578" s="1757"/>
      <c r="DF578" s="1757"/>
      <c r="DG578" s="1757"/>
      <c r="DH578" s="1757"/>
      <c r="DI578" s="1757"/>
      <c r="DJ578" s="1757"/>
      <c r="DK578" s="1757"/>
      <c r="DL578" s="1757"/>
      <c r="DM578" s="1757"/>
      <c r="DN578" s="1757"/>
      <c r="DO578" s="1757"/>
      <c r="DP578" s="1757"/>
      <c r="DQ578" s="1757"/>
      <c r="DR578" s="1757"/>
      <c r="DS578" s="1757"/>
      <c r="DT578" s="1757"/>
      <c r="DU578" s="1757"/>
      <c r="DV578" s="1757"/>
      <c r="DW578" s="1757"/>
      <c r="DX578" s="1757"/>
      <c r="DY578" s="1757"/>
      <c r="DZ578" s="1757"/>
      <c r="EA578" s="1757"/>
      <c r="EB578" s="1757"/>
      <c r="EC578" s="1757"/>
      <c r="ED578" s="1757"/>
      <c r="EE578" s="1757"/>
      <c r="EF578" s="1757"/>
      <c r="EG578" s="1757"/>
      <c r="EH578" s="1757"/>
      <c r="EI578" s="1757"/>
      <c r="EJ578" s="1757"/>
      <c r="EK578" s="1757"/>
      <c r="EL578" s="1757"/>
      <c r="EM578" s="1757"/>
      <c r="EN578" s="1757"/>
      <c r="EO578" s="1757"/>
      <c r="EP578" s="1757"/>
      <c r="EQ578" s="1757"/>
      <c r="ER578" s="1757"/>
      <c r="ES578" s="1757"/>
      <c r="ET578" s="1757"/>
      <c r="EU578" s="1757"/>
      <c r="EV578" s="1757"/>
      <c r="EW578" s="1757"/>
      <c r="EX578" s="1757"/>
      <c r="EY578" s="1757"/>
      <c r="EZ578" s="1757"/>
      <c r="FA578" s="1757"/>
      <c r="FB578" s="1757"/>
      <c r="FC578" s="1757"/>
      <c r="FD578" s="1757"/>
      <c r="FE578" s="1757"/>
      <c r="FF578" s="1757"/>
      <c r="FG578" s="1757"/>
      <c r="FH578" s="1757"/>
      <c r="FI578" s="1757"/>
    </row>
    <row r="579" spans="1:165">
      <c r="A579" s="1757"/>
      <c r="B579" s="1757"/>
      <c r="C579" s="1757"/>
      <c r="D579" s="1757"/>
      <c r="E579" s="1757"/>
      <c r="F579" s="1757"/>
      <c r="G579" s="1757"/>
      <c r="H579" s="1757"/>
      <c r="I579" s="1757"/>
      <c r="J579" s="1757"/>
      <c r="K579" s="1757"/>
      <c r="L579" s="1757"/>
      <c r="M579" s="1757"/>
      <c r="N579" s="1757"/>
      <c r="O579" s="1757"/>
      <c r="P579" s="1757"/>
      <c r="Q579" s="1757"/>
      <c r="R579" s="1757"/>
      <c r="S579" s="1757"/>
      <c r="T579" s="1757"/>
      <c r="U579" s="1757"/>
      <c r="V579" s="1757"/>
      <c r="W579" s="1757"/>
      <c r="X579" s="1757"/>
      <c r="Y579" s="1757"/>
      <c r="Z579" s="1757"/>
      <c r="AA579" s="1757"/>
      <c r="AB579" s="1757"/>
      <c r="AC579" s="1757"/>
      <c r="AD579" s="1757"/>
      <c r="AE579" s="1757"/>
      <c r="AF579" s="1757"/>
      <c r="AG579" s="1757"/>
      <c r="AH579" s="1757"/>
      <c r="AI579" s="1757"/>
      <c r="AJ579" s="1757"/>
      <c r="AK579" s="1757"/>
      <c r="AL579" s="1757"/>
      <c r="AM579" s="1757"/>
      <c r="AN579" s="1757"/>
      <c r="AO579" s="1757"/>
      <c r="AP579" s="1757"/>
      <c r="AQ579" s="1757"/>
      <c r="AR579" s="1757"/>
      <c r="AS579" s="1757"/>
      <c r="AT579" s="1757"/>
      <c r="AU579" s="1757"/>
      <c r="AV579" s="1757"/>
      <c r="AW579" s="1757"/>
      <c r="AX579" s="1757"/>
      <c r="AY579" s="1757"/>
      <c r="AZ579" s="1757"/>
      <c r="BA579" s="1757"/>
      <c r="BB579" s="1757"/>
      <c r="BC579" s="1757"/>
      <c r="BD579" s="1757"/>
      <c r="BE579" s="1757"/>
      <c r="BF579" s="1757"/>
      <c r="BG579" s="1757"/>
      <c r="BH579" s="1757"/>
      <c r="BI579" s="1757"/>
      <c r="BJ579" s="1757"/>
      <c r="BK579" s="1757"/>
      <c r="BL579" s="1757"/>
      <c r="BM579" s="1757"/>
      <c r="BN579" s="1757"/>
      <c r="BO579" s="1757"/>
      <c r="BP579" s="1757"/>
      <c r="BQ579" s="1757"/>
      <c r="BR579" s="1757"/>
      <c r="BS579" s="1757"/>
      <c r="BT579" s="1757"/>
      <c r="BU579" s="1757"/>
      <c r="BV579" s="1757"/>
      <c r="BW579" s="1757"/>
      <c r="BX579" s="1757"/>
      <c r="BY579" s="1757"/>
      <c r="BZ579" s="1757"/>
      <c r="CA579" s="1757"/>
      <c r="CB579" s="1757"/>
      <c r="CC579" s="1757"/>
      <c r="CD579" s="1757"/>
      <c r="CE579" s="1757"/>
      <c r="CF579" s="1757"/>
      <c r="CG579" s="1757"/>
      <c r="CH579" s="1757"/>
      <c r="CI579" s="1757"/>
      <c r="CJ579" s="1757"/>
      <c r="CK579" s="1757"/>
      <c r="CL579" s="1757"/>
      <c r="CM579" s="1757"/>
      <c r="CN579" s="1757"/>
      <c r="CO579" s="1757"/>
      <c r="CP579" s="1757"/>
      <c r="CQ579" s="1757"/>
      <c r="CR579" s="1757"/>
      <c r="CS579" s="1757"/>
      <c r="CT579" s="1757"/>
      <c r="CU579" s="1757"/>
      <c r="CV579" s="1757"/>
      <c r="CW579" s="1757"/>
      <c r="CX579" s="1757"/>
      <c r="CY579" s="1757"/>
      <c r="CZ579" s="1757"/>
      <c r="DA579" s="1757"/>
      <c r="DB579" s="1757"/>
      <c r="DC579" s="1757"/>
      <c r="DD579" s="1757"/>
      <c r="DE579" s="1757"/>
      <c r="DF579" s="1757"/>
      <c r="DG579" s="1757"/>
      <c r="DH579" s="1757"/>
      <c r="DI579" s="1757"/>
      <c r="DJ579" s="1757"/>
      <c r="DK579" s="1757"/>
      <c r="DL579" s="1757"/>
      <c r="DM579" s="1757"/>
      <c r="DN579" s="1757"/>
      <c r="DO579" s="1757"/>
      <c r="DP579" s="1757"/>
      <c r="DQ579" s="1757"/>
      <c r="DR579" s="1757"/>
      <c r="DS579" s="1757"/>
      <c r="DT579" s="1757"/>
      <c r="DU579" s="1757"/>
      <c r="DV579" s="1757"/>
      <c r="DW579" s="1757"/>
      <c r="DX579" s="1757"/>
      <c r="DY579" s="1757"/>
      <c r="DZ579" s="1757"/>
      <c r="EA579" s="1757"/>
      <c r="EB579" s="1757"/>
      <c r="EC579" s="1757"/>
      <c r="ED579" s="1757"/>
      <c r="EE579" s="1757"/>
      <c r="EF579" s="1757"/>
      <c r="EG579" s="1757"/>
      <c r="EH579" s="1757"/>
      <c r="EI579" s="1757"/>
      <c r="EJ579" s="1757"/>
      <c r="EK579" s="1757"/>
      <c r="EL579" s="1757"/>
      <c r="EM579" s="1757"/>
      <c r="EN579" s="1757"/>
      <c r="EO579" s="1757"/>
      <c r="EP579" s="1757"/>
      <c r="EQ579" s="1757"/>
      <c r="ER579" s="1757"/>
      <c r="ES579" s="1757"/>
      <c r="ET579" s="1757"/>
      <c r="EU579" s="1757"/>
      <c r="EV579" s="1757"/>
      <c r="EW579" s="1757"/>
      <c r="EX579" s="1757"/>
      <c r="EY579" s="1757"/>
      <c r="EZ579" s="1757"/>
      <c r="FA579" s="1757"/>
      <c r="FB579" s="1757"/>
      <c r="FC579" s="1757"/>
      <c r="FD579" s="1757"/>
      <c r="FE579" s="1757"/>
      <c r="FF579" s="1757"/>
      <c r="FG579" s="1757"/>
      <c r="FH579" s="1757"/>
      <c r="FI579" s="1757"/>
    </row>
    <row r="580" spans="1:165">
      <c r="A580" s="1757"/>
      <c r="B580" s="1757"/>
      <c r="C580" s="1757"/>
      <c r="D580" s="1757"/>
      <c r="E580" s="1757"/>
      <c r="F580" s="1757"/>
      <c r="G580" s="1757"/>
      <c r="H580" s="1757"/>
      <c r="I580" s="1757"/>
      <c r="J580" s="1757"/>
      <c r="K580" s="1757"/>
      <c r="L580" s="1757"/>
      <c r="M580" s="1757"/>
      <c r="N580" s="1757"/>
      <c r="O580" s="1757"/>
      <c r="P580" s="1757"/>
      <c r="Q580" s="1757"/>
      <c r="R580" s="1757"/>
      <c r="S580" s="1757"/>
      <c r="T580" s="1757"/>
      <c r="U580" s="1757"/>
      <c r="V580" s="1757"/>
      <c r="W580" s="1757"/>
      <c r="X580" s="1757"/>
      <c r="Y580" s="1757"/>
      <c r="Z580" s="1757"/>
      <c r="AA580" s="1757"/>
      <c r="AB580" s="1757"/>
      <c r="AC580" s="1757"/>
      <c r="AD580" s="1757"/>
      <c r="AE580" s="1757"/>
      <c r="AF580" s="1757"/>
      <c r="AG580" s="1757"/>
      <c r="AH580" s="1757"/>
      <c r="AI580" s="1757"/>
      <c r="AJ580" s="1757"/>
      <c r="AK580" s="1757"/>
      <c r="AL580" s="1757"/>
      <c r="AM580" s="1757"/>
      <c r="AN580" s="1757"/>
      <c r="AO580" s="1757"/>
      <c r="AP580" s="1757"/>
      <c r="AQ580" s="1757"/>
      <c r="AR580" s="1757"/>
      <c r="AS580" s="1757"/>
      <c r="AT580" s="1757"/>
      <c r="AU580" s="1757"/>
      <c r="AV580" s="1757"/>
      <c r="AW580" s="1757"/>
      <c r="AX580" s="1757"/>
      <c r="AY580" s="1757"/>
      <c r="AZ580" s="1757"/>
      <c r="BA580" s="1757"/>
      <c r="BB580" s="1757"/>
      <c r="BC580" s="1757"/>
      <c r="BD580" s="1757"/>
      <c r="BE580" s="1757"/>
      <c r="BF580" s="1757"/>
      <c r="BG580" s="1757"/>
      <c r="BH580" s="1757"/>
      <c r="BI580" s="1757"/>
      <c r="BJ580" s="1757"/>
      <c r="BK580" s="1757"/>
      <c r="BL580" s="1757"/>
      <c r="BM580" s="1757"/>
      <c r="BN580" s="1757"/>
      <c r="BO580" s="1757"/>
      <c r="BP580" s="1757"/>
      <c r="BQ580" s="1757"/>
      <c r="BR580" s="1757"/>
      <c r="BS580" s="1757"/>
      <c r="BT580" s="1757"/>
      <c r="BU580" s="1757"/>
      <c r="BV580" s="1757"/>
      <c r="BW580" s="1757"/>
      <c r="BX580" s="1757"/>
      <c r="BY580" s="1757"/>
      <c r="BZ580" s="1757"/>
      <c r="CA580" s="1757"/>
      <c r="CB580" s="1757"/>
      <c r="CC580" s="1757"/>
      <c r="CD580" s="1757"/>
      <c r="CE580" s="1757"/>
      <c r="CF580" s="1757"/>
      <c r="CG580" s="1757"/>
      <c r="CH580" s="1757"/>
      <c r="CI580" s="1757"/>
      <c r="CJ580" s="1757"/>
      <c r="CK580" s="1757"/>
      <c r="CL580" s="1757"/>
      <c r="CM580" s="1757"/>
      <c r="CN580" s="1757"/>
      <c r="CO580" s="1757"/>
      <c r="CP580" s="1757"/>
      <c r="CQ580" s="1757"/>
      <c r="CR580" s="1757"/>
      <c r="CS580" s="1757"/>
      <c r="CT580" s="1757"/>
      <c r="CU580" s="1757"/>
      <c r="CV580" s="1757"/>
      <c r="CW580" s="1757"/>
      <c r="CX580" s="1757"/>
      <c r="CY580" s="1757"/>
      <c r="CZ580" s="1757"/>
      <c r="DA580" s="1757"/>
      <c r="DB580" s="1757"/>
      <c r="DC580" s="1757"/>
      <c r="DD580" s="1757"/>
      <c r="DE580" s="1757"/>
      <c r="DF580" s="1757"/>
      <c r="DG580" s="1757"/>
      <c r="DH580" s="1757"/>
      <c r="DI580" s="1757"/>
      <c r="DJ580" s="1757"/>
      <c r="DK580" s="1757"/>
      <c r="DL580" s="1757"/>
      <c r="DM580" s="1757"/>
      <c r="DN580" s="1757"/>
      <c r="DO580" s="1757"/>
      <c r="DP580" s="1757"/>
      <c r="DQ580" s="1757"/>
      <c r="DR580" s="1757"/>
      <c r="DS580" s="1757"/>
      <c r="DT580" s="1757"/>
      <c r="DU580" s="1757"/>
      <c r="DV580" s="1757"/>
      <c r="DW580" s="1757"/>
      <c r="DX580" s="1757"/>
      <c r="DY580" s="1757"/>
      <c r="DZ580" s="1757"/>
      <c r="EA580" s="1757"/>
      <c r="EB580" s="1757"/>
      <c r="EC580" s="1757"/>
      <c r="ED580" s="1757"/>
      <c r="EE580" s="1757"/>
      <c r="EF580" s="1757"/>
      <c r="EG580" s="1757"/>
      <c r="EH580" s="1757"/>
      <c r="EI580" s="1757"/>
      <c r="EJ580" s="1757"/>
      <c r="EK580" s="1757"/>
      <c r="EL580" s="1757"/>
      <c r="EM580" s="1757"/>
      <c r="EN580" s="1757"/>
      <c r="EO580" s="1757"/>
      <c r="EP580" s="1757"/>
      <c r="EQ580" s="1757"/>
      <c r="ER580" s="1757"/>
      <c r="ES580" s="1757"/>
      <c r="ET580" s="1757"/>
      <c r="EU580" s="1757"/>
      <c r="EV580" s="1757"/>
      <c r="EW580" s="1757"/>
      <c r="EX580" s="1757"/>
      <c r="EY580" s="1757"/>
      <c r="EZ580" s="1757"/>
      <c r="FA580" s="1757"/>
      <c r="FB580" s="1757"/>
      <c r="FC580" s="1757"/>
      <c r="FD580" s="1757"/>
      <c r="FE580" s="1757"/>
      <c r="FF580" s="1757"/>
      <c r="FG580" s="1757"/>
      <c r="FH580" s="1757"/>
      <c r="FI580" s="1757"/>
    </row>
    <row r="581" spans="1:165">
      <c r="A581" s="1757"/>
      <c r="B581" s="1757"/>
      <c r="C581" s="1757"/>
      <c r="D581" s="1757"/>
      <c r="E581" s="1757"/>
      <c r="F581" s="1757"/>
      <c r="G581" s="1757"/>
      <c r="H581" s="1757"/>
      <c r="I581" s="1757"/>
      <c r="J581" s="1757"/>
      <c r="K581" s="1757"/>
      <c r="L581" s="1757"/>
      <c r="M581" s="1757"/>
      <c r="N581" s="1757"/>
      <c r="O581" s="1757"/>
      <c r="P581" s="1757"/>
      <c r="Q581" s="1757"/>
      <c r="R581" s="1757"/>
      <c r="S581" s="1757"/>
      <c r="T581" s="1757"/>
      <c r="U581" s="1757"/>
      <c r="V581" s="1757"/>
      <c r="W581" s="1757"/>
      <c r="X581" s="1757"/>
      <c r="Y581" s="1757"/>
      <c r="Z581" s="1757"/>
      <c r="AA581" s="1757"/>
      <c r="AB581" s="1757"/>
      <c r="AC581" s="1757"/>
      <c r="AD581" s="1757"/>
      <c r="AE581" s="1757"/>
      <c r="AF581" s="1757"/>
      <c r="AG581" s="1757"/>
      <c r="AH581" s="1757"/>
      <c r="AI581" s="1757"/>
      <c r="AJ581" s="1757"/>
      <c r="AK581" s="1757"/>
      <c r="AL581" s="1757"/>
      <c r="AM581" s="1757"/>
      <c r="AN581" s="1757"/>
      <c r="AO581" s="1757"/>
      <c r="AP581" s="1757"/>
      <c r="AQ581" s="1757"/>
      <c r="AR581" s="1757"/>
      <c r="AS581" s="1757"/>
      <c r="AT581" s="1757"/>
      <c r="AU581" s="1757"/>
      <c r="AV581" s="1757"/>
      <c r="AW581" s="1757"/>
      <c r="AX581" s="1757"/>
      <c r="AY581" s="1757"/>
      <c r="AZ581" s="1757"/>
      <c r="BA581" s="1757"/>
      <c r="BB581" s="1757"/>
      <c r="BC581" s="1757"/>
      <c r="BD581" s="1757"/>
      <c r="BE581" s="1757"/>
      <c r="BF581" s="1757"/>
      <c r="BG581" s="1757"/>
      <c r="BH581" s="1757"/>
      <c r="BI581" s="1757"/>
      <c r="BJ581" s="1757"/>
      <c r="BK581" s="1757"/>
      <c r="BL581" s="1757"/>
      <c r="BM581" s="1757"/>
      <c r="BN581" s="1757"/>
      <c r="BO581" s="1757"/>
      <c r="BP581" s="1757"/>
      <c r="BQ581" s="1757"/>
      <c r="BR581" s="1757"/>
      <c r="BS581" s="1757"/>
      <c r="BT581" s="1757"/>
      <c r="BU581" s="1757"/>
      <c r="BV581" s="1757"/>
      <c r="BW581" s="1757"/>
      <c r="BX581" s="1757"/>
      <c r="BY581" s="1757"/>
      <c r="BZ581" s="1757"/>
      <c r="CA581" s="1757"/>
      <c r="CB581" s="1757"/>
      <c r="CC581" s="1757"/>
      <c r="CD581" s="1757"/>
      <c r="CE581" s="1757"/>
      <c r="CF581" s="1757"/>
      <c r="CG581" s="1757"/>
      <c r="CH581" s="1757"/>
      <c r="CI581" s="1757"/>
      <c r="CJ581" s="1757"/>
      <c r="CK581" s="1757"/>
      <c r="CL581" s="1757"/>
      <c r="CM581" s="1757"/>
      <c r="CN581" s="1757"/>
      <c r="CO581" s="1757"/>
      <c r="CP581" s="1757"/>
      <c r="CQ581" s="1757"/>
      <c r="CR581" s="1757"/>
      <c r="CS581" s="1757"/>
      <c r="CT581" s="1757"/>
      <c r="CU581" s="1757"/>
      <c r="CV581" s="1757"/>
      <c r="CW581" s="1757"/>
      <c r="CX581" s="1757"/>
      <c r="CY581" s="1757"/>
      <c r="CZ581" s="1757"/>
      <c r="DA581" s="1757"/>
      <c r="DB581" s="1757"/>
      <c r="DC581" s="1757"/>
      <c r="DD581" s="1757"/>
      <c r="DE581" s="1757"/>
      <c r="DF581" s="1757"/>
      <c r="DG581" s="1757"/>
      <c r="DH581" s="1757"/>
      <c r="DI581" s="1757"/>
      <c r="DJ581" s="1757"/>
      <c r="DK581" s="1757"/>
      <c r="DL581" s="1757"/>
      <c r="DM581" s="1757"/>
      <c r="DN581" s="1757"/>
      <c r="DO581" s="1757"/>
      <c r="DP581" s="1757"/>
      <c r="DQ581" s="1757"/>
      <c r="DR581" s="1757"/>
      <c r="DS581" s="1757"/>
      <c r="DT581" s="1757"/>
      <c r="DU581" s="1757"/>
      <c r="DV581" s="1757"/>
      <c r="DW581" s="1757"/>
      <c r="DX581" s="1757"/>
      <c r="DY581" s="1757"/>
      <c r="DZ581" s="1757"/>
      <c r="EA581" s="1757"/>
      <c r="EB581" s="1757"/>
      <c r="EC581" s="1757"/>
      <c r="ED581" s="1757"/>
      <c r="EE581" s="1757"/>
      <c r="EF581" s="1757"/>
      <c r="EG581" s="1757"/>
      <c r="EH581" s="1757"/>
      <c r="EI581" s="1757"/>
      <c r="EJ581" s="1757"/>
      <c r="EK581" s="1757"/>
      <c r="EL581" s="1757"/>
      <c r="EM581" s="1757"/>
      <c r="EN581" s="1757"/>
      <c r="EO581" s="1757"/>
      <c r="EP581" s="1757"/>
      <c r="EQ581" s="1757"/>
      <c r="ER581" s="1757"/>
      <c r="ES581" s="1757"/>
      <c r="ET581" s="1757"/>
      <c r="EU581" s="1757"/>
      <c r="EV581" s="1757"/>
      <c r="EW581" s="1757"/>
      <c r="EX581" s="1757"/>
      <c r="EY581" s="1757"/>
      <c r="EZ581" s="1757"/>
      <c r="FA581" s="1757"/>
      <c r="FB581" s="1757"/>
      <c r="FC581" s="1757"/>
      <c r="FD581" s="1757"/>
      <c r="FE581" s="1757"/>
      <c r="FF581" s="1757"/>
      <c r="FG581" s="1757"/>
      <c r="FH581" s="1757"/>
      <c r="FI581" s="1757"/>
    </row>
    <row r="582" spans="1:165">
      <c r="A582" s="1757"/>
      <c r="B582" s="1757"/>
      <c r="C582" s="1757"/>
      <c r="D582" s="1757"/>
      <c r="E582" s="1757"/>
      <c r="F582" s="1757"/>
      <c r="G582" s="1757"/>
      <c r="H582" s="1757"/>
      <c r="I582" s="1757"/>
      <c r="J582" s="1757"/>
      <c r="K582" s="1757"/>
      <c r="L582" s="1757"/>
      <c r="M582" s="1757"/>
      <c r="N582" s="1757"/>
      <c r="O582" s="1757"/>
      <c r="P582" s="1757"/>
      <c r="Q582" s="1757"/>
      <c r="R582" s="1757"/>
      <c r="S582" s="1757"/>
      <c r="T582" s="1757"/>
      <c r="U582" s="1757"/>
      <c r="V582" s="1757"/>
      <c r="W582" s="1757"/>
      <c r="X582" s="1757"/>
      <c r="Y582" s="1757"/>
      <c r="Z582" s="1757"/>
      <c r="AA582" s="1757"/>
      <c r="AB582" s="1757"/>
      <c r="AC582" s="1757"/>
      <c r="AD582" s="1757"/>
      <c r="AE582" s="1757"/>
      <c r="AF582" s="1757"/>
      <c r="AG582" s="1757"/>
      <c r="AH582" s="1757"/>
      <c r="AI582" s="1757"/>
      <c r="AJ582" s="1757"/>
      <c r="AK582" s="1757"/>
      <c r="AL582" s="1757"/>
      <c r="AM582" s="1757"/>
      <c r="AN582" s="1757"/>
      <c r="AO582" s="1757"/>
      <c r="AP582" s="1757"/>
      <c r="AQ582" s="1757"/>
      <c r="AR582" s="1757"/>
      <c r="AS582" s="1757"/>
      <c r="AT582" s="1757"/>
      <c r="AU582" s="1757"/>
      <c r="AV582" s="1757"/>
      <c r="AW582" s="1757"/>
      <c r="AX582" s="1757"/>
      <c r="AY582" s="1757"/>
      <c r="AZ582" s="1757"/>
      <c r="BA582" s="1757"/>
      <c r="BB582" s="1757"/>
      <c r="BC582" s="1757"/>
      <c r="BD582" s="1757"/>
      <c r="BE582" s="1757"/>
      <c r="BF582" s="1757"/>
      <c r="BG582" s="1757"/>
      <c r="BH582" s="1757"/>
      <c r="BI582" s="1757"/>
      <c r="BJ582" s="1757"/>
      <c r="BK582" s="1757"/>
      <c r="BL582" s="1757"/>
      <c r="BM582" s="1757"/>
      <c r="BN582" s="1757"/>
      <c r="BO582" s="1757"/>
      <c r="BP582" s="1757"/>
      <c r="BQ582" s="1757"/>
      <c r="BR582" s="1757"/>
      <c r="BS582" s="1757"/>
      <c r="BT582" s="1757"/>
      <c r="BU582" s="1757"/>
      <c r="BV582" s="1757"/>
      <c r="BW582" s="1757"/>
      <c r="BX582" s="1757"/>
      <c r="BY582" s="1757"/>
      <c r="BZ582" s="1757"/>
      <c r="CA582" s="1757"/>
      <c r="CB582" s="1757"/>
      <c r="CC582" s="1757"/>
      <c r="CD582" s="1757"/>
      <c r="CE582" s="1757"/>
      <c r="CF582" s="1757"/>
      <c r="CG582" s="1757"/>
      <c r="CH582" s="1757"/>
      <c r="CI582" s="1757"/>
      <c r="CJ582" s="1757"/>
      <c r="CK582" s="1757"/>
      <c r="CL582" s="1757"/>
      <c r="CM582" s="1757"/>
      <c r="CN582" s="1757"/>
      <c r="CO582" s="1757"/>
      <c r="CP582" s="1757"/>
      <c r="CQ582" s="1757"/>
      <c r="CR582" s="1757"/>
      <c r="CS582" s="1757"/>
      <c r="CT582" s="1757"/>
      <c r="CU582" s="1757"/>
      <c r="CV582" s="1757"/>
      <c r="CW582" s="1757"/>
      <c r="CX582" s="1757"/>
      <c r="CY582" s="1757"/>
      <c r="CZ582" s="1757"/>
      <c r="DA582" s="1757"/>
      <c r="DB582" s="1757"/>
      <c r="DC582" s="1757"/>
      <c r="DD582" s="1757"/>
      <c r="DE582" s="1757"/>
      <c r="DF582" s="1757"/>
      <c r="DG582" s="1757"/>
      <c r="DH582" s="1757"/>
      <c r="DI582" s="1757"/>
      <c r="DJ582" s="1757"/>
      <c r="DK582" s="1757"/>
      <c r="DL582" s="1757"/>
      <c r="DM582" s="1757"/>
      <c r="DN582" s="1757"/>
      <c r="DO582" s="1757"/>
      <c r="DP582" s="1757"/>
      <c r="DQ582" s="1757"/>
      <c r="DR582" s="1757"/>
      <c r="DS582" s="1757"/>
      <c r="DT582" s="1757"/>
      <c r="DU582" s="1757"/>
      <c r="DV582" s="1757"/>
      <c r="DW582" s="1757"/>
      <c r="DX582" s="1757"/>
      <c r="DY582" s="1757"/>
      <c r="DZ582" s="1757"/>
      <c r="EA582" s="1757"/>
      <c r="EB582" s="1757"/>
      <c r="EC582" s="1757"/>
      <c r="ED582" s="1757"/>
      <c r="EE582" s="1757"/>
      <c r="EF582" s="1757"/>
      <c r="EG582" s="1757"/>
      <c r="EH582" s="1757"/>
      <c r="EI582" s="1757"/>
      <c r="EJ582" s="1757"/>
      <c r="EK582" s="1757"/>
      <c r="EL582" s="1757"/>
      <c r="EM582" s="1757"/>
      <c r="EN582" s="1757"/>
      <c r="EO582" s="1757"/>
      <c r="EP582" s="1757"/>
      <c r="EQ582" s="1757"/>
      <c r="ER582" s="1757"/>
      <c r="ES582" s="1757"/>
      <c r="ET582" s="1757"/>
      <c r="EU582" s="1757"/>
      <c r="EV582" s="1757"/>
      <c r="EW582" s="1757"/>
      <c r="EX582" s="1757"/>
      <c r="EY582" s="1757"/>
      <c r="EZ582" s="1757"/>
      <c r="FA582" s="1757"/>
      <c r="FB582" s="1757"/>
      <c r="FC582" s="1757"/>
      <c r="FD582" s="1757"/>
      <c r="FE582" s="1757"/>
      <c r="FF582" s="1757"/>
      <c r="FG582" s="1757"/>
      <c r="FH582" s="1757"/>
      <c r="FI582" s="1757"/>
    </row>
    <row r="583" spans="1:165">
      <c r="A583" s="1757"/>
      <c r="B583" s="1757"/>
      <c r="C583" s="1757"/>
      <c r="D583" s="1757"/>
      <c r="E583" s="1757"/>
      <c r="F583" s="1757"/>
      <c r="G583" s="1757"/>
      <c r="H583" s="1757"/>
      <c r="I583" s="1757"/>
      <c r="J583" s="1757"/>
      <c r="K583" s="1757"/>
      <c r="L583" s="1757"/>
      <c r="M583" s="1757"/>
      <c r="N583" s="1757"/>
      <c r="O583" s="1757"/>
      <c r="P583" s="1757"/>
      <c r="Q583" s="1757"/>
      <c r="R583" s="1757"/>
      <c r="S583" s="1757"/>
      <c r="T583" s="1757"/>
      <c r="U583" s="1757"/>
      <c r="V583" s="1757"/>
      <c r="W583" s="1757"/>
      <c r="X583" s="1757"/>
      <c r="Y583" s="1757"/>
      <c r="Z583" s="1757"/>
      <c r="AA583" s="1757"/>
      <c r="AB583" s="1757"/>
      <c r="AC583" s="1757"/>
      <c r="AD583" s="1757"/>
      <c r="AE583" s="1757"/>
      <c r="AF583" s="1757"/>
      <c r="AG583" s="1757"/>
      <c r="AH583" s="1757"/>
      <c r="AI583" s="1757"/>
      <c r="AJ583" s="1757"/>
      <c r="AK583" s="1757"/>
      <c r="AL583" s="1757"/>
      <c r="AM583" s="1757"/>
      <c r="AN583" s="1757"/>
      <c r="AO583" s="1757"/>
      <c r="AP583" s="1757"/>
      <c r="AQ583" s="1757"/>
      <c r="AR583" s="1757"/>
      <c r="AS583" s="1757"/>
      <c r="AT583" s="1757"/>
      <c r="AU583" s="1757"/>
      <c r="AV583" s="1757"/>
      <c r="AW583" s="1757"/>
      <c r="AX583" s="1757"/>
      <c r="AY583" s="1757"/>
      <c r="AZ583" s="1757"/>
      <c r="BA583" s="1757"/>
      <c r="BB583" s="1757"/>
      <c r="BC583" s="1757"/>
      <c r="BD583" s="1757"/>
      <c r="BE583" s="1757"/>
      <c r="BF583" s="1757"/>
      <c r="BG583" s="1757"/>
      <c r="BH583" s="1757"/>
      <c r="BI583" s="1757"/>
      <c r="BJ583" s="1757"/>
      <c r="BK583" s="1757"/>
      <c r="BL583" s="1757"/>
      <c r="BM583" s="1757"/>
      <c r="BN583" s="1757"/>
      <c r="BO583" s="1757"/>
      <c r="BP583" s="1757"/>
      <c r="BQ583" s="1757"/>
      <c r="BR583" s="1757"/>
      <c r="BS583" s="1757"/>
      <c r="BT583" s="1757"/>
      <c r="BU583" s="1757"/>
      <c r="BV583" s="1757"/>
      <c r="BW583" s="1757"/>
      <c r="BX583" s="1757"/>
      <c r="BY583" s="1757"/>
      <c r="BZ583" s="1757"/>
      <c r="CA583" s="1757"/>
      <c r="CB583" s="1757"/>
      <c r="CC583" s="1757"/>
      <c r="CD583" s="1757"/>
      <c r="CE583" s="1757"/>
      <c r="CF583" s="1757"/>
      <c r="CG583" s="1757"/>
      <c r="CH583" s="1757"/>
      <c r="CI583" s="1757"/>
      <c r="CJ583" s="1757"/>
      <c r="CK583" s="1757"/>
      <c r="CL583" s="1757"/>
      <c r="CM583" s="1757"/>
      <c r="CN583" s="1757"/>
      <c r="CO583" s="1757"/>
      <c r="CP583" s="1757"/>
      <c r="CQ583" s="1757"/>
      <c r="CR583" s="1757"/>
      <c r="CS583" s="1757"/>
      <c r="CT583" s="1757"/>
      <c r="CU583" s="1757"/>
      <c r="CV583" s="1757"/>
      <c r="CW583" s="1757"/>
      <c r="CX583" s="1757"/>
      <c r="CY583" s="1757"/>
      <c r="CZ583" s="1757"/>
      <c r="DA583" s="1757"/>
      <c r="DB583" s="1757"/>
      <c r="DC583" s="1757"/>
      <c r="DD583" s="1757"/>
      <c r="DE583" s="1757"/>
      <c r="DF583" s="1757"/>
      <c r="DG583" s="1757"/>
      <c r="DH583" s="1757"/>
      <c r="DI583" s="1757"/>
      <c r="DJ583" s="1757"/>
      <c r="DK583" s="1757"/>
      <c r="DL583" s="1757"/>
      <c r="DM583" s="1757"/>
      <c r="DN583" s="1757"/>
      <c r="DO583" s="1757"/>
      <c r="DP583" s="1757"/>
      <c r="DQ583" s="1757"/>
      <c r="DR583" s="1757"/>
      <c r="DS583" s="1757"/>
      <c r="DT583" s="1757"/>
      <c r="DU583" s="1757"/>
      <c r="DV583" s="1757"/>
      <c r="DW583" s="1757"/>
      <c r="DX583" s="1757"/>
      <c r="DY583" s="1757"/>
      <c r="DZ583" s="1757"/>
      <c r="EA583" s="1757"/>
      <c r="EB583" s="1757"/>
      <c r="EC583" s="1757"/>
      <c r="ED583" s="1757"/>
      <c r="EE583" s="1757"/>
      <c r="EF583" s="1757"/>
      <c r="EG583" s="1757"/>
      <c r="EH583" s="1757"/>
      <c r="EI583" s="1757"/>
      <c r="EJ583" s="1757"/>
      <c r="EK583" s="1757"/>
      <c r="EL583" s="1757"/>
      <c r="EM583" s="1757"/>
      <c r="EN583" s="1757"/>
      <c r="EO583" s="1757"/>
      <c r="EP583" s="1757"/>
      <c r="EQ583" s="1757"/>
      <c r="ER583" s="1757"/>
      <c r="ES583" s="1757"/>
      <c r="ET583" s="1757"/>
      <c r="EU583" s="1757"/>
      <c r="EV583" s="1757"/>
      <c r="EW583" s="1757"/>
      <c r="EX583" s="1757"/>
      <c r="EY583" s="1757"/>
      <c r="EZ583" s="1757"/>
      <c r="FA583" s="1757"/>
      <c r="FB583" s="1757"/>
      <c r="FC583" s="1757"/>
      <c r="FD583" s="1757"/>
      <c r="FE583" s="1757"/>
      <c r="FF583" s="1757"/>
      <c r="FG583" s="1757"/>
      <c r="FH583" s="1757"/>
      <c r="FI583" s="1757"/>
    </row>
    <row r="584" spans="1:165">
      <c r="A584" s="1757"/>
      <c r="B584" s="1757"/>
      <c r="C584" s="1757"/>
      <c r="D584" s="1757"/>
      <c r="E584" s="1757"/>
      <c r="F584" s="1757"/>
      <c r="G584" s="1757"/>
      <c r="H584" s="1757"/>
      <c r="I584" s="1757"/>
      <c r="J584" s="1757"/>
      <c r="K584" s="1757"/>
      <c r="L584" s="1757"/>
      <c r="M584" s="1757"/>
      <c r="N584" s="1757"/>
      <c r="O584" s="1757"/>
      <c r="P584" s="1757"/>
      <c r="Q584" s="1757"/>
      <c r="R584" s="1757"/>
      <c r="S584" s="1757"/>
      <c r="T584" s="1757"/>
      <c r="U584" s="1757"/>
      <c r="V584" s="1757"/>
      <c r="W584" s="1757"/>
      <c r="X584" s="1757"/>
      <c r="Y584" s="1757"/>
      <c r="Z584" s="1757"/>
      <c r="AA584" s="1757"/>
      <c r="AB584" s="1757"/>
      <c r="AC584" s="1757"/>
      <c r="AD584" s="1757"/>
      <c r="AE584" s="1757"/>
      <c r="AF584" s="1757"/>
      <c r="AG584" s="1757"/>
      <c r="AH584" s="1757"/>
      <c r="AI584" s="1757"/>
      <c r="AJ584" s="1757"/>
      <c r="AK584" s="1757"/>
      <c r="AL584" s="1757"/>
      <c r="AM584" s="1757"/>
      <c r="AN584" s="1757"/>
      <c r="AO584" s="1757"/>
      <c r="AP584" s="1757"/>
      <c r="AQ584" s="1757"/>
      <c r="AR584" s="1757"/>
      <c r="AS584" s="1757"/>
      <c r="AT584" s="1757"/>
      <c r="AU584" s="1757"/>
      <c r="AV584" s="1757"/>
      <c r="AW584" s="1757"/>
      <c r="AX584" s="1757"/>
      <c r="AY584" s="1757"/>
      <c r="AZ584" s="1757"/>
      <c r="BA584" s="1757"/>
      <c r="BB584" s="1757"/>
      <c r="BC584" s="1757"/>
      <c r="BD584" s="1757"/>
      <c r="BE584" s="1757"/>
      <c r="BF584" s="1757"/>
      <c r="BG584" s="1757"/>
      <c r="BH584" s="1757"/>
      <c r="BI584" s="1757"/>
      <c r="BJ584" s="1757"/>
      <c r="BK584" s="1757"/>
      <c r="BL584" s="1757"/>
      <c r="BM584" s="1757"/>
      <c r="BN584" s="1757"/>
      <c r="BO584" s="1757"/>
      <c r="BP584" s="1757"/>
      <c r="BQ584" s="1757"/>
      <c r="BR584" s="1757"/>
      <c r="BS584" s="1757"/>
      <c r="BT584" s="1757"/>
      <c r="BU584" s="1757"/>
      <c r="BV584" s="1757"/>
      <c r="BW584" s="1757"/>
      <c r="BX584" s="1757"/>
      <c r="BY584" s="1757"/>
      <c r="BZ584" s="1757"/>
      <c r="CA584" s="1757"/>
      <c r="CB584" s="1757"/>
      <c r="CC584" s="1757"/>
      <c r="CD584" s="1757"/>
      <c r="CE584" s="1757"/>
      <c r="CF584" s="1757"/>
      <c r="CG584" s="1757"/>
      <c r="CH584" s="1757"/>
      <c r="CI584" s="1757"/>
      <c r="CJ584" s="1757"/>
      <c r="CK584" s="1757"/>
      <c r="CL584" s="1757"/>
      <c r="CM584" s="1757"/>
      <c r="CN584" s="1757"/>
      <c r="CO584" s="1757"/>
      <c r="CP584" s="1757"/>
      <c r="CQ584" s="1757"/>
      <c r="CR584" s="1757"/>
      <c r="CS584" s="1757"/>
      <c r="CT584" s="1757"/>
      <c r="CU584" s="1757"/>
      <c r="CV584" s="1757"/>
      <c r="CW584" s="1757"/>
      <c r="CX584" s="1757"/>
      <c r="CY584" s="1757"/>
      <c r="CZ584" s="1757"/>
      <c r="DA584" s="1757"/>
      <c r="DB584" s="1757"/>
      <c r="DC584" s="1757"/>
      <c r="DD584" s="1757"/>
      <c r="DE584" s="1757"/>
      <c r="DF584" s="1757"/>
      <c r="DG584" s="1757"/>
      <c r="DH584" s="1757"/>
      <c r="DI584" s="1757"/>
      <c r="DJ584" s="1757"/>
      <c r="DK584" s="1757"/>
      <c r="DL584" s="1757"/>
      <c r="DM584" s="1757"/>
      <c r="DN584" s="1757"/>
      <c r="DO584" s="1757"/>
      <c r="DP584" s="1757"/>
      <c r="DQ584" s="1757"/>
      <c r="DR584" s="1757"/>
      <c r="DS584" s="1757"/>
      <c r="DT584" s="1757"/>
      <c r="DU584" s="1757"/>
      <c r="DV584" s="1757"/>
      <c r="DW584" s="1757"/>
      <c r="DX584" s="1757"/>
      <c r="DY584" s="1757"/>
      <c r="DZ584" s="1757"/>
      <c r="EA584" s="1757"/>
      <c r="EB584" s="1757"/>
      <c r="EC584" s="1757"/>
      <c r="ED584" s="1757"/>
      <c r="EE584" s="1757"/>
      <c r="EF584" s="1757"/>
      <c r="EG584" s="1757"/>
      <c r="EH584" s="1757"/>
      <c r="EI584" s="1757"/>
      <c r="EJ584" s="1757"/>
      <c r="EK584" s="1757"/>
      <c r="EL584" s="1757"/>
      <c r="EM584" s="1757"/>
      <c r="EN584" s="1757"/>
      <c r="EO584" s="1757"/>
      <c r="EP584" s="1757"/>
      <c r="EQ584" s="1757"/>
      <c r="ER584" s="1757"/>
      <c r="ES584" s="1757"/>
      <c r="ET584" s="1757"/>
      <c r="EU584" s="1757"/>
      <c r="EV584" s="1757"/>
      <c r="EW584" s="1757"/>
      <c r="EX584" s="1757"/>
      <c r="EY584" s="1757"/>
      <c r="EZ584" s="1757"/>
      <c r="FA584" s="1757"/>
      <c r="FB584" s="1757"/>
      <c r="FC584" s="1757"/>
      <c r="FD584" s="1757"/>
      <c r="FE584" s="1757"/>
      <c r="FF584" s="1757"/>
      <c r="FG584" s="1757"/>
      <c r="FH584" s="1757"/>
      <c r="FI584" s="1757"/>
    </row>
    <row r="585" spans="1:165">
      <c r="A585" s="1757"/>
      <c r="B585" s="1757"/>
      <c r="C585" s="1757"/>
      <c r="D585" s="1757"/>
      <c r="E585" s="1757"/>
      <c r="F585" s="1757"/>
      <c r="G585" s="1757"/>
      <c r="H585" s="1757"/>
      <c r="I585" s="1757"/>
      <c r="J585" s="1757"/>
      <c r="K585" s="1757"/>
      <c r="L585" s="1757"/>
      <c r="M585" s="1757"/>
      <c r="N585" s="1757"/>
      <c r="O585" s="1757"/>
      <c r="P585" s="1757"/>
      <c r="Q585" s="1757"/>
      <c r="R585" s="1757"/>
      <c r="S585" s="1757"/>
      <c r="T585" s="1757"/>
      <c r="U585" s="1757"/>
      <c r="V585" s="1757"/>
      <c r="W585" s="1757"/>
      <c r="X585" s="1757"/>
      <c r="Y585" s="1757"/>
      <c r="Z585" s="1757"/>
      <c r="AA585" s="1757"/>
      <c r="AB585" s="1757"/>
      <c r="AC585" s="1757"/>
      <c r="AD585" s="1757"/>
      <c r="AE585" s="1757"/>
      <c r="AF585" s="1757"/>
      <c r="AG585" s="1757"/>
      <c r="AH585" s="1757"/>
      <c r="AI585" s="1757"/>
      <c r="AJ585" s="1757"/>
      <c r="AK585" s="1757"/>
      <c r="AL585" s="1757"/>
      <c r="AM585" s="1757"/>
      <c r="AN585" s="1757"/>
      <c r="AO585" s="1757"/>
      <c r="AP585" s="1757"/>
      <c r="AQ585" s="1757"/>
      <c r="AR585" s="1757"/>
      <c r="AS585" s="1757"/>
      <c r="AT585" s="1757"/>
      <c r="AU585" s="1757"/>
      <c r="AV585" s="1757"/>
      <c r="AW585" s="1757"/>
      <c r="AX585" s="1757"/>
      <c r="AY585" s="1757"/>
      <c r="AZ585" s="1757"/>
      <c r="BA585" s="1757"/>
      <c r="BB585" s="1757"/>
      <c r="BC585" s="1757"/>
      <c r="BD585" s="1757"/>
      <c r="BE585" s="1757"/>
      <c r="BF585" s="1757"/>
      <c r="BG585" s="1757"/>
      <c r="BH585" s="1757"/>
      <c r="BI585" s="1757"/>
      <c r="BJ585" s="1757"/>
      <c r="BK585" s="1757"/>
      <c r="BL585" s="1757"/>
      <c r="BM585" s="1757"/>
      <c r="BN585" s="1757"/>
      <c r="BO585" s="1757"/>
      <c r="BP585" s="1757"/>
      <c r="BQ585" s="1757"/>
      <c r="BR585" s="1757"/>
      <c r="BS585" s="1757"/>
      <c r="BT585" s="1757"/>
      <c r="BU585" s="1757"/>
      <c r="BV585" s="1757"/>
      <c r="BW585" s="1757"/>
      <c r="BX585" s="1757"/>
      <c r="BY585" s="1757"/>
      <c r="BZ585" s="1757"/>
      <c r="CA585" s="1757"/>
      <c r="CB585" s="1757"/>
      <c r="CC585" s="1757"/>
      <c r="CD585" s="1757"/>
      <c r="CE585" s="1757"/>
      <c r="CF585" s="1757"/>
      <c r="CG585" s="1757"/>
      <c r="CH585" s="1757"/>
      <c r="CI585" s="1757"/>
      <c r="CJ585" s="1757"/>
      <c r="CK585" s="1757"/>
      <c r="CL585" s="1757"/>
      <c r="CM585" s="1757"/>
      <c r="CN585" s="1757"/>
      <c r="CO585" s="1757"/>
      <c r="CP585" s="1757"/>
      <c r="CQ585" s="1757"/>
      <c r="CR585" s="1757"/>
      <c r="CS585" s="1757"/>
      <c r="CT585" s="1757"/>
      <c r="CU585" s="1757"/>
      <c r="CV585" s="1757"/>
      <c r="CW585" s="1757"/>
      <c r="CX585" s="1757"/>
      <c r="CY585" s="1757"/>
      <c r="CZ585" s="1757"/>
      <c r="DA585" s="1757"/>
      <c r="DB585" s="1757"/>
      <c r="DC585" s="1757"/>
      <c r="DD585" s="1757"/>
      <c r="DE585" s="1757"/>
      <c r="DF585" s="1757"/>
      <c r="DG585" s="1757"/>
      <c r="DH585" s="1757"/>
      <c r="DI585" s="1757"/>
      <c r="DJ585" s="1757"/>
      <c r="DK585" s="1757"/>
      <c r="DL585" s="1757"/>
      <c r="DM585" s="1757"/>
      <c r="DN585" s="1757"/>
      <c r="DO585" s="1757"/>
      <c r="DP585" s="1757"/>
      <c r="DQ585" s="1757"/>
      <c r="DR585" s="1757"/>
      <c r="DS585" s="1757"/>
      <c r="DT585" s="1757"/>
      <c r="DU585" s="1757"/>
      <c r="DV585" s="1757"/>
      <c r="DW585" s="1757"/>
      <c r="DX585" s="1757"/>
      <c r="DY585" s="1757"/>
      <c r="DZ585" s="1757"/>
      <c r="EA585" s="1757"/>
      <c r="EB585" s="1757"/>
      <c r="EC585" s="1757"/>
      <c r="ED585" s="1757"/>
      <c r="EE585" s="1757"/>
      <c r="EF585" s="1757"/>
      <c r="EG585" s="1757"/>
      <c r="EH585" s="1757"/>
      <c r="EI585" s="1757"/>
      <c r="EJ585" s="1757"/>
      <c r="EK585" s="1757"/>
      <c r="EL585" s="1757"/>
      <c r="EM585" s="1757"/>
      <c r="EN585" s="1757"/>
      <c r="EO585" s="1757"/>
      <c r="EP585" s="1757"/>
      <c r="EQ585" s="1757"/>
      <c r="ER585" s="1757"/>
      <c r="ES585" s="1757"/>
      <c r="ET585" s="1757"/>
      <c r="EU585" s="1757"/>
      <c r="EV585" s="1757"/>
      <c r="EW585" s="1757"/>
      <c r="EX585" s="1757"/>
      <c r="EY585" s="1757"/>
      <c r="EZ585" s="1757"/>
      <c r="FA585" s="1757"/>
      <c r="FB585" s="1757"/>
      <c r="FC585" s="1757"/>
      <c r="FD585" s="1757"/>
      <c r="FE585" s="1757"/>
      <c r="FF585" s="1757"/>
      <c r="FG585" s="1757"/>
      <c r="FH585" s="1757"/>
      <c r="FI585" s="1757"/>
    </row>
    <row r="586" spans="1:165">
      <c r="A586" s="1757"/>
      <c r="B586" s="1757"/>
      <c r="C586" s="1757"/>
      <c r="D586" s="1757"/>
      <c r="E586" s="1757"/>
      <c r="F586" s="1757"/>
      <c r="G586" s="1757"/>
      <c r="H586" s="1757"/>
      <c r="I586" s="1757"/>
      <c r="J586" s="1757"/>
      <c r="K586" s="1757"/>
      <c r="L586" s="1757"/>
      <c r="M586" s="1757"/>
      <c r="N586" s="1757"/>
      <c r="O586" s="1757"/>
      <c r="P586" s="1757"/>
      <c r="Q586" s="1757"/>
      <c r="R586" s="1757"/>
      <c r="S586" s="1757"/>
      <c r="T586" s="1757"/>
      <c r="U586" s="1757"/>
      <c r="V586" s="1757"/>
      <c r="W586" s="1757"/>
      <c r="X586" s="1757"/>
      <c r="Y586" s="1757"/>
      <c r="Z586" s="1757"/>
      <c r="AA586" s="1757"/>
      <c r="AB586" s="1757"/>
      <c r="AC586" s="1757"/>
      <c r="AD586" s="1757"/>
      <c r="AE586" s="1757"/>
      <c r="AF586" s="1757"/>
      <c r="AG586" s="1757"/>
      <c r="AH586" s="1757"/>
      <c r="AI586" s="1757"/>
      <c r="AJ586" s="1757"/>
      <c r="AK586" s="1757"/>
      <c r="AL586" s="1757"/>
      <c r="AM586" s="1757"/>
      <c r="AN586" s="1757"/>
      <c r="AO586" s="1757"/>
      <c r="AP586" s="1757"/>
      <c r="AQ586" s="1757"/>
      <c r="AR586" s="1757"/>
      <c r="AS586" s="1757"/>
      <c r="AT586" s="1757"/>
      <c r="AU586" s="1757"/>
      <c r="AV586" s="1757"/>
      <c r="AW586" s="1757"/>
      <c r="AX586" s="1757"/>
      <c r="AY586" s="1757"/>
      <c r="AZ586" s="1757"/>
      <c r="BA586" s="1757"/>
      <c r="BB586" s="1757"/>
      <c r="BC586" s="1757"/>
      <c r="BD586" s="1757"/>
      <c r="BE586" s="1757"/>
      <c r="BF586" s="1757"/>
      <c r="BG586" s="1757"/>
      <c r="BH586" s="1757"/>
      <c r="BI586" s="1757"/>
      <c r="BJ586" s="1757"/>
      <c r="BK586" s="1757"/>
      <c r="BL586" s="1757"/>
      <c r="BM586" s="1757"/>
      <c r="BN586" s="1757"/>
      <c r="BO586" s="1757"/>
      <c r="BP586" s="1757"/>
      <c r="BQ586" s="1757"/>
      <c r="BR586" s="1757"/>
      <c r="BS586" s="1757"/>
      <c r="BT586" s="1757"/>
      <c r="BU586" s="1757"/>
      <c r="BV586" s="1757"/>
      <c r="BW586" s="1757"/>
      <c r="BX586" s="1757"/>
      <c r="BY586" s="1757"/>
      <c r="BZ586" s="1757"/>
      <c r="CA586" s="1757"/>
      <c r="CB586" s="1757"/>
      <c r="CC586" s="1757"/>
      <c r="CD586" s="1757"/>
      <c r="CE586" s="1757"/>
      <c r="CF586" s="1757"/>
      <c r="CG586" s="1757"/>
      <c r="CH586" s="1757"/>
      <c r="CI586" s="1757"/>
      <c r="CJ586" s="1757"/>
      <c r="CK586" s="1757"/>
      <c r="CL586" s="1757"/>
      <c r="CM586" s="1757"/>
      <c r="CN586" s="1757"/>
      <c r="CO586" s="1757"/>
      <c r="CP586" s="1757"/>
      <c r="CQ586" s="1757"/>
      <c r="CR586" s="1757"/>
      <c r="CS586" s="1757"/>
      <c r="CT586" s="1757"/>
      <c r="CU586" s="1757"/>
      <c r="CV586" s="1757"/>
      <c r="CW586" s="1757"/>
      <c r="CX586" s="1757"/>
      <c r="CY586" s="1757"/>
      <c r="CZ586" s="1757"/>
      <c r="DA586" s="1757"/>
      <c r="DB586" s="1757"/>
      <c r="DC586" s="1757"/>
      <c r="DD586" s="1757"/>
      <c r="DE586" s="1757"/>
      <c r="DF586" s="1757"/>
      <c r="DG586" s="1757"/>
      <c r="DH586" s="1757"/>
      <c r="DI586" s="1757"/>
      <c r="DJ586" s="1757"/>
      <c r="DK586" s="1757"/>
      <c r="DL586" s="1757"/>
      <c r="DM586" s="1757"/>
      <c r="DN586" s="1757"/>
      <c r="DO586" s="1757"/>
      <c r="DP586" s="1757"/>
      <c r="DQ586" s="1757"/>
      <c r="DR586" s="1757"/>
      <c r="DS586" s="1757"/>
      <c r="DT586" s="1757"/>
      <c r="DU586" s="1757"/>
      <c r="DV586" s="1757"/>
      <c r="DW586" s="1757"/>
      <c r="DX586" s="1757"/>
      <c r="DY586" s="1757"/>
      <c r="DZ586" s="1757"/>
      <c r="EA586" s="1757"/>
      <c r="EB586" s="1757"/>
      <c r="EC586" s="1757"/>
      <c r="ED586" s="1757"/>
      <c r="EE586" s="1757"/>
      <c r="EF586" s="1757"/>
      <c r="EG586" s="1757"/>
      <c r="EH586" s="1757"/>
      <c r="EI586" s="1757"/>
      <c r="EJ586" s="1757"/>
      <c r="EK586" s="1757"/>
      <c r="EL586" s="1757"/>
      <c r="EM586" s="1757"/>
      <c r="EN586" s="1757"/>
      <c r="EO586" s="1757"/>
      <c r="EP586" s="1757"/>
      <c r="EQ586" s="1757"/>
      <c r="ER586" s="1757"/>
      <c r="ES586" s="1757"/>
      <c r="ET586" s="1757"/>
      <c r="EU586" s="1757"/>
      <c r="EV586" s="1757"/>
      <c r="EW586" s="1757"/>
      <c r="EX586" s="1757"/>
      <c r="EY586" s="1757"/>
      <c r="EZ586" s="1757"/>
      <c r="FA586" s="1757"/>
      <c r="FB586" s="1757"/>
      <c r="FC586" s="1757"/>
      <c r="FD586" s="1757"/>
      <c r="FE586" s="1757"/>
      <c r="FF586" s="1757"/>
      <c r="FG586" s="1757"/>
      <c r="FH586" s="1757"/>
      <c r="FI586" s="1757"/>
    </row>
    <row r="587" spans="1:165">
      <c r="A587" s="1757"/>
      <c r="B587" s="1757"/>
      <c r="C587" s="1757"/>
      <c r="D587" s="1757"/>
      <c r="E587" s="1757"/>
      <c r="F587" s="1757"/>
      <c r="G587" s="1757"/>
      <c r="H587" s="1757"/>
      <c r="I587" s="1757"/>
      <c r="J587" s="1757"/>
      <c r="K587" s="1757"/>
      <c r="L587" s="1757"/>
      <c r="M587" s="1757"/>
      <c r="N587" s="1757"/>
      <c r="O587" s="1757"/>
      <c r="P587" s="1757"/>
      <c r="Q587" s="1757"/>
      <c r="R587" s="1757"/>
      <c r="S587" s="1757"/>
      <c r="T587" s="1757"/>
      <c r="U587" s="1757"/>
      <c r="V587" s="1757"/>
      <c r="W587" s="1757"/>
      <c r="X587" s="1757"/>
      <c r="Y587" s="1757"/>
      <c r="Z587" s="1757"/>
      <c r="AA587" s="1757"/>
      <c r="AB587" s="1757"/>
      <c r="AC587" s="1757"/>
      <c r="AD587" s="1757"/>
      <c r="AE587" s="1757"/>
      <c r="AF587" s="1757"/>
      <c r="AG587" s="1757"/>
      <c r="AH587" s="1757"/>
      <c r="AI587" s="1757"/>
      <c r="AJ587" s="1757"/>
      <c r="AK587" s="1757"/>
      <c r="AL587" s="1757"/>
      <c r="AM587" s="1757"/>
      <c r="AN587" s="1757"/>
      <c r="AO587" s="1757"/>
      <c r="AP587" s="1757"/>
      <c r="AQ587" s="1757"/>
      <c r="AR587" s="1757"/>
      <c r="AS587" s="1757"/>
      <c r="AT587" s="1757"/>
      <c r="AU587" s="1757"/>
      <c r="AV587" s="1757"/>
      <c r="AW587" s="1757"/>
      <c r="AX587" s="1757"/>
      <c r="AY587" s="1757"/>
      <c r="AZ587" s="1757"/>
      <c r="BA587" s="1757"/>
      <c r="BB587" s="1757"/>
      <c r="BC587" s="1757"/>
      <c r="BD587" s="1757"/>
      <c r="BE587" s="1757"/>
      <c r="BF587" s="1757"/>
      <c r="BG587" s="1757"/>
      <c r="BH587" s="1757"/>
      <c r="BI587" s="1757"/>
      <c r="BJ587" s="1757"/>
      <c r="BK587" s="1757"/>
      <c r="BL587" s="1757"/>
      <c r="BM587" s="1757"/>
      <c r="BN587" s="1757"/>
      <c r="BO587" s="1757"/>
      <c r="BP587" s="1757"/>
      <c r="BQ587" s="1757"/>
      <c r="BR587" s="1757"/>
      <c r="BS587" s="1757"/>
      <c r="BT587" s="1757"/>
      <c r="BU587" s="1757"/>
      <c r="BV587" s="1757"/>
      <c r="BW587" s="1757"/>
      <c r="BX587" s="1757"/>
      <c r="BY587" s="1757"/>
      <c r="BZ587" s="1757"/>
      <c r="CA587" s="1757"/>
      <c r="CB587" s="1757"/>
      <c r="CC587" s="1757"/>
      <c r="CD587" s="1757"/>
      <c r="CE587" s="1757"/>
      <c r="CF587" s="1757"/>
      <c r="CG587" s="1757"/>
      <c r="CH587" s="1757"/>
      <c r="CI587" s="1757"/>
      <c r="CJ587" s="1757"/>
      <c r="CK587" s="1757"/>
      <c r="CL587" s="1757"/>
      <c r="CM587" s="1757"/>
      <c r="CN587" s="1757"/>
      <c r="CO587" s="1757"/>
      <c r="CP587" s="1757"/>
      <c r="CQ587" s="1757"/>
      <c r="CR587" s="1757"/>
      <c r="CS587" s="1757"/>
      <c r="CT587" s="1757"/>
      <c r="CU587" s="1757"/>
      <c r="CV587" s="1757"/>
      <c r="CW587" s="1757"/>
      <c r="CX587" s="1757"/>
      <c r="CY587" s="1757"/>
      <c r="CZ587" s="1757"/>
      <c r="DA587" s="1757"/>
      <c r="DB587" s="1757"/>
      <c r="DC587" s="1757"/>
      <c r="DD587" s="1757"/>
      <c r="DE587" s="1757"/>
      <c r="DF587" s="1757"/>
      <c r="DG587" s="1757"/>
      <c r="DH587" s="1757"/>
      <c r="DI587" s="1757"/>
      <c r="DJ587" s="1757"/>
      <c r="DK587" s="1757"/>
      <c r="DL587" s="1757"/>
      <c r="DM587" s="1757"/>
      <c r="DN587" s="1757"/>
      <c r="DO587" s="1757"/>
      <c r="DP587" s="1757"/>
      <c r="DQ587" s="1757"/>
      <c r="DR587" s="1757"/>
      <c r="DS587" s="1757"/>
      <c r="DT587" s="1757"/>
      <c r="DU587" s="1757"/>
      <c r="DV587" s="1757"/>
      <c r="DW587" s="1757"/>
      <c r="DX587" s="1757"/>
      <c r="DY587" s="1757"/>
      <c r="DZ587" s="1757"/>
      <c r="EA587" s="1757"/>
      <c r="EB587" s="1757"/>
      <c r="EC587" s="1757"/>
      <c r="ED587" s="1757"/>
      <c r="EE587" s="1757"/>
      <c r="EF587" s="1757"/>
      <c r="EG587" s="1757"/>
      <c r="EH587" s="1757"/>
      <c r="EI587" s="1757"/>
      <c r="EJ587" s="1757"/>
      <c r="EK587" s="1757"/>
      <c r="EL587" s="1757"/>
      <c r="EM587" s="1757"/>
      <c r="EN587" s="1757"/>
      <c r="EO587" s="1757"/>
      <c r="EP587" s="1757"/>
      <c r="EQ587" s="1757"/>
      <c r="ER587" s="1757"/>
      <c r="ES587" s="1757"/>
      <c r="ET587" s="1757"/>
      <c r="EU587" s="1757"/>
      <c r="EV587" s="1757"/>
      <c r="EW587" s="1757"/>
      <c r="EX587" s="1757"/>
      <c r="EY587" s="1757"/>
      <c r="EZ587" s="1757"/>
      <c r="FA587" s="1757"/>
      <c r="FB587" s="1757"/>
      <c r="FC587" s="1757"/>
      <c r="FD587" s="1757"/>
      <c r="FE587" s="1757"/>
      <c r="FF587" s="1757"/>
      <c r="FG587" s="1757"/>
      <c r="FH587" s="1757"/>
      <c r="FI587" s="1757"/>
    </row>
    <row r="588" spans="1:165">
      <c r="A588" s="1757"/>
      <c r="B588" s="1757"/>
      <c r="C588" s="1757"/>
      <c r="D588" s="1757"/>
      <c r="E588" s="1757"/>
      <c r="F588" s="1757"/>
      <c r="G588" s="1757"/>
      <c r="H588" s="1757"/>
      <c r="I588" s="1757"/>
      <c r="J588" s="1757"/>
      <c r="K588" s="1757"/>
      <c r="L588" s="1757"/>
      <c r="M588" s="1757"/>
      <c r="N588" s="1757"/>
      <c r="O588" s="1757"/>
      <c r="P588" s="1757"/>
      <c r="Q588" s="1757"/>
      <c r="R588" s="1757"/>
      <c r="S588" s="1757"/>
      <c r="T588" s="1757"/>
      <c r="U588" s="1757"/>
      <c r="V588" s="1757"/>
      <c r="W588" s="1757"/>
      <c r="X588" s="1757"/>
      <c r="Y588" s="1757"/>
      <c r="Z588" s="1757"/>
      <c r="AA588" s="1757"/>
      <c r="AB588" s="1757"/>
      <c r="AC588" s="1757"/>
      <c r="AD588" s="1757"/>
      <c r="AE588" s="1757"/>
      <c r="AF588" s="1757"/>
      <c r="AG588" s="1757"/>
      <c r="AH588" s="1757"/>
      <c r="AI588" s="1757"/>
      <c r="AJ588" s="1757"/>
      <c r="AK588" s="1757"/>
      <c r="AL588" s="1757"/>
      <c r="AM588" s="1757"/>
      <c r="AN588" s="1757"/>
      <c r="AO588" s="1757"/>
      <c r="AP588" s="1757"/>
      <c r="AQ588" s="1757"/>
      <c r="AR588" s="1757"/>
      <c r="AS588" s="1757"/>
      <c r="AT588" s="1757"/>
      <c r="AU588" s="1757"/>
      <c r="AV588" s="1757"/>
      <c r="AW588" s="1757"/>
      <c r="AX588" s="1757"/>
      <c r="AY588" s="1757"/>
      <c r="AZ588" s="1757"/>
      <c r="BA588" s="1757"/>
      <c r="BB588" s="1757"/>
      <c r="BC588" s="1757"/>
      <c r="BD588" s="1757"/>
      <c r="BE588" s="1757"/>
      <c r="BF588" s="1757"/>
      <c r="BG588" s="1757"/>
      <c r="BH588" s="1757"/>
      <c r="BI588" s="1757"/>
      <c r="BJ588" s="1757"/>
      <c r="BK588" s="1757"/>
      <c r="BL588" s="1757"/>
      <c r="BM588" s="1757"/>
      <c r="BN588" s="1757"/>
      <c r="BO588" s="1757"/>
      <c r="BP588" s="1757"/>
      <c r="BQ588" s="1757"/>
      <c r="BR588" s="1757"/>
      <c r="BS588" s="1757"/>
      <c r="BT588" s="1757"/>
      <c r="BU588" s="1757"/>
      <c r="BV588" s="1757"/>
      <c r="BW588" s="1757"/>
      <c r="BX588" s="1757"/>
      <c r="BY588" s="1757"/>
      <c r="BZ588" s="1757"/>
      <c r="CA588" s="1757"/>
      <c r="CB588" s="1757"/>
      <c r="CC588" s="1757"/>
      <c r="CD588" s="1757"/>
      <c r="CE588" s="1757"/>
      <c r="CF588" s="1757"/>
      <c r="CG588" s="1757"/>
      <c r="CH588" s="1757"/>
      <c r="CI588" s="1757"/>
      <c r="CJ588" s="1757"/>
      <c r="CK588" s="1757"/>
      <c r="CL588" s="1757"/>
      <c r="CM588" s="1757"/>
      <c r="CN588" s="1757"/>
      <c r="CO588" s="1757"/>
      <c r="CP588" s="1757"/>
      <c r="CQ588" s="1757"/>
      <c r="CR588" s="1757"/>
      <c r="CS588" s="1757"/>
      <c r="CT588" s="1757"/>
      <c r="CU588" s="1757"/>
      <c r="CV588" s="1757"/>
      <c r="CW588" s="1757"/>
      <c r="CX588" s="1757"/>
      <c r="CY588" s="1757"/>
      <c r="CZ588" s="1757"/>
      <c r="DA588" s="1757"/>
      <c r="DB588" s="1757"/>
      <c r="DC588" s="1757"/>
      <c r="DD588" s="1757"/>
      <c r="DE588" s="1757"/>
      <c r="DF588" s="1757"/>
      <c r="DG588" s="1757"/>
      <c r="DH588" s="1757"/>
      <c r="DI588" s="1757"/>
      <c r="DJ588" s="1757"/>
      <c r="DK588" s="1757"/>
      <c r="DL588" s="1757"/>
      <c r="DM588" s="1757"/>
      <c r="DN588" s="1757"/>
      <c r="DO588" s="1757"/>
      <c r="DP588" s="1757"/>
      <c r="DQ588" s="1757"/>
      <c r="DR588" s="1757"/>
      <c r="DS588" s="1757"/>
      <c r="DT588" s="1757"/>
      <c r="DU588" s="1757"/>
      <c r="DV588" s="1757"/>
      <c r="DW588" s="1757"/>
      <c r="DX588" s="1757"/>
      <c r="DY588" s="1757"/>
      <c r="DZ588" s="1757"/>
      <c r="EA588" s="1757"/>
      <c r="EB588" s="1757"/>
      <c r="EC588" s="1757"/>
      <c r="ED588" s="1757"/>
      <c r="EE588" s="1757"/>
      <c r="EF588" s="1757"/>
      <c r="EG588" s="1757"/>
      <c r="EH588" s="1757"/>
      <c r="EI588" s="1757"/>
      <c r="EJ588" s="1757"/>
      <c r="EK588" s="1757"/>
      <c r="EL588" s="1757"/>
      <c r="EM588" s="1757"/>
      <c r="EN588" s="1757"/>
      <c r="EO588" s="1757"/>
      <c r="EP588" s="1757"/>
      <c r="EQ588" s="1757"/>
      <c r="ER588" s="1757"/>
      <c r="ES588" s="1757"/>
      <c r="ET588" s="1757"/>
      <c r="EU588" s="1757"/>
      <c r="EV588" s="1757"/>
      <c r="EW588" s="1757"/>
      <c r="EX588" s="1757"/>
      <c r="EY588" s="1757"/>
      <c r="EZ588" s="1757"/>
      <c r="FA588" s="1757"/>
      <c r="FB588" s="1757"/>
      <c r="FC588" s="1757"/>
      <c r="FD588" s="1757"/>
      <c r="FE588" s="1757"/>
      <c r="FF588" s="1757"/>
      <c r="FG588" s="1757"/>
      <c r="FH588" s="1757"/>
      <c r="FI588" s="1757"/>
    </row>
    <row r="589" spans="1:165">
      <c r="A589" s="1757"/>
      <c r="B589" s="1757"/>
      <c r="C589" s="1757"/>
      <c r="D589" s="1757"/>
      <c r="E589" s="1757"/>
      <c r="F589" s="1757"/>
      <c r="G589" s="1757"/>
      <c r="H589" s="1757"/>
      <c r="I589" s="1757"/>
      <c r="J589" s="1757"/>
      <c r="K589" s="1757"/>
      <c r="L589" s="1757"/>
      <c r="M589" s="1757"/>
      <c r="N589" s="1757"/>
      <c r="O589" s="1757"/>
      <c r="P589" s="1757"/>
      <c r="Q589" s="1757"/>
      <c r="R589" s="1757"/>
      <c r="S589" s="1757"/>
      <c r="T589" s="1757"/>
      <c r="U589" s="1757"/>
      <c r="V589" s="1757"/>
      <c r="W589" s="1757"/>
      <c r="X589" s="1757"/>
      <c r="Y589" s="1757"/>
      <c r="Z589" s="1757"/>
      <c r="AA589" s="1757"/>
      <c r="AB589" s="1757"/>
      <c r="AC589" s="1757"/>
      <c r="AD589" s="1757"/>
      <c r="AE589" s="1757"/>
      <c r="AF589" s="1757"/>
      <c r="AG589" s="1757"/>
      <c r="AH589" s="1757"/>
      <c r="AI589" s="1757"/>
      <c r="AJ589" s="1757"/>
      <c r="AK589" s="1757"/>
      <c r="AL589" s="1757"/>
      <c r="AM589" s="1757"/>
      <c r="AN589" s="1757"/>
      <c r="AO589" s="1757"/>
      <c r="AP589" s="1757"/>
      <c r="AQ589" s="1757"/>
      <c r="AR589" s="1757"/>
      <c r="AS589" s="1757"/>
      <c r="AT589" s="1757"/>
      <c r="AU589" s="1757"/>
      <c r="AV589" s="1757"/>
      <c r="AW589" s="1757"/>
      <c r="AX589" s="1757"/>
      <c r="AY589" s="1757"/>
      <c r="AZ589" s="1757"/>
      <c r="BA589" s="1757"/>
      <c r="BB589" s="1757"/>
      <c r="BC589" s="1757"/>
      <c r="BD589" s="1757"/>
      <c r="BE589" s="1757"/>
      <c r="BF589" s="1757"/>
      <c r="BG589" s="1757"/>
      <c r="BH589" s="1757"/>
      <c r="BI589" s="1757"/>
      <c r="BJ589" s="1757"/>
      <c r="BK589" s="1757"/>
      <c r="BL589" s="1757"/>
      <c r="BM589" s="1757"/>
      <c r="BN589" s="1757"/>
      <c r="BO589" s="1757"/>
      <c r="BP589" s="1757"/>
      <c r="BQ589" s="1757"/>
      <c r="BR589" s="1757"/>
      <c r="BS589" s="1757"/>
      <c r="BT589" s="1757"/>
      <c r="BU589" s="1757"/>
      <c r="BV589" s="1757"/>
      <c r="BW589" s="1757"/>
      <c r="BX589" s="1757"/>
      <c r="BY589" s="1757"/>
      <c r="BZ589" s="1757"/>
      <c r="CA589" s="1757"/>
      <c r="CB589" s="1757"/>
      <c r="CC589" s="1757"/>
      <c r="CD589" s="1757"/>
      <c r="CE589" s="1757"/>
      <c r="CF589" s="1757"/>
      <c r="CG589" s="1757"/>
      <c r="CH589" s="1757"/>
      <c r="CI589" s="1757"/>
      <c r="CJ589" s="1757"/>
      <c r="CK589" s="1757"/>
      <c r="CL589" s="1757"/>
      <c r="CM589" s="1757"/>
      <c r="CN589" s="1757"/>
      <c r="CO589" s="1757"/>
      <c r="CP589" s="1757"/>
      <c r="CQ589" s="1757"/>
      <c r="CR589" s="1757"/>
      <c r="CS589" s="1757"/>
      <c r="CT589" s="1757"/>
      <c r="CU589" s="1757"/>
      <c r="CV589" s="1757"/>
      <c r="CW589" s="1757"/>
      <c r="CX589" s="1757"/>
      <c r="CY589" s="1757"/>
      <c r="CZ589" s="1757"/>
      <c r="DA589" s="1757"/>
      <c r="DB589" s="1757"/>
      <c r="DC589" s="1757"/>
      <c r="DD589" s="1757"/>
      <c r="DE589" s="1757"/>
      <c r="DF589" s="1757"/>
      <c r="DG589" s="1757"/>
      <c r="DH589" s="1757"/>
      <c r="DI589" s="1757"/>
      <c r="DJ589" s="1757"/>
      <c r="DK589" s="1757"/>
      <c r="DL589" s="1757"/>
      <c r="DM589" s="1757"/>
      <c r="DN589" s="1757"/>
      <c r="DO589" s="1757"/>
      <c r="DP589" s="1757"/>
      <c r="DQ589" s="1757"/>
      <c r="DR589" s="1757"/>
      <c r="DS589" s="1757"/>
      <c r="DT589" s="1757"/>
      <c r="DU589" s="1757"/>
      <c r="DV589" s="1757"/>
      <c r="DW589" s="1757"/>
      <c r="DX589" s="1757"/>
      <c r="DY589" s="1757"/>
      <c r="DZ589" s="1757"/>
      <c r="EA589" s="1757"/>
      <c r="EB589" s="1757"/>
      <c r="EC589" s="1757"/>
      <c r="ED589" s="1757"/>
      <c r="EE589" s="1757"/>
      <c r="EF589" s="1757"/>
      <c r="EG589" s="1757"/>
      <c r="EH589" s="1757"/>
      <c r="EI589" s="1757"/>
      <c r="EJ589" s="1757"/>
      <c r="EK589" s="1757"/>
      <c r="EL589" s="1757"/>
      <c r="EM589" s="1757"/>
      <c r="EN589" s="1757"/>
      <c r="EO589" s="1757"/>
      <c r="EP589" s="1757"/>
      <c r="EQ589" s="1757"/>
      <c r="ER589" s="1757"/>
      <c r="ES589" s="1757"/>
      <c r="ET589" s="1757"/>
      <c r="EU589" s="1757"/>
      <c r="EV589" s="1757"/>
      <c r="EW589" s="1757"/>
      <c r="EX589" s="1757"/>
      <c r="EY589" s="1757"/>
      <c r="EZ589" s="1757"/>
      <c r="FA589" s="1757"/>
      <c r="FB589" s="1757"/>
      <c r="FC589" s="1757"/>
      <c r="FD589" s="1757"/>
      <c r="FE589" s="1757"/>
      <c r="FF589" s="1757"/>
      <c r="FG589" s="1757"/>
      <c r="FH589" s="1757"/>
      <c r="FI589" s="1757"/>
    </row>
    <row r="590" spans="1:165">
      <c r="A590" s="1757"/>
      <c r="B590" s="1757"/>
      <c r="C590" s="1757"/>
      <c r="D590" s="1757"/>
      <c r="E590" s="1757"/>
      <c r="F590" s="1757"/>
      <c r="G590" s="1757"/>
      <c r="H590" s="1757"/>
      <c r="I590" s="1757"/>
      <c r="J590" s="1757"/>
      <c r="K590" s="1757"/>
      <c r="L590" s="1757"/>
      <c r="M590" s="1757"/>
      <c r="N590" s="1757"/>
      <c r="O590" s="1757"/>
      <c r="P590" s="1757"/>
      <c r="Q590" s="1757"/>
      <c r="R590" s="1757"/>
      <c r="S590" s="1757"/>
      <c r="T590" s="1757"/>
      <c r="U590" s="1757"/>
      <c r="V590" s="1757"/>
      <c r="W590" s="1757"/>
      <c r="X590" s="1757"/>
      <c r="Y590" s="1757"/>
      <c r="Z590" s="1757"/>
      <c r="AA590" s="1757"/>
      <c r="AB590" s="1757"/>
      <c r="AC590" s="1757"/>
      <c r="AD590" s="1757"/>
      <c r="AE590" s="1757"/>
      <c r="AF590" s="1757"/>
      <c r="AG590" s="1757"/>
      <c r="AH590" s="1757"/>
      <c r="AI590" s="1757"/>
      <c r="AJ590" s="1757"/>
      <c r="AK590" s="1757"/>
      <c r="AL590" s="1757"/>
      <c r="AM590" s="1757"/>
      <c r="AN590" s="1757"/>
      <c r="AO590" s="1757"/>
      <c r="AP590" s="1757"/>
      <c r="AQ590" s="1757"/>
      <c r="AR590" s="1757"/>
      <c r="AS590" s="1757"/>
      <c r="AT590" s="1757"/>
      <c r="AU590" s="1757"/>
      <c r="AV590" s="1757"/>
      <c r="AW590" s="1757"/>
      <c r="AX590" s="1757"/>
      <c r="AY590" s="1757"/>
      <c r="AZ590" s="1757"/>
      <c r="BA590" s="1757"/>
      <c r="BB590" s="1757"/>
      <c r="BC590" s="1757"/>
      <c r="BD590" s="1757"/>
      <c r="BE590" s="1757"/>
      <c r="BF590" s="1757"/>
      <c r="BG590" s="1757"/>
      <c r="BH590" s="1757"/>
      <c r="BI590" s="1757"/>
      <c r="BJ590" s="1757"/>
      <c r="BK590" s="1757"/>
      <c r="BL590" s="1757"/>
      <c r="BM590" s="1757"/>
      <c r="BN590" s="1757"/>
      <c r="BO590" s="1757"/>
      <c r="BP590" s="1757"/>
      <c r="BQ590" s="1757"/>
      <c r="BR590" s="1757"/>
      <c r="BS590" s="1757"/>
      <c r="BT590" s="1757"/>
      <c r="BU590" s="1757"/>
      <c r="BV590" s="1757"/>
      <c r="BW590" s="1757"/>
      <c r="BX590" s="1757"/>
      <c r="BY590" s="1757"/>
      <c r="BZ590" s="1757"/>
      <c r="CA590" s="1757"/>
      <c r="CB590" s="1757"/>
      <c r="CC590" s="1757"/>
      <c r="CD590" s="1757"/>
      <c r="CE590" s="1757"/>
      <c r="CF590" s="1757"/>
      <c r="CG590" s="1757"/>
      <c r="CH590" s="1757"/>
      <c r="CI590" s="1757"/>
      <c r="CJ590" s="1757"/>
      <c r="CK590" s="1757"/>
      <c r="CL590" s="1757"/>
      <c r="CM590" s="1757"/>
      <c r="CN590" s="1757"/>
      <c r="CO590" s="1757"/>
      <c r="CP590" s="1757"/>
      <c r="CQ590" s="1757"/>
      <c r="CR590" s="1757"/>
      <c r="CS590" s="1757"/>
      <c r="CT590" s="1757"/>
      <c r="CU590" s="1757"/>
      <c r="CV590" s="1757"/>
      <c r="CW590" s="1757"/>
      <c r="CX590" s="1757"/>
      <c r="CY590" s="1757"/>
      <c r="CZ590" s="1757"/>
      <c r="DA590" s="1757"/>
      <c r="DB590" s="1757"/>
      <c r="DC590" s="1757"/>
      <c r="DD590" s="1757"/>
      <c r="DE590" s="1757"/>
      <c r="DF590" s="1757"/>
      <c r="DG590" s="1757"/>
      <c r="DH590" s="1757"/>
      <c r="DI590" s="1757"/>
      <c r="DJ590" s="1757"/>
      <c r="DK590" s="1757"/>
      <c r="DL590" s="1757"/>
      <c r="DM590" s="1757"/>
      <c r="DN590" s="1757"/>
      <c r="DO590" s="1757"/>
      <c r="DP590" s="1757"/>
      <c r="DQ590" s="1757"/>
      <c r="DR590" s="1757"/>
      <c r="DS590" s="1757"/>
      <c r="DT590" s="1757"/>
      <c r="DU590" s="1757"/>
      <c r="DV590" s="1757"/>
      <c r="DW590" s="1757"/>
      <c r="DX590" s="1757"/>
      <c r="DY590" s="1757"/>
      <c r="DZ590" s="1757"/>
      <c r="EA590" s="1757"/>
      <c r="EB590" s="1757"/>
      <c r="EC590" s="1757"/>
      <c r="ED590" s="1757"/>
      <c r="EE590" s="1757"/>
      <c r="EF590" s="1757"/>
      <c r="EG590" s="1757"/>
      <c r="EH590" s="1757"/>
      <c r="EI590" s="1757"/>
      <c r="EJ590" s="1757"/>
      <c r="EK590" s="1757"/>
      <c r="EL590" s="1757"/>
      <c r="EM590" s="1757"/>
      <c r="EN590" s="1757"/>
      <c r="EO590" s="1757"/>
      <c r="EP590" s="1757"/>
      <c r="EQ590" s="1757"/>
      <c r="ER590" s="1757"/>
      <c r="ES590" s="1757"/>
      <c r="ET590" s="1757"/>
      <c r="EU590" s="1757"/>
      <c r="EV590" s="1757"/>
      <c r="EW590" s="1757"/>
      <c r="EX590" s="1757"/>
      <c r="EY590" s="1757"/>
      <c r="EZ590" s="1757"/>
      <c r="FA590" s="1757"/>
      <c r="FB590" s="1757"/>
      <c r="FC590" s="1757"/>
      <c r="FD590" s="1757"/>
      <c r="FE590" s="1757"/>
      <c r="FF590" s="1757"/>
      <c r="FG590" s="1757"/>
      <c r="FH590" s="1757"/>
      <c r="FI590" s="1757"/>
    </row>
    <row r="591" spans="1:165">
      <c r="A591" s="1757"/>
      <c r="B591" s="1757"/>
      <c r="C591" s="1757"/>
      <c r="D591" s="1757"/>
      <c r="E591" s="1757"/>
      <c r="F591" s="1757"/>
      <c r="G591" s="1757"/>
      <c r="H591" s="1757"/>
      <c r="I591" s="1757"/>
      <c r="J591" s="1757"/>
      <c r="K591" s="1757"/>
      <c r="L591" s="1757"/>
      <c r="M591" s="1757"/>
      <c r="N591" s="1757"/>
      <c r="O591" s="1757"/>
      <c r="P591" s="1757"/>
      <c r="Q591" s="1757"/>
      <c r="R591" s="1757"/>
      <c r="S591" s="1757"/>
      <c r="T591" s="1757"/>
      <c r="U591" s="1757"/>
      <c r="V591" s="1757"/>
      <c r="W591" s="1757"/>
      <c r="X591" s="1757"/>
      <c r="Y591" s="1757"/>
      <c r="Z591" s="1757"/>
      <c r="AA591" s="1757"/>
      <c r="AB591" s="1757"/>
      <c r="AC591" s="1757"/>
      <c r="AD591" s="1757"/>
      <c r="AE591" s="1757"/>
      <c r="AF591" s="1757"/>
      <c r="AG591" s="1757"/>
      <c r="AH591" s="1757"/>
      <c r="AI591" s="1757"/>
      <c r="AJ591" s="1757"/>
      <c r="AK591" s="1757"/>
      <c r="AL591" s="1757"/>
      <c r="AM591" s="1757"/>
      <c r="AN591" s="1757"/>
      <c r="AO591" s="1757"/>
      <c r="AP591" s="1757"/>
      <c r="AQ591" s="1757"/>
      <c r="AR591" s="1757"/>
      <c r="AS591" s="1757"/>
      <c r="AT591" s="1757"/>
      <c r="AU591" s="1757"/>
      <c r="AV591" s="1757"/>
      <c r="AW591" s="1757"/>
      <c r="AX591" s="1757"/>
      <c r="AY591" s="1757"/>
      <c r="AZ591" s="1757"/>
      <c r="BA591" s="1757"/>
      <c r="BB591" s="1757"/>
      <c r="BC591" s="1757"/>
      <c r="BD591" s="1757"/>
      <c r="BE591" s="1757"/>
      <c r="BF591" s="1757"/>
      <c r="BG591" s="1757"/>
      <c r="BH591" s="1757"/>
      <c r="BI591" s="1757"/>
      <c r="BJ591" s="1757"/>
      <c r="BK591" s="1757"/>
      <c r="BL591" s="1757"/>
      <c r="BM591" s="1757"/>
      <c r="BN591" s="1757"/>
      <c r="BO591" s="1757"/>
      <c r="BP591" s="1757"/>
      <c r="BQ591" s="1757"/>
      <c r="BR591" s="1757"/>
      <c r="BS591" s="1757"/>
      <c r="BT591" s="1757"/>
      <c r="BU591" s="1757"/>
      <c r="BV591" s="1757"/>
      <c r="BW591" s="1757"/>
      <c r="BX591" s="1757"/>
      <c r="BY591" s="1757"/>
      <c r="BZ591" s="1757"/>
      <c r="CA591" s="1757"/>
      <c r="CB591" s="1757"/>
      <c r="CC591" s="1757"/>
      <c r="CD591" s="1757"/>
      <c r="CE591" s="1757"/>
      <c r="CF591" s="1757"/>
      <c r="CG591" s="1757"/>
      <c r="CH591" s="1757"/>
      <c r="CI591" s="1757"/>
      <c r="CJ591" s="1757"/>
      <c r="CK591" s="1757"/>
      <c r="CL591" s="1757"/>
      <c r="CM591" s="1757"/>
      <c r="CN591" s="1757"/>
      <c r="CO591" s="1757"/>
      <c r="CP591" s="1757"/>
      <c r="CQ591" s="1757"/>
      <c r="CR591" s="1757"/>
      <c r="CS591" s="1757"/>
      <c r="CT591" s="1757"/>
      <c r="CU591" s="1757"/>
      <c r="CV591" s="1757"/>
      <c r="CW591" s="1757"/>
      <c r="CX591" s="1757"/>
      <c r="CY591" s="1757"/>
      <c r="CZ591" s="1757"/>
      <c r="DA591" s="1757"/>
      <c r="DB591" s="1757"/>
      <c r="DC591" s="1757"/>
      <c r="DD591" s="1757"/>
      <c r="DE591" s="1757"/>
      <c r="DF591" s="1757"/>
      <c r="DG591" s="1757"/>
      <c r="DH591" s="1757"/>
      <c r="DI591" s="1757"/>
      <c r="DJ591" s="1757"/>
      <c r="DK591" s="1757"/>
      <c r="DL591" s="1757"/>
      <c r="DM591" s="1757"/>
      <c r="DN591" s="1757"/>
      <c r="DO591" s="1757"/>
      <c r="DP591" s="1757"/>
      <c r="DQ591" s="1757"/>
      <c r="DR591" s="1757"/>
      <c r="DS591" s="1757"/>
      <c r="DT591" s="1757"/>
      <c r="DU591" s="1757"/>
      <c r="DV591" s="1757"/>
      <c r="DW591" s="1757"/>
      <c r="DX591" s="1757"/>
      <c r="DY591" s="1757"/>
      <c r="DZ591" s="1757"/>
      <c r="EA591" s="1757"/>
      <c r="EB591" s="1757"/>
      <c r="EC591" s="1757"/>
      <c r="ED591" s="1757"/>
      <c r="EE591" s="1757"/>
      <c r="EF591" s="1757"/>
      <c r="EG591" s="1757"/>
      <c r="EH591" s="1757"/>
      <c r="EI591" s="1757"/>
      <c r="EJ591" s="1757"/>
      <c r="EK591" s="1757"/>
      <c r="EL591" s="1757"/>
      <c r="EM591" s="1757"/>
      <c r="EN591" s="1757"/>
      <c r="EO591" s="1757"/>
      <c r="EP591" s="1757"/>
      <c r="EQ591" s="1757"/>
      <c r="ER591" s="1757"/>
      <c r="ES591" s="1757"/>
      <c r="ET591" s="1757"/>
      <c r="EU591" s="1757"/>
      <c r="EV591" s="1757"/>
      <c r="EW591" s="1757"/>
      <c r="EX591" s="1757"/>
      <c r="EY591" s="1757"/>
      <c r="EZ591" s="1757"/>
      <c r="FA591" s="1757"/>
      <c r="FB591" s="1757"/>
      <c r="FC591" s="1757"/>
      <c r="FD591" s="1757"/>
      <c r="FE591" s="1757"/>
      <c r="FF591" s="1757"/>
      <c r="FG591" s="1757"/>
      <c r="FH591" s="1757"/>
      <c r="FI591" s="1757"/>
    </row>
    <row r="592" spans="1:165">
      <c r="A592" s="1757"/>
      <c r="B592" s="1757"/>
      <c r="C592" s="1757"/>
      <c r="D592" s="1757"/>
      <c r="E592" s="1757"/>
      <c r="F592" s="1757"/>
      <c r="G592" s="1757"/>
      <c r="H592" s="1757"/>
      <c r="I592" s="1757"/>
      <c r="J592" s="1757"/>
      <c r="K592" s="1757"/>
      <c r="L592" s="1757"/>
      <c r="M592" s="1757"/>
      <c r="N592" s="1757"/>
      <c r="O592" s="1757"/>
      <c r="P592" s="1757"/>
      <c r="Q592" s="1757"/>
      <c r="R592" s="1757"/>
      <c r="S592" s="1757"/>
      <c r="T592" s="1757"/>
      <c r="U592" s="1757"/>
      <c r="V592" s="1757"/>
      <c r="W592" s="1757"/>
      <c r="X592" s="1757"/>
      <c r="Y592" s="1757"/>
      <c r="Z592" s="1757"/>
      <c r="AA592" s="1757"/>
      <c r="AB592" s="1757"/>
      <c r="AC592" s="1757"/>
      <c r="AD592" s="1757"/>
      <c r="AE592" s="1757"/>
      <c r="AF592" s="1757"/>
      <c r="AG592" s="1757"/>
      <c r="AH592" s="1757"/>
      <c r="AI592" s="1757"/>
      <c r="AJ592" s="1757"/>
      <c r="AK592" s="1757"/>
      <c r="AL592" s="1757"/>
      <c r="AM592" s="1757"/>
      <c r="AN592" s="1757"/>
      <c r="AO592" s="1757"/>
      <c r="AP592" s="1757"/>
      <c r="AQ592" s="1757"/>
      <c r="AR592" s="1757"/>
      <c r="AS592" s="1757"/>
      <c r="AT592" s="1757"/>
      <c r="AU592" s="1757"/>
      <c r="AV592" s="1757"/>
      <c r="AW592" s="1757"/>
      <c r="AX592" s="1757"/>
      <c r="AY592" s="1757"/>
      <c r="AZ592" s="1757"/>
      <c r="BA592" s="1757"/>
      <c r="BB592" s="1757"/>
      <c r="BC592" s="1757"/>
      <c r="BD592" s="1757"/>
      <c r="BE592" s="1757"/>
      <c r="BF592" s="1757"/>
      <c r="BG592" s="1757"/>
      <c r="BH592" s="1757"/>
      <c r="BI592" s="1757"/>
      <c r="BJ592" s="1757"/>
      <c r="BK592" s="1757"/>
      <c r="BL592" s="1757"/>
      <c r="BM592" s="1757"/>
      <c r="BN592" s="1757"/>
      <c r="BO592" s="1757"/>
      <c r="BP592" s="1757"/>
      <c r="BQ592" s="1757"/>
      <c r="BR592" s="1757"/>
      <c r="BS592" s="1757"/>
      <c r="BT592" s="1757"/>
      <c r="BU592" s="1757"/>
      <c r="BV592" s="1757"/>
      <c r="BW592" s="1757"/>
      <c r="BX592" s="1757"/>
      <c r="BY592" s="1757"/>
      <c r="BZ592" s="1757"/>
      <c r="CA592" s="1757"/>
      <c r="CB592" s="1757"/>
      <c r="CC592" s="1757"/>
      <c r="CD592" s="1757"/>
      <c r="CE592" s="1757"/>
      <c r="CF592" s="1757"/>
      <c r="CG592" s="1757"/>
      <c r="CH592" s="1757"/>
      <c r="CI592" s="1757"/>
      <c r="CJ592" s="1757"/>
      <c r="CK592" s="1757"/>
      <c r="CL592" s="1757"/>
      <c r="CM592" s="1757"/>
      <c r="CN592" s="1757"/>
      <c r="CO592" s="1757"/>
      <c r="CP592" s="1757"/>
      <c r="CQ592" s="1757"/>
      <c r="CR592" s="1757"/>
      <c r="CS592" s="1757"/>
      <c r="CT592" s="1757"/>
      <c r="CU592" s="1757"/>
      <c r="CV592" s="1757"/>
      <c r="CW592" s="1757"/>
      <c r="CX592" s="1757"/>
      <c r="CY592" s="1757"/>
      <c r="CZ592" s="1757"/>
      <c r="DA592" s="1757"/>
      <c r="DB592" s="1757"/>
      <c r="DC592" s="1757"/>
      <c r="DD592" s="1757"/>
      <c r="DE592" s="1757"/>
      <c r="DF592" s="1757"/>
      <c r="DG592" s="1757"/>
      <c r="DH592" s="1757"/>
      <c r="DI592" s="1757"/>
      <c r="DJ592" s="1757"/>
      <c r="DK592" s="1757"/>
      <c r="DL592" s="1757"/>
      <c r="DM592" s="1757"/>
      <c r="DN592" s="1757"/>
      <c r="DO592" s="1757"/>
      <c r="DP592" s="1757"/>
      <c r="DQ592" s="1757"/>
      <c r="DR592" s="1757"/>
      <c r="DS592" s="1757"/>
      <c r="DT592" s="1757"/>
      <c r="DU592" s="1757"/>
      <c r="DV592" s="1757"/>
      <c r="DW592" s="1757"/>
      <c r="DX592" s="1757"/>
      <c r="DY592" s="1757"/>
      <c r="DZ592" s="1757"/>
      <c r="EA592" s="1757"/>
      <c r="EB592" s="1757"/>
      <c r="EC592" s="1757"/>
      <c r="ED592" s="1757"/>
      <c r="EE592" s="1757"/>
      <c r="EF592" s="1757"/>
      <c r="EG592" s="1757"/>
      <c r="EH592" s="1757"/>
      <c r="EI592" s="1757"/>
      <c r="EJ592" s="1757"/>
      <c r="EK592" s="1757"/>
      <c r="EL592" s="1757"/>
      <c r="EM592" s="1757"/>
      <c r="EN592" s="1757"/>
      <c r="EO592" s="1757"/>
      <c r="EP592" s="1757"/>
      <c r="EQ592" s="1757"/>
      <c r="ER592" s="1757"/>
      <c r="ES592" s="1757"/>
      <c r="ET592" s="1757"/>
      <c r="EU592" s="1757"/>
      <c r="EV592" s="1757"/>
      <c r="EW592" s="1757"/>
      <c r="EX592" s="1757"/>
      <c r="EY592" s="1757"/>
      <c r="EZ592" s="1757"/>
      <c r="FA592" s="1757"/>
      <c r="FB592" s="1757"/>
      <c r="FC592" s="1757"/>
      <c r="FD592" s="1757"/>
      <c r="FE592" s="1757"/>
      <c r="FF592" s="1757"/>
      <c r="FG592" s="1757"/>
      <c r="FH592" s="1757"/>
      <c r="FI592" s="1757"/>
    </row>
    <row r="593" spans="1:165">
      <c r="A593" s="1757"/>
      <c r="B593" s="1757"/>
      <c r="C593" s="1757"/>
      <c r="D593" s="1757"/>
      <c r="E593" s="1757"/>
      <c r="F593" s="1757"/>
      <c r="G593" s="1757"/>
      <c r="H593" s="1757"/>
      <c r="I593" s="1757"/>
      <c r="J593" s="1757"/>
      <c r="K593" s="1757"/>
      <c r="L593" s="1757"/>
      <c r="M593" s="1757"/>
      <c r="N593" s="1757"/>
      <c r="O593" s="1757"/>
      <c r="P593" s="1757"/>
      <c r="Q593" s="1757"/>
      <c r="R593" s="1757"/>
      <c r="S593" s="1757"/>
      <c r="T593" s="1757"/>
      <c r="U593" s="1757"/>
      <c r="V593" s="1757"/>
      <c r="W593" s="1757"/>
      <c r="X593" s="1757"/>
      <c r="Y593" s="1757"/>
      <c r="Z593" s="1757"/>
      <c r="AA593" s="1757"/>
      <c r="AB593" s="1757"/>
      <c r="AC593" s="1757"/>
      <c r="AD593" s="1757"/>
      <c r="AE593" s="1757"/>
      <c r="AF593" s="1757"/>
      <c r="AG593" s="1757"/>
      <c r="AH593" s="1757"/>
      <c r="AI593" s="1757"/>
      <c r="AJ593" s="1757"/>
      <c r="AK593" s="1757"/>
      <c r="AL593" s="1757"/>
      <c r="AM593" s="1757"/>
      <c r="AN593" s="1757"/>
      <c r="AO593" s="1757"/>
      <c r="AP593" s="1757"/>
      <c r="AQ593" s="1757"/>
      <c r="AR593" s="1757"/>
      <c r="AS593" s="1757"/>
      <c r="AT593" s="1757"/>
      <c r="AU593" s="1757"/>
      <c r="AV593" s="1757"/>
      <c r="AW593" s="1757"/>
      <c r="AX593" s="1757"/>
      <c r="AY593" s="1757"/>
      <c r="AZ593" s="1757"/>
      <c r="BA593" s="1757"/>
      <c r="BB593" s="1757"/>
      <c r="BC593" s="1757"/>
      <c r="BD593" s="1757"/>
      <c r="BE593" s="1757"/>
      <c r="BF593" s="1757"/>
      <c r="BG593" s="1757"/>
      <c r="BH593" s="1757"/>
      <c r="BI593" s="1757"/>
      <c r="BJ593" s="1757"/>
      <c r="BK593" s="1757"/>
      <c r="BL593" s="1757"/>
      <c r="BM593" s="1757"/>
      <c r="BN593" s="1757"/>
      <c r="BO593" s="1757"/>
      <c r="BP593" s="1757"/>
      <c r="BQ593" s="1757"/>
      <c r="BR593" s="1757"/>
      <c r="BS593" s="1757"/>
      <c r="BT593" s="1757"/>
      <c r="BU593" s="1757"/>
      <c r="BV593" s="1757"/>
      <c r="BW593" s="1757"/>
      <c r="BX593" s="1757"/>
      <c r="BY593" s="1757"/>
      <c r="BZ593" s="1757"/>
      <c r="CA593" s="1757"/>
      <c r="CB593" s="1757"/>
      <c r="CC593" s="1757"/>
      <c r="CD593" s="1757"/>
      <c r="CE593" s="1757"/>
      <c r="CF593" s="1757"/>
      <c r="CG593" s="1757"/>
      <c r="CH593" s="1757"/>
      <c r="CI593" s="1757"/>
      <c r="CJ593" s="1757"/>
      <c r="CK593" s="1757"/>
      <c r="CL593" s="1757"/>
      <c r="CM593" s="1757"/>
      <c r="CN593" s="1757"/>
      <c r="CO593" s="1757"/>
      <c r="CP593" s="1757"/>
      <c r="CQ593" s="1757"/>
      <c r="CR593" s="1757"/>
      <c r="CS593" s="1757"/>
      <c r="CT593" s="1757"/>
      <c r="CU593" s="1757"/>
      <c r="CV593" s="1757"/>
      <c r="CW593" s="1757"/>
      <c r="CX593" s="1757"/>
      <c r="CY593" s="1757"/>
      <c r="CZ593" s="1757"/>
      <c r="DA593" s="1757"/>
      <c r="DB593" s="1757"/>
      <c r="DC593" s="1757"/>
      <c r="DD593" s="1757"/>
      <c r="DE593" s="1757"/>
      <c r="DF593" s="1757"/>
      <c r="DG593" s="1757"/>
      <c r="DH593" s="1757"/>
      <c r="DI593" s="1757"/>
      <c r="DJ593" s="1757"/>
      <c r="DK593" s="1757"/>
      <c r="DL593" s="1757"/>
      <c r="DM593" s="1757"/>
      <c r="DN593" s="1757"/>
      <c r="DO593" s="1757"/>
      <c r="DP593" s="1757"/>
      <c r="DQ593" s="1757"/>
      <c r="DR593" s="1757"/>
      <c r="DS593" s="1757"/>
      <c r="DT593" s="1757"/>
      <c r="DU593" s="1757"/>
      <c r="DV593" s="1757"/>
      <c r="DW593" s="1757"/>
      <c r="DX593" s="1757"/>
      <c r="DY593" s="1757"/>
      <c r="DZ593" s="1757"/>
      <c r="EA593" s="1757"/>
      <c r="EB593" s="1757"/>
      <c r="EC593" s="1757"/>
      <c r="ED593" s="1757"/>
      <c r="EE593" s="1757"/>
      <c r="EF593" s="1757"/>
      <c r="EG593" s="1757"/>
      <c r="EH593" s="1757"/>
      <c r="EI593" s="1757"/>
      <c r="EJ593" s="1757"/>
      <c r="EK593" s="1757"/>
      <c r="EL593" s="1757"/>
      <c r="EM593" s="1757"/>
      <c r="EN593" s="1757"/>
      <c r="EO593" s="1757"/>
      <c r="EP593" s="1757"/>
      <c r="EQ593" s="1757"/>
      <c r="ER593" s="1757"/>
      <c r="ES593" s="1757"/>
      <c r="ET593" s="1757"/>
      <c r="EU593" s="1757"/>
      <c r="EV593" s="1757"/>
      <c r="EW593" s="1757"/>
      <c r="EX593" s="1757"/>
      <c r="EY593" s="1757"/>
      <c r="EZ593" s="1757"/>
      <c r="FA593" s="1757"/>
      <c r="FB593" s="1757"/>
      <c r="FC593" s="1757"/>
      <c r="FD593" s="1757"/>
      <c r="FE593" s="1757"/>
      <c r="FF593" s="1757"/>
      <c r="FG593" s="1757"/>
      <c r="FH593" s="1757"/>
      <c r="FI593" s="1757"/>
    </row>
    <row r="594" spans="1:165">
      <c r="A594" s="1757"/>
      <c r="B594" s="1757"/>
      <c r="C594" s="1757"/>
      <c r="D594" s="1757"/>
      <c r="E594" s="1757"/>
      <c r="F594" s="1757"/>
      <c r="G594" s="1757"/>
      <c r="H594" s="1757"/>
      <c r="I594" s="1757"/>
      <c r="J594" s="1757"/>
      <c r="K594" s="1757"/>
      <c r="L594" s="1757"/>
      <c r="M594" s="1757"/>
      <c r="N594" s="1757"/>
      <c r="O594" s="1757"/>
      <c r="P594" s="1757"/>
      <c r="Q594" s="1757"/>
      <c r="R594" s="1757"/>
      <c r="S594" s="1757"/>
      <c r="T594" s="1757"/>
      <c r="U594" s="1757"/>
      <c r="V594" s="1757"/>
      <c r="W594" s="1757"/>
      <c r="X594" s="1757"/>
      <c r="Y594" s="1757"/>
      <c r="Z594" s="1757"/>
      <c r="AA594" s="1757"/>
      <c r="AB594" s="1757"/>
      <c r="AC594" s="1757"/>
      <c r="AD594" s="1757"/>
      <c r="AE594" s="1757"/>
      <c r="AF594" s="1757"/>
      <c r="AG594" s="1757"/>
      <c r="AH594" s="1757"/>
      <c r="AI594" s="1757"/>
      <c r="AJ594" s="1757"/>
      <c r="AK594" s="1757"/>
      <c r="AL594" s="1757"/>
      <c r="AM594" s="1757"/>
      <c r="AN594" s="1757"/>
      <c r="AO594" s="1757"/>
      <c r="AP594" s="1757"/>
      <c r="AQ594" s="1757"/>
      <c r="AR594" s="1757"/>
      <c r="AS594" s="1757"/>
      <c r="AT594" s="1757"/>
      <c r="AU594" s="1757"/>
      <c r="AV594" s="1757"/>
      <c r="AW594" s="1757"/>
      <c r="AX594" s="1757"/>
      <c r="AY594" s="1757"/>
      <c r="AZ594" s="1757"/>
      <c r="BA594" s="1757"/>
      <c r="BB594" s="1757"/>
      <c r="BC594" s="1757"/>
      <c r="BD594" s="1757"/>
      <c r="BE594" s="1757"/>
      <c r="BF594" s="1757"/>
      <c r="BG594" s="1757"/>
      <c r="BH594" s="1757"/>
      <c r="BI594" s="1757"/>
      <c r="BJ594" s="1757"/>
      <c r="BK594" s="1757"/>
      <c r="BL594" s="1757"/>
      <c r="BM594" s="1757"/>
      <c r="BN594" s="1757"/>
      <c r="BO594" s="1757"/>
      <c r="BP594" s="1757"/>
      <c r="BQ594" s="1757"/>
      <c r="BR594" s="1757"/>
      <c r="BS594" s="1757"/>
      <c r="BT594" s="1757"/>
      <c r="BU594" s="1757"/>
      <c r="BV594" s="1757"/>
      <c r="BW594" s="1757"/>
      <c r="BX594" s="1757"/>
      <c r="BY594" s="1757"/>
      <c r="BZ594" s="1757"/>
      <c r="CA594" s="1757"/>
      <c r="CB594" s="1757"/>
      <c r="CC594" s="1757"/>
      <c r="CD594" s="1757"/>
      <c r="CE594" s="1757"/>
      <c r="CF594" s="1757"/>
      <c r="CG594" s="1757"/>
      <c r="CH594" s="1757"/>
      <c r="CI594" s="1757"/>
      <c r="CJ594" s="1757"/>
      <c r="CK594" s="1757"/>
      <c r="CL594" s="1757"/>
      <c r="CM594" s="1757"/>
      <c r="CN594" s="1757"/>
      <c r="CO594" s="1757"/>
      <c r="CP594" s="1757"/>
      <c r="CQ594" s="1757"/>
      <c r="CR594" s="1757"/>
      <c r="CS594" s="1757"/>
      <c r="CT594" s="1757"/>
      <c r="CU594" s="1757"/>
      <c r="CV594" s="1757"/>
      <c r="CW594" s="1757"/>
      <c r="CX594" s="1757"/>
      <c r="CY594" s="1757"/>
      <c r="CZ594" s="1757"/>
      <c r="DA594" s="1757"/>
      <c r="DB594" s="1757"/>
      <c r="DC594" s="1757"/>
      <c r="DD594" s="1757"/>
      <c r="DE594" s="1757"/>
      <c r="DF594" s="1757"/>
      <c r="DG594" s="1757"/>
      <c r="DH594" s="1757"/>
      <c r="DI594" s="1757"/>
      <c r="DJ594" s="1757"/>
      <c r="DK594" s="1757"/>
      <c r="DL594" s="1757"/>
      <c r="DM594" s="1757"/>
      <c r="DN594" s="1757"/>
      <c r="DO594" s="1757"/>
      <c r="DP594" s="1757"/>
      <c r="DQ594" s="1757"/>
      <c r="DR594" s="1757"/>
      <c r="DS594" s="1757"/>
      <c r="DT594" s="1757"/>
      <c r="DU594" s="1757"/>
      <c r="DV594" s="1757"/>
      <c r="DW594" s="1757"/>
      <c r="DX594" s="1757"/>
      <c r="DY594" s="1757"/>
      <c r="DZ594" s="1757"/>
      <c r="EA594" s="1757"/>
      <c r="EB594" s="1757"/>
      <c r="EC594" s="1757"/>
      <c r="ED594" s="1757"/>
      <c r="EE594" s="1757"/>
      <c r="EF594" s="1757"/>
      <c r="EG594" s="1757"/>
      <c r="EH594" s="1757"/>
      <c r="EI594" s="1757"/>
      <c r="EJ594" s="1757"/>
      <c r="EK594" s="1757"/>
      <c r="EL594" s="1757"/>
      <c r="EM594" s="1757"/>
      <c r="EN594" s="1757"/>
      <c r="EO594" s="1757"/>
      <c r="EP594" s="1757"/>
      <c r="EQ594" s="1757"/>
      <c r="ER594" s="1757"/>
      <c r="ES594" s="1757"/>
      <c r="ET594" s="1757"/>
      <c r="EU594" s="1757"/>
      <c r="EV594" s="1757"/>
      <c r="EW594" s="1757"/>
      <c r="EX594" s="1757"/>
      <c r="EY594" s="1757"/>
      <c r="EZ594" s="1757"/>
      <c r="FA594" s="1757"/>
      <c r="FB594" s="1757"/>
      <c r="FC594" s="1757"/>
      <c r="FD594" s="1757"/>
      <c r="FE594" s="1757"/>
      <c r="FF594" s="1757"/>
      <c r="FG594" s="1757"/>
      <c r="FH594" s="1757"/>
      <c r="FI594" s="1757"/>
    </row>
    <row r="595" spans="1:165">
      <c r="A595" s="1757"/>
      <c r="B595" s="1757"/>
      <c r="C595" s="1757"/>
      <c r="D595" s="1757"/>
      <c r="E595" s="1757"/>
      <c r="F595" s="1757"/>
      <c r="G595" s="1757"/>
      <c r="H595" s="1757"/>
      <c r="I595" s="1757"/>
      <c r="J595" s="1757"/>
      <c r="K595" s="1757"/>
      <c r="L595" s="1757"/>
      <c r="M595" s="1757"/>
      <c r="N595" s="1757"/>
      <c r="O595" s="1757"/>
      <c r="P595" s="1757"/>
      <c r="Q595" s="1757"/>
      <c r="R595" s="1757"/>
      <c r="S595" s="1757"/>
      <c r="T595" s="1757"/>
      <c r="U595" s="1757"/>
      <c r="V595" s="1757"/>
      <c r="W595" s="1757"/>
      <c r="X595" s="1757"/>
      <c r="Y595" s="1757"/>
      <c r="Z595" s="1757"/>
      <c r="AA595" s="1757"/>
      <c r="AB595" s="1757"/>
      <c r="AC595" s="1757"/>
      <c r="AD595" s="1757"/>
      <c r="AE595" s="1757"/>
      <c r="AF595" s="1757"/>
      <c r="AG595" s="1757"/>
      <c r="AH595" s="1757"/>
      <c r="AI595" s="1757"/>
      <c r="AJ595" s="1757"/>
      <c r="AK595" s="1757"/>
      <c r="AL595" s="1757"/>
      <c r="AM595" s="1757"/>
      <c r="AN595" s="1757"/>
      <c r="AO595" s="1757"/>
      <c r="AP595" s="1757"/>
      <c r="AQ595" s="1757"/>
      <c r="AR595" s="1757"/>
      <c r="AS595" s="1757"/>
      <c r="AT595" s="1757"/>
      <c r="AU595" s="1757"/>
      <c r="AV595" s="1757"/>
      <c r="AW595" s="1757"/>
      <c r="AX595" s="1757"/>
      <c r="AY595" s="1757"/>
      <c r="AZ595" s="1757"/>
      <c r="BA595" s="1757"/>
      <c r="BB595" s="1757"/>
      <c r="BC595" s="1757"/>
      <c r="BD595" s="1757"/>
      <c r="BE595" s="1757"/>
      <c r="BF595" s="1757"/>
      <c r="BG595" s="1757"/>
      <c r="BH595" s="1757"/>
      <c r="BI595" s="1757"/>
      <c r="BJ595" s="1757"/>
      <c r="BK595" s="1757"/>
      <c r="BL595" s="1757"/>
      <c r="BM595" s="1757"/>
      <c r="BN595" s="1757"/>
      <c r="BO595" s="1757"/>
      <c r="BP595" s="1757"/>
      <c r="BQ595" s="1757"/>
      <c r="BR595" s="1757"/>
      <c r="BS595" s="1757"/>
      <c r="BT595" s="1757"/>
      <c r="BU595" s="1757"/>
      <c r="BV595" s="1757"/>
      <c r="BW595" s="1757"/>
      <c r="BX595" s="1757"/>
      <c r="BY595" s="1757"/>
      <c r="BZ595" s="1757"/>
      <c r="CA595" s="1757"/>
      <c r="CB595" s="1757"/>
      <c r="CC595" s="1757"/>
      <c r="CD595" s="1757"/>
      <c r="CE595" s="1757"/>
      <c r="CF595" s="1757"/>
      <c r="CG595" s="1757"/>
      <c r="CH595" s="1757"/>
      <c r="CI595" s="1757"/>
      <c r="CJ595" s="1757"/>
      <c r="CK595" s="1757"/>
      <c r="CL595" s="1757"/>
      <c r="CM595" s="1757"/>
      <c r="CN595" s="1757"/>
      <c r="CO595" s="1757"/>
      <c r="CP595" s="1757"/>
      <c r="CQ595" s="1757"/>
      <c r="CR595" s="1757"/>
      <c r="CS595" s="1757"/>
      <c r="CT595" s="1757"/>
      <c r="CU595" s="1757"/>
      <c r="CV595" s="1757"/>
      <c r="CW595" s="1757"/>
      <c r="CX595" s="1757"/>
      <c r="CY595" s="1757"/>
      <c r="CZ595" s="1757"/>
      <c r="DA595" s="1757"/>
      <c r="DB595" s="1757"/>
      <c r="DC595" s="1757"/>
      <c r="DD595" s="1757"/>
      <c r="DE595" s="1757"/>
      <c r="DF595" s="1757"/>
      <c r="DG595" s="1757"/>
      <c r="DH595" s="1757"/>
      <c r="DI595" s="1757"/>
      <c r="DJ595" s="1757"/>
      <c r="DK595" s="1757"/>
      <c r="DL595" s="1757"/>
      <c r="DM595" s="1757"/>
      <c r="DN595" s="1757"/>
      <c r="DO595" s="1757"/>
      <c r="DP595" s="1757"/>
      <c r="DQ595" s="1757"/>
      <c r="DR595" s="1757"/>
      <c r="DS595" s="1757"/>
      <c r="DT595" s="1757"/>
      <c r="DU595" s="1757"/>
      <c r="DV595" s="1757"/>
      <c r="DW595" s="1757"/>
      <c r="DX595" s="1757"/>
      <c r="DY595" s="1757"/>
      <c r="DZ595" s="1757"/>
      <c r="EA595" s="1757"/>
      <c r="EB595" s="1757"/>
      <c r="EC595" s="1757"/>
      <c r="ED595" s="1757"/>
      <c r="EE595" s="1757"/>
      <c r="EF595" s="1757"/>
      <c r="EG595" s="1757"/>
      <c r="EH595" s="1757"/>
      <c r="EI595" s="1757"/>
      <c r="EJ595" s="1757"/>
      <c r="EK595" s="1757"/>
      <c r="EL595" s="1757"/>
      <c r="EM595" s="1757"/>
      <c r="EN595" s="1757"/>
      <c r="EO595" s="1757"/>
      <c r="EP595" s="1757"/>
      <c r="EQ595" s="1757"/>
      <c r="ER595" s="1757"/>
      <c r="ES595" s="1757"/>
      <c r="ET595" s="1757"/>
      <c r="EU595" s="1757"/>
      <c r="EV595" s="1757"/>
      <c r="EW595" s="1757"/>
      <c r="EX595" s="1757"/>
      <c r="EY595" s="1757"/>
      <c r="EZ595" s="1757"/>
      <c r="FA595" s="1757"/>
      <c r="FB595" s="1757"/>
      <c r="FC595" s="1757"/>
      <c r="FD595" s="1757"/>
      <c r="FE595" s="1757"/>
      <c r="FF595" s="1757"/>
      <c r="FG595" s="1757"/>
      <c r="FH595" s="1757"/>
      <c r="FI595" s="1757"/>
    </row>
    <row r="596" spans="1:165">
      <c r="A596" s="1757"/>
      <c r="B596" s="1757"/>
      <c r="C596" s="1757"/>
      <c r="D596" s="1757"/>
      <c r="E596" s="1757"/>
      <c r="F596" s="1757"/>
      <c r="G596" s="1757"/>
      <c r="H596" s="1757"/>
      <c r="I596" s="1757"/>
      <c r="J596" s="1757"/>
      <c r="K596" s="1757"/>
      <c r="L596" s="1757"/>
      <c r="M596" s="1757"/>
      <c r="N596" s="1757"/>
      <c r="O596" s="1757"/>
      <c r="P596" s="1757"/>
      <c r="Q596" s="1757"/>
      <c r="R596" s="1757"/>
      <c r="S596" s="1757"/>
      <c r="T596" s="1757"/>
      <c r="U596" s="1757"/>
      <c r="V596" s="1757"/>
      <c r="W596" s="1757"/>
      <c r="X596" s="1757"/>
      <c r="Y596" s="1757"/>
      <c r="Z596" s="1757"/>
      <c r="AA596" s="1757"/>
      <c r="AB596" s="1757"/>
      <c r="AC596" s="1757"/>
      <c r="AD596" s="1757"/>
      <c r="AE596" s="1757"/>
      <c r="AF596" s="1757"/>
      <c r="AG596" s="1757"/>
      <c r="AH596" s="1757"/>
      <c r="AI596" s="1757"/>
      <c r="AJ596" s="1757"/>
      <c r="AK596" s="1757"/>
      <c r="AL596" s="1757"/>
      <c r="AM596" s="1757"/>
      <c r="AN596" s="1757"/>
      <c r="AO596" s="1757"/>
      <c r="AP596" s="1757"/>
      <c r="AQ596" s="1757"/>
      <c r="AR596" s="1757"/>
      <c r="AS596" s="1757"/>
      <c r="AT596" s="1757"/>
      <c r="AU596" s="1757"/>
      <c r="AV596" s="1757"/>
      <c r="AW596" s="1757"/>
      <c r="AX596" s="1757"/>
      <c r="AY596" s="1757"/>
      <c r="AZ596" s="1757"/>
      <c r="BA596" s="1757"/>
      <c r="BB596" s="1757"/>
      <c r="BC596" s="1757"/>
      <c r="BD596" s="1757"/>
      <c r="BE596" s="1757"/>
      <c r="BF596" s="1757"/>
      <c r="BG596" s="1757"/>
      <c r="BH596" s="1757"/>
      <c r="BI596" s="1757"/>
      <c r="BJ596" s="1757"/>
      <c r="BK596" s="1757"/>
      <c r="BL596" s="1757"/>
      <c r="BM596" s="1757"/>
      <c r="BN596" s="1757"/>
      <c r="BO596" s="1757"/>
      <c r="BP596" s="1757"/>
      <c r="BQ596" s="1757"/>
      <c r="BR596" s="1757"/>
      <c r="BS596" s="1757"/>
      <c r="BT596" s="1757"/>
      <c r="BU596" s="1757"/>
      <c r="BV596" s="1757"/>
      <c r="BW596" s="1757"/>
      <c r="BX596" s="1757"/>
      <c r="BY596" s="1757"/>
      <c r="BZ596" s="1757"/>
      <c r="CA596" s="1757"/>
      <c r="CB596" s="1757"/>
      <c r="CC596" s="1757"/>
      <c r="CD596" s="1757"/>
      <c r="CE596" s="1757"/>
      <c r="CF596" s="1757"/>
      <c r="CG596" s="1757"/>
      <c r="CH596" s="1757"/>
      <c r="CI596" s="1757"/>
      <c r="CJ596" s="1757"/>
      <c r="CK596" s="1757"/>
      <c r="CL596" s="1757"/>
      <c r="CM596" s="1757"/>
      <c r="CN596" s="1757"/>
      <c r="CO596" s="1757"/>
      <c r="CP596" s="1757"/>
      <c r="CQ596" s="1757"/>
      <c r="CR596" s="1757"/>
      <c r="CS596" s="1757"/>
      <c r="CT596" s="1757"/>
      <c r="CU596" s="1757"/>
      <c r="CV596" s="1757"/>
      <c r="CW596" s="1757"/>
      <c r="CX596" s="1757"/>
      <c r="CY596" s="1757"/>
      <c r="CZ596" s="1757"/>
      <c r="DA596" s="1757"/>
      <c r="DB596" s="1757"/>
      <c r="DC596" s="1757"/>
      <c r="DD596" s="1757"/>
      <c r="DE596" s="1757"/>
      <c r="DF596" s="1757"/>
      <c r="DG596" s="1757"/>
      <c r="DH596" s="1757"/>
      <c r="DI596" s="1757"/>
      <c r="DJ596" s="1757"/>
      <c r="DK596" s="1757"/>
      <c r="DL596" s="1757"/>
      <c r="DM596" s="1757"/>
      <c r="DN596" s="1757"/>
      <c r="DO596" s="1757"/>
      <c r="DP596" s="1757"/>
      <c r="DQ596" s="1757"/>
      <c r="DR596" s="1757"/>
      <c r="DS596" s="1757"/>
      <c r="DT596" s="1757"/>
      <c r="DU596" s="1757"/>
      <c r="DV596" s="1757"/>
      <c r="DW596" s="1757"/>
      <c r="DX596" s="1757"/>
      <c r="DY596" s="1757"/>
      <c r="DZ596" s="1757"/>
      <c r="EA596" s="1757"/>
      <c r="EB596" s="1757"/>
      <c r="EC596" s="1757"/>
      <c r="ED596" s="1757"/>
      <c r="EE596" s="1757"/>
      <c r="EF596" s="1757"/>
      <c r="EG596" s="1757"/>
      <c r="EH596" s="1757"/>
      <c r="EI596" s="1757"/>
      <c r="EJ596" s="1757"/>
      <c r="EK596" s="1757"/>
      <c r="EL596" s="1757"/>
      <c r="EM596" s="1757"/>
      <c r="EN596" s="1757"/>
      <c r="EO596" s="1757"/>
      <c r="EP596" s="1757"/>
      <c r="EQ596" s="1757"/>
      <c r="ER596" s="1757"/>
      <c r="ES596" s="1757"/>
      <c r="ET596" s="1757"/>
      <c r="EU596" s="1757"/>
      <c r="EV596" s="1757"/>
      <c r="EW596" s="1757"/>
      <c r="EX596" s="1757"/>
      <c r="EY596" s="1757"/>
      <c r="EZ596" s="1757"/>
      <c r="FA596" s="1757"/>
      <c r="FB596" s="1757"/>
      <c r="FC596" s="1757"/>
      <c r="FD596" s="1757"/>
      <c r="FE596" s="1757"/>
      <c r="FF596" s="1757"/>
      <c r="FG596" s="1757"/>
      <c r="FH596" s="1757"/>
      <c r="FI596" s="1757"/>
    </row>
    <row r="597" spans="1:165">
      <c r="A597" s="1757"/>
      <c r="B597" s="1757"/>
      <c r="C597" s="1757"/>
      <c r="D597" s="1757"/>
      <c r="E597" s="1757"/>
      <c r="F597" s="1757"/>
      <c r="G597" s="1757"/>
      <c r="H597" s="1757"/>
      <c r="I597" s="1757"/>
      <c r="J597" s="1757"/>
      <c r="K597" s="1757"/>
      <c r="L597" s="1757"/>
      <c r="M597" s="1757"/>
      <c r="N597" s="1757"/>
      <c r="O597" s="1757"/>
      <c r="P597" s="1757"/>
      <c r="Q597" s="1757"/>
      <c r="R597" s="1757"/>
      <c r="S597" s="1757"/>
      <c r="T597" s="1757"/>
      <c r="U597" s="1757"/>
      <c r="V597" s="1757"/>
      <c r="W597" s="1757"/>
      <c r="X597" s="1757"/>
      <c r="Y597" s="1757"/>
      <c r="Z597" s="1757"/>
      <c r="AA597" s="1757"/>
      <c r="AB597" s="1757"/>
      <c r="AC597" s="1757"/>
      <c r="AD597" s="1757"/>
      <c r="AE597" s="1757"/>
      <c r="AF597" s="1757"/>
      <c r="AG597" s="1757"/>
      <c r="AH597" s="1757"/>
      <c r="AI597" s="1757"/>
      <c r="AJ597" s="1757"/>
      <c r="AK597" s="1757"/>
      <c r="AL597" s="1757"/>
      <c r="AM597" s="1757"/>
      <c r="AN597" s="1757"/>
      <c r="AO597" s="1757"/>
      <c r="AP597" s="1757"/>
      <c r="AQ597" s="1757"/>
      <c r="AR597" s="1757"/>
      <c r="AS597" s="1757"/>
      <c r="AT597" s="1757"/>
      <c r="AU597" s="1757"/>
      <c r="AV597" s="1757"/>
      <c r="AW597" s="1757"/>
      <c r="AX597" s="1757"/>
      <c r="AY597" s="1757"/>
      <c r="AZ597" s="1757"/>
      <c r="BA597" s="1757"/>
      <c r="BB597" s="1757"/>
      <c r="BC597" s="1757"/>
      <c r="BD597" s="1757"/>
      <c r="BE597" s="1757"/>
      <c r="BF597" s="1757"/>
      <c r="BG597" s="1757"/>
      <c r="BH597" s="1757"/>
      <c r="BI597" s="1757"/>
      <c r="BJ597" s="1757"/>
      <c r="BK597" s="1757"/>
      <c r="BL597" s="1757"/>
      <c r="BM597" s="1757"/>
      <c r="BN597" s="1757"/>
      <c r="BO597" s="1757"/>
      <c r="BP597" s="1757"/>
      <c r="BQ597" s="1757"/>
      <c r="BR597" s="1757"/>
      <c r="BS597" s="1757"/>
      <c r="BT597" s="1757"/>
      <c r="BU597" s="1757"/>
      <c r="BV597" s="1757"/>
      <c r="BW597" s="1757"/>
      <c r="BX597" s="1757"/>
      <c r="BY597" s="1757"/>
      <c r="BZ597" s="1757"/>
      <c r="CA597" s="1757"/>
      <c r="CB597" s="1757"/>
      <c r="CC597" s="1757"/>
      <c r="CD597" s="1757"/>
      <c r="CE597" s="1757"/>
      <c r="CF597" s="1757"/>
      <c r="CG597" s="1757"/>
      <c r="CH597" s="1757"/>
      <c r="CI597" s="1757"/>
      <c r="CJ597" s="1757"/>
      <c r="CK597" s="1757"/>
      <c r="CL597" s="1757"/>
      <c r="CM597" s="1757"/>
      <c r="CN597" s="1757"/>
      <c r="CO597" s="1757"/>
      <c r="CP597" s="1757"/>
      <c r="CQ597" s="1757"/>
      <c r="CR597" s="1757"/>
      <c r="CS597" s="1757"/>
      <c r="CT597" s="1757"/>
      <c r="CU597" s="1757"/>
      <c r="CV597" s="1757"/>
      <c r="CW597" s="1757"/>
      <c r="CX597" s="1757"/>
      <c r="CY597" s="1757"/>
      <c r="CZ597" s="1757"/>
      <c r="DA597" s="1757"/>
      <c r="DB597" s="1757"/>
      <c r="DC597" s="1757"/>
      <c r="DD597" s="1757"/>
      <c r="DE597" s="1757"/>
      <c r="DF597" s="1757"/>
      <c r="DG597" s="1757"/>
      <c r="DH597" s="1757"/>
      <c r="DI597" s="1757"/>
      <c r="DJ597" s="1757"/>
      <c r="DK597" s="1757"/>
      <c r="DL597" s="1757"/>
      <c r="DM597" s="1757"/>
      <c r="DN597" s="1757"/>
      <c r="DO597" s="1757"/>
      <c r="DP597" s="1757"/>
      <c r="DQ597" s="1757"/>
      <c r="DR597" s="1757"/>
      <c r="DS597" s="1757"/>
      <c r="DT597" s="1757"/>
      <c r="DU597" s="1757"/>
      <c r="DV597" s="1757"/>
      <c r="DW597" s="1757"/>
      <c r="DX597" s="1757"/>
      <c r="DY597" s="1757"/>
      <c r="DZ597" s="1757"/>
      <c r="EA597" s="1757"/>
      <c r="EB597" s="1757"/>
      <c r="EC597" s="1757"/>
      <c r="ED597" s="1757"/>
      <c r="EE597" s="1757"/>
      <c r="EF597" s="1757"/>
      <c r="EG597" s="1757"/>
      <c r="EH597" s="1757"/>
      <c r="EI597" s="1757"/>
      <c r="EJ597" s="1757"/>
      <c r="EK597" s="1757"/>
      <c r="EL597" s="1757"/>
      <c r="EM597" s="1757"/>
      <c r="EN597" s="1757"/>
      <c r="EO597" s="1757"/>
      <c r="EP597" s="1757"/>
      <c r="EQ597" s="1757"/>
      <c r="ER597" s="1757"/>
      <c r="ES597" s="1757"/>
      <c r="ET597" s="1757"/>
      <c r="EU597" s="1757"/>
      <c r="EV597" s="1757"/>
      <c r="EW597" s="1757"/>
      <c r="EX597" s="1757"/>
      <c r="EY597" s="1757"/>
      <c r="EZ597" s="1757"/>
      <c r="FA597" s="1757"/>
      <c r="FB597" s="1757"/>
      <c r="FC597" s="1757"/>
      <c r="FD597" s="1757"/>
      <c r="FE597" s="1757"/>
      <c r="FF597" s="1757"/>
      <c r="FG597" s="1757"/>
      <c r="FH597" s="1757"/>
      <c r="FI597" s="1757"/>
    </row>
    <row r="598" spans="1:165">
      <c r="A598" s="1757"/>
      <c r="B598" s="1757"/>
      <c r="C598" s="1757"/>
      <c r="D598" s="1757"/>
      <c r="E598" s="1757"/>
      <c r="F598" s="1757"/>
      <c r="G598" s="1757"/>
      <c r="H598" s="1757"/>
      <c r="I598" s="1757"/>
      <c r="J598" s="1757"/>
      <c r="K598" s="1757"/>
      <c r="L598" s="1757"/>
      <c r="M598" s="1757"/>
      <c r="N598" s="1757"/>
      <c r="O598" s="1757"/>
      <c r="P598" s="1757"/>
      <c r="Q598" s="1757"/>
      <c r="R598" s="1757"/>
      <c r="S598" s="1757"/>
      <c r="T598" s="1757"/>
      <c r="U598" s="1757"/>
      <c r="V598" s="1757"/>
      <c r="W598" s="1757"/>
      <c r="X598" s="1757"/>
      <c r="Y598" s="1757"/>
      <c r="Z598" s="1757"/>
      <c r="AA598" s="1757"/>
      <c r="AB598" s="1757"/>
      <c r="AC598" s="1757"/>
      <c r="AD598" s="1757"/>
      <c r="AE598" s="1757"/>
      <c r="AF598" s="1757"/>
      <c r="AG598" s="1757"/>
      <c r="AH598" s="1757"/>
      <c r="AI598" s="1757"/>
      <c r="AJ598" s="1757"/>
      <c r="AK598" s="1757"/>
      <c r="AL598" s="1757"/>
      <c r="AM598" s="1757"/>
      <c r="AN598" s="1757"/>
      <c r="AO598" s="1757"/>
      <c r="AP598" s="1757"/>
      <c r="AQ598" s="1757"/>
      <c r="AR598" s="1757"/>
      <c r="AS598" s="1757"/>
      <c r="AT598" s="1757"/>
      <c r="AU598" s="1757"/>
      <c r="AV598" s="1757"/>
      <c r="AW598" s="1757"/>
      <c r="AX598" s="1757"/>
      <c r="AY598" s="1757"/>
      <c r="AZ598" s="1757"/>
      <c r="BA598" s="1757"/>
      <c r="BB598" s="1757"/>
      <c r="BC598" s="1757"/>
      <c r="BD598" s="1757"/>
      <c r="BE598" s="1757"/>
      <c r="BF598" s="1757"/>
      <c r="BG598" s="1757"/>
      <c r="BH598" s="1757"/>
      <c r="BI598" s="1757"/>
      <c r="BJ598" s="1757"/>
      <c r="BK598" s="1757"/>
      <c r="BL598" s="1757"/>
      <c r="BM598" s="1757"/>
      <c r="BN598" s="1757"/>
      <c r="BO598" s="1757"/>
      <c r="BP598" s="1757"/>
      <c r="BQ598" s="1757"/>
      <c r="BR598" s="1757"/>
      <c r="BS598" s="1757"/>
      <c r="BT598" s="1757"/>
      <c r="BU598" s="1757"/>
      <c r="BV598" s="1757"/>
      <c r="BW598" s="1757"/>
      <c r="BX598" s="1757"/>
      <c r="BY598" s="1757"/>
      <c r="BZ598" s="1757"/>
      <c r="CA598" s="1757"/>
      <c r="CB598" s="1757"/>
      <c r="CC598" s="1757"/>
      <c r="CD598" s="1757"/>
      <c r="CE598" s="1757"/>
      <c r="CF598" s="1757"/>
      <c r="CG598" s="1757"/>
      <c r="CH598" s="1757"/>
      <c r="CI598" s="1757"/>
      <c r="CJ598" s="1757"/>
      <c r="CK598" s="1757"/>
      <c r="CL598" s="1757"/>
      <c r="CM598" s="1757"/>
      <c r="CN598" s="1757"/>
      <c r="CO598" s="1757"/>
      <c r="CP598" s="1757"/>
      <c r="CQ598" s="1757"/>
      <c r="CR598" s="1757"/>
      <c r="CS598" s="1757"/>
      <c r="CT598" s="1757"/>
      <c r="CU598" s="1757"/>
      <c r="CV598" s="1757"/>
      <c r="CW598" s="1757"/>
      <c r="CX598" s="1757"/>
      <c r="CY598" s="1757"/>
      <c r="CZ598" s="1757"/>
      <c r="DA598" s="1757"/>
      <c r="DB598" s="1757"/>
      <c r="DC598" s="1757"/>
      <c r="DD598" s="1757"/>
      <c r="DE598" s="1757"/>
      <c r="DF598" s="1757"/>
      <c r="DG598" s="1757"/>
      <c r="DH598" s="1757"/>
      <c r="DI598" s="1757"/>
      <c r="DJ598" s="1757"/>
      <c r="DK598" s="1757"/>
      <c r="DL598" s="1757"/>
      <c r="DM598" s="1757"/>
      <c r="DN598" s="1757"/>
      <c r="DO598" s="1757"/>
      <c r="DP598" s="1757"/>
      <c r="DQ598" s="1757"/>
      <c r="DR598" s="1757"/>
      <c r="DS598" s="1757"/>
      <c r="DT598" s="1757"/>
      <c r="DU598" s="1757"/>
      <c r="DV598" s="1757"/>
      <c r="DW598" s="1757"/>
      <c r="DX598" s="1757"/>
      <c r="DY598" s="1757"/>
      <c r="DZ598" s="1757"/>
      <c r="EA598" s="1757"/>
      <c r="EB598" s="1757"/>
      <c r="EC598" s="1757"/>
      <c r="ED598" s="1757"/>
      <c r="EE598" s="1757"/>
      <c r="EF598" s="1757"/>
      <c r="EG598" s="1757"/>
      <c r="EH598" s="1757"/>
      <c r="EI598" s="1757"/>
      <c r="EJ598" s="1757"/>
      <c r="EK598" s="1757"/>
      <c r="EL598" s="1757"/>
      <c r="EM598" s="1757"/>
      <c r="EN598" s="1757"/>
      <c r="EO598" s="1757"/>
      <c r="EP598" s="1757"/>
      <c r="EQ598" s="1757"/>
      <c r="ER598" s="1757"/>
      <c r="ES598" s="1757"/>
      <c r="ET598" s="1757"/>
      <c r="EU598" s="1757"/>
      <c r="EV598" s="1757"/>
      <c r="EW598" s="1757"/>
      <c r="EX598" s="1757"/>
      <c r="EY598" s="1757"/>
      <c r="EZ598" s="1757"/>
      <c r="FA598" s="1757"/>
      <c r="FB598" s="1757"/>
      <c r="FC598" s="1757"/>
      <c r="FD598" s="1757"/>
      <c r="FE598" s="1757"/>
      <c r="FF598" s="1757"/>
      <c r="FG598" s="1757"/>
      <c r="FH598" s="1757"/>
      <c r="FI598" s="1757"/>
    </row>
    <row r="599" spans="1:165">
      <c r="A599" s="1757"/>
      <c r="B599" s="1757"/>
      <c r="C599" s="1757"/>
      <c r="D599" s="1757"/>
      <c r="E599" s="1757"/>
      <c r="F599" s="1757"/>
      <c r="G599" s="1757"/>
      <c r="H599" s="1757"/>
      <c r="I599" s="1757"/>
      <c r="J599" s="1757"/>
      <c r="K599" s="1757"/>
      <c r="L599" s="1757"/>
      <c r="M599" s="1757"/>
      <c r="N599" s="1757"/>
      <c r="O599" s="1757"/>
      <c r="P599" s="1757"/>
      <c r="Q599" s="1757"/>
      <c r="R599" s="1757"/>
      <c r="S599" s="1757"/>
      <c r="T599" s="1757"/>
      <c r="U599" s="1757"/>
      <c r="V599" s="1757"/>
      <c r="W599" s="1757"/>
      <c r="X599" s="1757"/>
      <c r="Y599" s="1757"/>
      <c r="Z599" s="1757"/>
      <c r="AA599" s="1757"/>
      <c r="AB599" s="1757"/>
      <c r="AC599" s="1757"/>
      <c r="AD599" s="1757"/>
      <c r="AE599" s="1757"/>
      <c r="AF599" s="1757"/>
      <c r="AG599" s="1757"/>
      <c r="AH599" s="1757"/>
      <c r="AI599" s="1757"/>
      <c r="AJ599" s="1757"/>
      <c r="AK599" s="1757"/>
      <c r="AL599" s="1757"/>
      <c r="AM599" s="1757"/>
      <c r="AN599" s="1757"/>
      <c r="AO599" s="1757"/>
      <c r="AP599" s="1757"/>
      <c r="AQ599" s="1757"/>
      <c r="AR599" s="1757"/>
      <c r="AS599" s="1757"/>
      <c r="AT599" s="1757"/>
      <c r="AU599" s="1757"/>
      <c r="AV599" s="1757"/>
      <c r="AW599" s="1757"/>
      <c r="AX599" s="1757"/>
      <c r="AY599" s="1757"/>
      <c r="AZ599" s="1757"/>
      <c r="BA599" s="1757"/>
      <c r="BB599" s="1757"/>
      <c r="BC599" s="1757"/>
      <c r="BD599" s="1757"/>
      <c r="BE599" s="1757"/>
      <c r="BF599" s="1757"/>
      <c r="BG599" s="1757"/>
      <c r="BH599" s="1757"/>
      <c r="BI599" s="1757"/>
      <c r="BJ599" s="1757"/>
      <c r="BK599" s="1757"/>
      <c r="BL599" s="1757"/>
      <c r="BM599" s="1757"/>
      <c r="BN599" s="1757"/>
      <c r="BO599" s="1757"/>
      <c r="BP599" s="1757"/>
      <c r="BQ599" s="1757"/>
      <c r="BR599" s="1757"/>
      <c r="BS599" s="1757"/>
      <c r="BT599" s="1757"/>
      <c r="BU599" s="1757"/>
      <c r="BV599" s="1757"/>
      <c r="BW599" s="1757"/>
      <c r="BX599" s="1757"/>
      <c r="BY599" s="1757"/>
      <c r="BZ599" s="1757"/>
      <c r="CA599" s="1757"/>
      <c r="CB599" s="1757"/>
      <c r="CC599" s="1757"/>
      <c r="CD599" s="1757"/>
      <c r="CE599" s="1757"/>
      <c r="CF599" s="1757"/>
      <c r="CG599" s="1757"/>
      <c r="CH599" s="1757"/>
      <c r="CI599" s="1757"/>
      <c r="CJ599" s="1757"/>
      <c r="CK599" s="1757"/>
      <c r="CL599" s="1757"/>
      <c r="CM599" s="1757"/>
      <c r="CN599" s="1757"/>
      <c r="CO599" s="1757"/>
      <c r="CP599" s="1757"/>
      <c r="CQ599" s="1757"/>
      <c r="CR599" s="1757"/>
      <c r="CS599" s="1757"/>
      <c r="CT599" s="1757"/>
      <c r="CU599" s="1757"/>
      <c r="CV599" s="1757"/>
      <c r="CW599" s="1757"/>
      <c r="CX599" s="1757"/>
      <c r="CY599" s="1757"/>
      <c r="CZ599" s="1757"/>
      <c r="DA599" s="1757"/>
      <c r="DB599" s="1757"/>
      <c r="DC599" s="1757"/>
      <c r="DD599" s="1757"/>
      <c r="DE599" s="1757"/>
      <c r="DF599" s="1757"/>
      <c r="DG599" s="1757"/>
      <c r="DH599" s="1757"/>
      <c r="DI599" s="1757"/>
      <c r="DJ599" s="1757"/>
      <c r="DK599" s="1757"/>
      <c r="DL599" s="1757"/>
      <c r="DM599" s="1757"/>
      <c r="DN599" s="1757"/>
      <c r="DO599" s="1757"/>
      <c r="DP599" s="1757"/>
      <c r="DQ599" s="1757"/>
      <c r="DR599" s="1757"/>
      <c r="DS599" s="1757"/>
      <c r="DT599" s="1757"/>
      <c r="DU599" s="1757"/>
      <c r="DV599" s="1757"/>
      <c r="DW599" s="1757"/>
      <c r="DX599" s="1757"/>
      <c r="DY599" s="1757"/>
      <c r="DZ599" s="1757"/>
      <c r="EA599" s="1757"/>
      <c r="EB599" s="1757"/>
      <c r="EC599" s="1757"/>
      <c r="ED599" s="1757"/>
      <c r="EE599" s="1757"/>
      <c r="EF599" s="1757"/>
      <c r="EG599" s="1757"/>
      <c r="EH599" s="1757"/>
      <c r="EI599" s="1757"/>
      <c r="EJ599" s="1757"/>
      <c r="EK599" s="1757"/>
      <c r="EL599" s="1757"/>
      <c r="EM599" s="1757"/>
      <c r="EN599" s="1757"/>
      <c r="EO599" s="1757"/>
      <c r="EP599" s="1757"/>
      <c r="EQ599" s="1757"/>
      <c r="ER599" s="1757"/>
      <c r="ES599" s="1757"/>
      <c r="ET599" s="1757"/>
      <c r="EU599" s="1757"/>
      <c r="EV599" s="1757"/>
      <c r="EW599" s="1757"/>
      <c r="EX599" s="1757"/>
      <c r="EY599" s="1757"/>
      <c r="EZ599" s="1757"/>
      <c r="FA599" s="1757"/>
      <c r="FB599" s="1757"/>
      <c r="FC599" s="1757"/>
      <c r="FD599" s="1757"/>
      <c r="FE599" s="1757"/>
      <c r="FF599" s="1757"/>
      <c r="FG599" s="1757"/>
      <c r="FH599" s="1757"/>
      <c r="FI599" s="1757"/>
    </row>
    <row r="600" spans="1:165">
      <c r="A600" s="1757"/>
      <c r="B600" s="1757"/>
      <c r="C600" s="1757"/>
      <c r="D600" s="1757"/>
      <c r="E600" s="1757"/>
      <c r="F600" s="1757"/>
      <c r="G600" s="1757"/>
      <c r="H600" s="1757"/>
      <c r="I600" s="1757"/>
      <c r="J600" s="1757"/>
      <c r="K600" s="1757"/>
      <c r="L600" s="1757"/>
      <c r="M600" s="1757"/>
      <c r="N600" s="1757"/>
      <c r="O600" s="1757"/>
      <c r="P600" s="1757"/>
      <c r="Q600" s="1757"/>
      <c r="R600" s="1757"/>
      <c r="S600" s="1757"/>
      <c r="T600" s="1757"/>
      <c r="U600" s="1757"/>
      <c r="V600" s="1757"/>
      <c r="W600" s="1757"/>
      <c r="X600" s="1757"/>
      <c r="Y600" s="1757"/>
      <c r="Z600" s="1757"/>
      <c r="AA600" s="1757"/>
      <c r="AB600" s="1757"/>
      <c r="AC600" s="1757"/>
      <c r="AD600" s="1757"/>
      <c r="AE600" s="1757"/>
      <c r="AF600" s="1757"/>
      <c r="AG600" s="1757"/>
      <c r="AH600" s="1757"/>
      <c r="AI600" s="1757"/>
      <c r="AJ600" s="1757"/>
      <c r="AK600" s="1757"/>
      <c r="AL600" s="1757"/>
      <c r="AM600" s="1757"/>
      <c r="AN600" s="1757"/>
      <c r="AO600" s="1757"/>
      <c r="AP600" s="1757"/>
      <c r="AQ600" s="1757"/>
      <c r="AR600" s="1757"/>
      <c r="AS600" s="1757"/>
      <c r="AT600" s="1757"/>
      <c r="AU600" s="1757"/>
      <c r="AV600" s="1757"/>
      <c r="AW600" s="1757"/>
      <c r="AX600" s="1757"/>
      <c r="AY600" s="1757"/>
      <c r="AZ600" s="1757"/>
      <c r="BA600" s="1757"/>
      <c r="BB600" s="1757"/>
      <c r="BC600" s="1757"/>
      <c r="BD600" s="1757"/>
      <c r="BE600" s="1757"/>
      <c r="BF600" s="1757"/>
      <c r="BG600" s="1757"/>
      <c r="BH600" s="1757"/>
      <c r="BI600" s="1757"/>
      <c r="BJ600" s="1757"/>
      <c r="BK600" s="1757"/>
      <c r="BL600" s="1757"/>
      <c r="BM600" s="1757"/>
      <c r="BN600" s="1757"/>
      <c r="BO600" s="1757"/>
      <c r="BP600" s="1757"/>
      <c r="BQ600" s="1757"/>
      <c r="BR600" s="1757"/>
      <c r="BS600" s="1757"/>
      <c r="BT600" s="1757"/>
      <c r="BU600" s="1757"/>
      <c r="BV600" s="1757"/>
      <c r="BW600" s="1757"/>
      <c r="BX600" s="1757"/>
      <c r="BY600" s="1757"/>
      <c r="BZ600" s="1757"/>
      <c r="CA600" s="1757"/>
      <c r="CB600" s="1757"/>
      <c r="CC600" s="1757"/>
      <c r="CD600" s="1757"/>
      <c r="CE600" s="1757"/>
      <c r="CF600" s="1757"/>
      <c r="CG600" s="1757"/>
      <c r="CH600" s="1757"/>
      <c r="CI600" s="1757"/>
      <c r="CJ600" s="1757"/>
      <c r="CK600" s="1757"/>
      <c r="CL600" s="1757"/>
      <c r="CM600" s="1757"/>
      <c r="CN600" s="1757"/>
      <c r="CO600" s="1757"/>
      <c r="CP600" s="1757"/>
      <c r="CQ600" s="1757"/>
      <c r="CR600" s="1757"/>
      <c r="CS600" s="1757"/>
      <c r="CT600" s="1757"/>
      <c r="CU600" s="1757"/>
      <c r="CV600" s="1757"/>
      <c r="CW600" s="1757"/>
      <c r="CX600" s="1757"/>
      <c r="CY600" s="1757"/>
      <c r="CZ600" s="1757"/>
      <c r="DA600" s="1757"/>
      <c r="DB600" s="1757"/>
      <c r="DC600" s="1757"/>
      <c r="DD600" s="1757"/>
      <c r="DE600" s="1757"/>
      <c r="DF600" s="1757"/>
      <c r="DG600" s="1757"/>
      <c r="DH600" s="1757"/>
      <c r="DI600" s="1757"/>
      <c r="DJ600" s="1757"/>
      <c r="DK600" s="1757"/>
      <c r="DL600" s="1757"/>
      <c r="DM600" s="1757"/>
      <c r="DN600" s="1757"/>
      <c r="DO600" s="1757"/>
      <c r="DP600" s="1757"/>
      <c r="DQ600" s="1757"/>
      <c r="DR600" s="1757"/>
      <c r="DS600" s="1757"/>
      <c r="DT600" s="1757"/>
      <c r="DU600" s="1757"/>
      <c r="DV600" s="1757"/>
      <c r="DW600" s="1757"/>
      <c r="DX600" s="1757"/>
      <c r="DY600" s="1757"/>
      <c r="DZ600" s="1757"/>
      <c r="EA600" s="1757"/>
      <c r="EB600" s="1757"/>
      <c r="EC600" s="1757"/>
      <c r="ED600" s="1757"/>
      <c r="EE600" s="1757"/>
      <c r="EF600" s="1757"/>
      <c r="EG600" s="1757"/>
      <c r="EH600" s="1757"/>
      <c r="EI600" s="1757"/>
      <c r="EJ600" s="1757"/>
      <c r="EK600" s="1757"/>
      <c r="EL600" s="1757"/>
      <c r="EM600" s="1757"/>
      <c r="EN600" s="1757"/>
      <c r="EO600" s="1757"/>
      <c r="EP600" s="1757"/>
      <c r="EQ600" s="1757"/>
      <c r="ER600" s="1757"/>
      <c r="ES600" s="1757"/>
      <c r="ET600" s="1757"/>
      <c r="EU600" s="1757"/>
      <c r="EV600" s="1757"/>
      <c r="EW600" s="1757"/>
      <c r="EX600" s="1757"/>
      <c r="EY600" s="1757"/>
      <c r="EZ600" s="1757"/>
      <c r="FA600" s="1757"/>
      <c r="FB600" s="1757"/>
      <c r="FC600" s="1757"/>
      <c r="FD600" s="1757"/>
      <c r="FE600" s="1757"/>
      <c r="FF600" s="1757"/>
      <c r="FG600" s="1757"/>
      <c r="FH600" s="1757"/>
      <c r="FI600" s="1757"/>
    </row>
    <row r="601" spans="1:165">
      <c r="A601" s="1757"/>
      <c r="B601" s="1757"/>
      <c r="C601" s="1757"/>
      <c r="D601" s="1757"/>
      <c r="E601" s="1757"/>
      <c r="F601" s="1757"/>
      <c r="G601" s="1757"/>
      <c r="H601" s="1757"/>
      <c r="I601" s="1757"/>
      <c r="J601" s="1757"/>
      <c r="K601" s="1757"/>
      <c r="L601" s="1757"/>
      <c r="M601" s="1757"/>
      <c r="N601" s="1757"/>
      <c r="O601" s="1757"/>
      <c r="P601" s="1757"/>
      <c r="Q601" s="1757"/>
      <c r="R601" s="1757"/>
      <c r="S601" s="1757"/>
      <c r="T601" s="1757"/>
      <c r="U601" s="1757"/>
      <c r="V601" s="1757"/>
      <c r="W601" s="1757"/>
      <c r="X601" s="1757"/>
      <c r="Y601" s="1757"/>
      <c r="Z601" s="1757"/>
      <c r="AA601" s="1757"/>
      <c r="AB601" s="1757"/>
      <c r="AC601" s="1757"/>
      <c r="AD601" s="1757"/>
      <c r="AE601" s="1757"/>
      <c r="AF601" s="1757"/>
      <c r="AG601" s="1757"/>
      <c r="AH601" s="1757"/>
      <c r="AI601" s="1757"/>
      <c r="AJ601" s="1757"/>
      <c r="AK601" s="1757"/>
      <c r="AL601" s="1757"/>
      <c r="AM601" s="1757"/>
      <c r="AN601" s="1757"/>
      <c r="AO601" s="1757"/>
      <c r="AP601" s="1757"/>
      <c r="AQ601" s="1757"/>
      <c r="AR601" s="1757"/>
      <c r="AS601" s="1757"/>
      <c r="AT601" s="1757"/>
      <c r="AU601" s="1757"/>
      <c r="AV601" s="1757"/>
      <c r="AW601" s="1757"/>
      <c r="AX601" s="1757"/>
      <c r="AY601" s="1757"/>
      <c r="AZ601" s="1757"/>
      <c r="BA601" s="1757"/>
      <c r="BB601" s="1757"/>
      <c r="BC601" s="1757"/>
      <c r="BD601" s="1757"/>
      <c r="BE601" s="1757"/>
      <c r="BF601" s="1757"/>
      <c r="BG601" s="1757"/>
      <c r="BH601" s="1757"/>
      <c r="BI601" s="1757"/>
      <c r="BJ601" s="1757"/>
      <c r="BK601" s="1757"/>
      <c r="BL601" s="1757"/>
      <c r="BM601" s="1757"/>
      <c r="BN601" s="1757"/>
      <c r="BO601" s="1757"/>
      <c r="BP601" s="1757"/>
      <c r="BQ601" s="1757"/>
      <c r="BR601" s="1757"/>
      <c r="BS601" s="1757"/>
      <c r="BT601" s="1757"/>
      <c r="BU601" s="1757"/>
      <c r="BV601" s="1757"/>
      <c r="BW601" s="1757"/>
      <c r="BX601" s="1757"/>
      <c r="BY601" s="1757"/>
      <c r="BZ601" s="1757"/>
      <c r="CA601" s="1757"/>
      <c r="CB601" s="1757"/>
      <c r="CC601" s="1757"/>
      <c r="CD601" s="1757"/>
      <c r="CE601" s="1757"/>
      <c r="CF601" s="1757"/>
      <c r="CG601" s="1757"/>
      <c r="CH601" s="1757"/>
      <c r="CI601" s="1757"/>
      <c r="CJ601" s="1757"/>
      <c r="CK601" s="1757"/>
      <c r="CL601" s="1757"/>
      <c r="CM601" s="1757"/>
      <c r="CN601" s="1757"/>
      <c r="CO601" s="1757"/>
      <c r="CP601" s="1757"/>
      <c r="CQ601" s="1757"/>
      <c r="CR601" s="1757"/>
      <c r="CS601" s="1757"/>
      <c r="CT601" s="1757"/>
      <c r="CU601" s="1757"/>
      <c r="CV601" s="1757"/>
      <c r="CW601" s="1757"/>
      <c r="CX601" s="1757"/>
      <c r="CY601" s="1757"/>
      <c r="CZ601" s="1757"/>
      <c r="DA601" s="1757"/>
      <c r="DB601" s="1757"/>
      <c r="DC601" s="1757"/>
      <c r="DD601" s="1757"/>
      <c r="DE601" s="1757"/>
      <c r="DF601" s="1757"/>
      <c r="DG601" s="1757"/>
      <c r="DH601" s="1757"/>
      <c r="DI601" s="1757"/>
      <c r="DJ601" s="1757"/>
      <c r="DK601" s="1757"/>
      <c r="DL601" s="1757"/>
      <c r="DM601" s="1757"/>
      <c r="DN601" s="1757"/>
      <c r="DO601" s="1757"/>
      <c r="DP601" s="1757"/>
      <c r="DQ601" s="1757"/>
      <c r="DR601" s="1757"/>
      <c r="DS601" s="1757"/>
      <c r="DT601" s="1757"/>
      <c r="DU601" s="1757"/>
      <c r="DV601" s="1757"/>
      <c r="DW601" s="1757"/>
      <c r="DX601" s="1757"/>
      <c r="DY601" s="1757"/>
      <c r="DZ601" s="1757"/>
      <c r="EA601" s="1757"/>
      <c r="EB601" s="1757"/>
      <c r="EC601" s="1757"/>
      <c r="ED601" s="1757"/>
      <c r="EE601" s="1757"/>
      <c r="EF601" s="1757"/>
      <c r="EG601" s="1757"/>
      <c r="EH601" s="1757"/>
      <c r="EI601" s="1757"/>
      <c r="EJ601" s="1757"/>
      <c r="EK601" s="1757"/>
      <c r="EL601" s="1757"/>
      <c r="EM601" s="1757"/>
      <c r="EN601" s="1757"/>
      <c r="EO601" s="1757"/>
      <c r="EP601" s="1757"/>
      <c r="EQ601" s="1757"/>
      <c r="ER601" s="1757"/>
      <c r="ES601" s="1757"/>
      <c r="ET601" s="1757"/>
      <c r="EU601" s="1757"/>
      <c r="EV601" s="1757"/>
      <c r="EW601" s="1757"/>
      <c r="EX601" s="1757"/>
      <c r="EY601" s="1757"/>
      <c r="EZ601" s="1757"/>
      <c r="FA601" s="1757"/>
      <c r="FB601" s="1757"/>
      <c r="FC601" s="1757"/>
      <c r="FD601" s="1757"/>
      <c r="FE601" s="1757"/>
      <c r="FF601" s="1757"/>
      <c r="FG601" s="1757"/>
      <c r="FH601" s="1757"/>
      <c r="FI601" s="1757"/>
    </row>
    <row r="602" spans="1:165">
      <c r="A602" s="1757"/>
      <c r="B602" s="1757"/>
      <c r="C602" s="1757"/>
      <c r="D602" s="1757"/>
      <c r="E602" s="1757"/>
      <c r="F602" s="1757"/>
      <c r="G602" s="1757"/>
      <c r="H602" s="1757"/>
      <c r="I602" s="1757"/>
      <c r="J602" s="1757"/>
      <c r="K602" s="1757"/>
      <c r="L602" s="1757"/>
      <c r="M602" s="1757"/>
      <c r="N602" s="1757"/>
      <c r="O602" s="1757"/>
      <c r="P602" s="1757"/>
      <c r="Q602" s="1757"/>
      <c r="R602" s="1757"/>
      <c r="S602" s="1757"/>
      <c r="T602" s="1757"/>
      <c r="U602" s="1757"/>
      <c r="V602" s="1757"/>
      <c r="W602" s="1757"/>
      <c r="X602" s="1757"/>
      <c r="Y602" s="1757"/>
      <c r="Z602" s="1757"/>
      <c r="AA602" s="1757"/>
      <c r="AB602" s="1757"/>
      <c r="AC602" s="1757"/>
      <c r="AD602" s="1757"/>
      <c r="AE602" s="1757"/>
      <c r="AF602" s="1757"/>
      <c r="AG602" s="1757"/>
      <c r="AH602" s="1757"/>
      <c r="AI602" s="1757"/>
      <c r="AJ602" s="1757"/>
      <c r="AK602" s="1757"/>
      <c r="AL602" s="1757"/>
      <c r="AM602" s="1757"/>
      <c r="AN602" s="1757"/>
      <c r="AO602" s="1757"/>
      <c r="AP602" s="1757"/>
      <c r="AQ602" s="1757"/>
      <c r="AR602" s="1757"/>
      <c r="AS602" s="1757"/>
      <c r="AT602" s="1757"/>
      <c r="AU602" s="1757"/>
      <c r="AV602" s="1757"/>
      <c r="AW602" s="1757"/>
      <c r="AX602" s="1757"/>
      <c r="AY602" s="1757"/>
      <c r="AZ602" s="1757"/>
      <c r="BA602" s="1757"/>
      <c r="BB602" s="1757"/>
      <c r="BC602" s="1757"/>
      <c r="BD602" s="1757"/>
      <c r="BE602" s="1757"/>
      <c r="BF602" s="1757"/>
      <c r="BG602" s="1757"/>
      <c r="BH602" s="1757"/>
      <c r="BI602" s="1757"/>
      <c r="BJ602" s="1757"/>
      <c r="BK602" s="1757"/>
      <c r="BL602" s="1757"/>
      <c r="BM602" s="1757"/>
      <c r="BN602" s="1757"/>
      <c r="BO602" s="1757"/>
      <c r="BP602" s="1757"/>
      <c r="BQ602" s="1757"/>
      <c r="BR602" s="1757"/>
      <c r="BS602" s="1757"/>
      <c r="BT602" s="1757"/>
      <c r="BU602" s="1757"/>
      <c r="BV602" s="1757"/>
      <c r="BW602" s="1757"/>
      <c r="BX602" s="1757"/>
      <c r="BY602" s="1757"/>
      <c r="BZ602" s="1757"/>
      <c r="CA602" s="1757"/>
      <c r="CB602" s="1757"/>
      <c r="CC602" s="1757"/>
      <c r="CD602" s="1757"/>
      <c r="CE602" s="1757"/>
      <c r="CF602" s="1757"/>
      <c r="CG602" s="1757"/>
      <c r="CH602" s="1757"/>
      <c r="CI602" s="1757"/>
      <c r="CJ602" s="1757"/>
      <c r="CK602" s="1757"/>
      <c r="CL602" s="1757"/>
      <c r="CM602" s="1757"/>
      <c r="CN602" s="1757"/>
      <c r="CO602" s="1757"/>
      <c r="CP602" s="1757"/>
      <c r="CQ602" s="1757"/>
      <c r="CR602" s="1757"/>
      <c r="CS602" s="1757"/>
      <c r="CT602" s="1757"/>
      <c r="CU602" s="1757"/>
      <c r="CV602" s="1757"/>
      <c r="CW602" s="1757"/>
      <c r="CX602" s="1757"/>
      <c r="CY602" s="1757"/>
      <c r="CZ602" s="1757"/>
      <c r="DA602" s="1757"/>
      <c r="DB602" s="1757"/>
      <c r="DC602" s="1757"/>
      <c r="DD602" s="1757"/>
      <c r="DE602" s="1757"/>
      <c r="DF602" s="1757"/>
      <c r="DG602" s="1757"/>
      <c r="DH602" s="1757"/>
      <c r="DI602" s="1757"/>
      <c r="DJ602" s="1757"/>
      <c r="DK602" s="1757"/>
      <c r="DL602" s="1757"/>
      <c r="DM602" s="1757"/>
      <c r="DN602" s="1757"/>
      <c r="DO602" s="1757"/>
      <c r="DP602" s="1757"/>
      <c r="DQ602" s="1757"/>
      <c r="DR602" s="1757"/>
      <c r="DS602" s="1757"/>
      <c r="DT602" s="1757"/>
      <c r="DU602" s="1757"/>
      <c r="DV602" s="1757"/>
      <c r="DW602" s="1757"/>
      <c r="DX602" s="1757"/>
      <c r="DY602" s="1757"/>
      <c r="DZ602" s="1757"/>
      <c r="EA602" s="1757"/>
      <c r="EB602" s="1757"/>
      <c r="EC602" s="1757"/>
      <c r="ED602" s="1757"/>
      <c r="EE602" s="1757"/>
      <c r="EF602" s="1757"/>
      <c r="EG602" s="1757"/>
      <c r="EH602" s="1757"/>
      <c r="EI602" s="1757"/>
      <c r="EJ602" s="1757"/>
      <c r="EK602" s="1757"/>
      <c r="EL602" s="1757"/>
      <c r="EM602" s="1757"/>
      <c r="EN602" s="1757"/>
      <c r="EO602" s="1757"/>
      <c r="EP602" s="1757"/>
      <c r="EQ602" s="1757"/>
      <c r="ER602" s="1757"/>
      <c r="ES602" s="1757"/>
      <c r="ET602" s="1757"/>
      <c r="EU602" s="1757"/>
      <c r="EV602" s="1757"/>
      <c r="EW602" s="1757"/>
      <c r="EX602" s="1757"/>
      <c r="EY602" s="1757"/>
      <c r="EZ602" s="1757"/>
      <c r="FA602" s="1757"/>
      <c r="FB602" s="1757"/>
      <c r="FC602" s="1757"/>
      <c r="FD602" s="1757"/>
      <c r="FE602" s="1757"/>
      <c r="FF602" s="1757"/>
      <c r="FG602" s="1757"/>
      <c r="FH602" s="1757"/>
      <c r="FI602" s="1757"/>
    </row>
    <row r="603" spans="1:165">
      <c r="A603" s="1757"/>
      <c r="B603" s="1757"/>
      <c r="C603" s="1757"/>
      <c r="D603" s="1757"/>
      <c r="E603" s="1757"/>
      <c r="F603" s="1757"/>
      <c r="G603" s="1757"/>
      <c r="H603" s="1757"/>
      <c r="I603" s="1757"/>
      <c r="J603" s="1757"/>
      <c r="K603" s="1757"/>
      <c r="L603" s="1757"/>
      <c r="M603" s="1757"/>
      <c r="N603" s="1757"/>
      <c r="O603" s="1757"/>
      <c r="P603" s="1757"/>
      <c r="Q603" s="1757"/>
      <c r="R603" s="1757"/>
      <c r="S603" s="1757"/>
      <c r="T603" s="1757"/>
      <c r="U603" s="1757"/>
      <c r="V603" s="1757"/>
      <c r="W603" s="1757"/>
      <c r="X603" s="1757"/>
      <c r="Y603" s="1757"/>
      <c r="Z603" s="1757"/>
      <c r="AA603" s="1757"/>
      <c r="AB603" s="1757"/>
      <c r="AC603" s="1757"/>
      <c r="AD603" s="1757"/>
      <c r="AE603" s="1757"/>
      <c r="AF603" s="1757"/>
      <c r="AG603" s="1757"/>
      <c r="AH603" s="1757"/>
      <c r="AI603" s="1757"/>
      <c r="AJ603" s="1757"/>
      <c r="AK603" s="1757"/>
      <c r="AL603" s="1757"/>
      <c r="AM603" s="1757"/>
      <c r="AN603" s="1757"/>
      <c r="AO603" s="1757"/>
      <c r="AP603" s="1757"/>
      <c r="AQ603" s="1757"/>
      <c r="AR603" s="1757"/>
      <c r="AS603" s="1757"/>
      <c r="AT603" s="1757"/>
      <c r="AU603" s="1757"/>
      <c r="AV603" s="1757"/>
      <c r="AW603" s="1757"/>
      <c r="AX603" s="1757"/>
      <c r="AY603" s="1757"/>
      <c r="AZ603" s="1757"/>
      <c r="BA603" s="1757"/>
      <c r="BB603" s="1757"/>
      <c r="BC603" s="1757"/>
      <c r="BD603" s="1757"/>
      <c r="BE603" s="1757"/>
      <c r="BF603" s="1757"/>
      <c r="BG603" s="1757"/>
      <c r="BH603" s="1757"/>
      <c r="BI603" s="1757"/>
      <c r="BJ603" s="1757"/>
      <c r="BK603" s="1757"/>
      <c r="BL603" s="1757"/>
      <c r="BM603" s="1757"/>
      <c r="BN603" s="1757"/>
      <c r="BO603" s="1757"/>
      <c r="BP603" s="1757"/>
      <c r="BQ603" s="1757"/>
      <c r="BR603" s="1757"/>
      <c r="BS603" s="1757"/>
      <c r="BT603" s="1757"/>
      <c r="BU603" s="1757"/>
      <c r="BV603" s="1757"/>
      <c r="BW603" s="1757"/>
      <c r="BX603" s="1757"/>
      <c r="BY603" s="1757"/>
      <c r="BZ603" s="1757"/>
      <c r="CA603" s="1757"/>
      <c r="CB603" s="1757"/>
      <c r="CC603" s="1757"/>
      <c r="CD603" s="1757"/>
      <c r="CE603" s="1757"/>
      <c r="CF603" s="1757"/>
      <c r="CG603" s="1757"/>
      <c r="CH603" s="1757"/>
      <c r="CI603" s="1757"/>
      <c r="CJ603" s="1757"/>
      <c r="CK603" s="1757"/>
      <c r="CL603" s="1757"/>
      <c r="CM603" s="1757"/>
      <c r="CN603" s="1757"/>
      <c r="CO603" s="1757"/>
      <c r="CP603" s="1757"/>
      <c r="CQ603" s="1757"/>
      <c r="CR603" s="1757"/>
      <c r="CS603" s="1757"/>
      <c r="CT603" s="1757"/>
      <c r="CU603" s="1757"/>
      <c r="CV603" s="1757"/>
      <c r="CW603" s="1757"/>
      <c r="CX603" s="1757"/>
      <c r="CY603" s="1757"/>
      <c r="CZ603" s="1757"/>
      <c r="DA603" s="1757"/>
      <c r="DB603" s="1757"/>
      <c r="DC603" s="1757"/>
      <c r="DD603" s="1757"/>
      <c r="DE603" s="1757"/>
      <c r="DF603" s="1757"/>
      <c r="DG603" s="1757"/>
      <c r="DH603" s="1757"/>
      <c r="DI603" s="1757"/>
      <c r="DJ603" s="1757"/>
      <c r="DK603" s="1757"/>
      <c r="DL603" s="1757"/>
      <c r="DM603" s="1757"/>
      <c r="DN603" s="1757"/>
      <c r="DO603" s="1757"/>
      <c r="DP603" s="1757"/>
      <c r="DQ603" s="1757"/>
      <c r="DR603" s="1757"/>
      <c r="DS603" s="1757"/>
      <c r="DT603" s="1757"/>
      <c r="DU603" s="1757"/>
      <c r="DV603" s="1757"/>
      <c r="DW603" s="1757"/>
      <c r="DX603" s="1757"/>
      <c r="DY603" s="1757"/>
      <c r="DZ603" s="1757"/>
      <c r="EA603" s="1757"/>
      <c r="EB603" s="1757"/>
      <c r="EC603" s="1757"/>
      <c r="ED603" s="1757"/>
      <c r="EE603" s="1757"/>
      <c r="EF603" s="1757"/>
      <c r="EG603" s="1757"/>
      <c r="EH603" s="1757"/>
      <c r="EI603" s="1757"/>
      <c r="EJ603" s="1757"/>
      <c r="EK603" s="1757"/>
      <c r="EL603" s="1757"/>
      <c r="EM603" s="1757"/>
      <c r="EN603" s="1757"/>
      <c r="EO603" s="1757"/>
      <c r="EP603" s="1757"/>
      <c r="EQ603" s="1757"/>
      <c r="ER603" s="1757"/>
      <c r="ES603" s="1757"/>
      <c r="ET603" s="1757"/>
      <c r="EU603" s="1757"/>
      <c r="EV603" s="1757"/>
      <c r="EW603" s="1757"/>
      <c r="EX603" s="1757"/>
      <c r="EY603" s="1757"/>
      <c r="EZ603" s="1757"/>
      <c r="FA603" s="1757"/>
      <c r="FB603" s="1757"/>
      <c r="FC603" s="1757"/>
      <c r="FD603" s="1757"/>
      <c r="FE603" s="1757"/>
      <c r="FF603" s="1757"/>
      <c r="FG603" s="1757"/>
      <c r="FH603" s="1757"/>
      <c r="FI603" s="1757"/>
    </row>
    <row r="604" spans="1:165">
      <c r="A604" s="1757"/>
      <c r="B604" s="1757"/>
      <c r="C604" s="1757"/>
      <c r="D604" s="1757"/>
      <c r="E604" s="1757"/>
      <c r="F604" s="1757"/>
      <c r="G604" s="1757"/>
      <c r="H604" s="1757"/>
      <c r="I604" s="1757"/>
      <c r="J604" s="1757"/>
      <c r="K604" s="1757"/>
      <c r="L604" s="1757"/>
      <c r="M604" s="1757"/>
      <c r="N604" s="1757"/>
      <c r="O604" s="1757"/>
      <c r="P604" s="1757"/>
      <c r="Q604" s="1757"/>
      <c r="R604" s="1757"/>
      <c r="S604" s="1757"/>
      <c r="T604" s="1757"/>
      <c r="U604" s="1757"/>
      <c r="V604" s="1757"/>
      <c r="W604" s="1757"/>
      <c r="X604" s="1757"/>
      <c r="Y604" s="1757"/>
      <c r="Z604" s="1757"/>
      <c r="AA604" s="1757"/>
      <c r="AB604" s="1757"/>
      <c r="AC604" s="1757"/>
      <c r="AD604" s="1757"/>
      <c r="AE604" s="1757"/>
      <c r="AF604" s="1757"/>
      <c r="AG604" s="1757"/>
      <c r="AH604" s="1757"/>
      <c r="AI604" s="1757"/>
      <c r="AJ604" s="1757"/>
      <c r="AK604" s="1757"/>
      <c r="AL604" s="1757"/>
      <c r="AM604" s="1757"/>
      <c r="AN604" s="1757"/>
      <c r="AO604" s="1757"/>
      <c r="AP604" s="1757"/>
      <c r="AQ604" s="1757"/>
      <c r="AR604" s="1757"/>
      <c r="AS604" s="1757"/>
      <c r="AT604" s="1757"/>
      <c r="AU604" s="1757"/>
      <c r="AV604" s="1757"/>
      <c r="AW604" s="1757"/>
      <c r="AX604" s="1757"/>
      <c r="AY604" s="1757"/>
      <c r="AZ604" s="1757"/>
      <c r="BA604" s="1757"/>
      <c r="BB604" s="1757"/>
      <c r="BC604" s="1757"/>
      <c r="BD604" s="1757"/>
      <c r="BE604" s="1757"/>
      <c r="BF604" s="1757"/>
      <c r="BG604" s="1757"/>
      <c r="BH604" s="1757"/>
      <c r="BI604" s="1757"/>
      <c r="BJ604" s="1757"/>
      <c r="BK604" s="1757"/>
      <c r="BL604" s="1757"/>
      <c r="BM604" s="1757"/>
      <c r="BN604" s="1757"/>
      <c r="BO604" s="1757"/>
      <c r="BP604" s="1757"/>
      <c r="BQ604" s="1757"/>
      <c r="BR604" s="1757"/>
      <c r="BS604" s="1757"/>
      <c r="BT604" s="1757"/>
      <c r="BU604" s="1757"/>
      <c r="BV604" s="1757"/>
      <c r="BW604" s="1757"/>
      <c r="BX604" s="1757"/>
      <c r="BY604" s="1757"/>
      <c r="BZ604" s="1757"/>
      <c r="CA604" s="1757"/>
      <c r="CB604" s="1757"/>
      <c r="CC604" s="1757"/>
      <c r="CD604" s="1757"/>
      <c r="CE604" s="1757"/>
      <c r="CF604" s="1757"/>
      <c r="CG604" s="1757"/>
      <c r="CH604" s="1757"/>
      <c r="CI604" s="1757"/>
      <c r="CJ604" s="1757"/>
      <c r="CK604" s="1757"/>
      <c r="CL604" s="1757"/>
      <c r="CM604" s="1757"/>
      <c r="CN604" s="1757"/>
      <c r="CO604" s="1757"/>
      <c r="CP604" s="1757"/>
      <c r="CQ604" s="1757"/>
      <c r="CR604" s="1757"/>
      <c r="CS604" s="1757"/>
      <c r="CT604" s="1757"/>
      <c r="CU604" s="1757"/>
      <c r="CV604" s="1757"/>
      <c r="CW604" s="1757"/>
      <c r="CX604" s="1757"/>
      <c r="CY604" s="1757"/>
      <c r="CZ604" s="1757"/>
      <c r="DA604" s="1757"/>
      <c r="DB604" s="1757"/>
      <c r="DC604" s="1757"/>
      <c r="DD604" s="1757"/>
      <c r="DE604" s="1757"/>
      <c r="DF604" s="1757"/>
      <c r="DG604" s="1757"/>
      <c r="DH604" s="1757"/>
      <c r="DI604" s="1757"/>
      <c r="DJ604" s="1757"/>
      <c r="DK604" s="1757"/>
      <c r="DL604" s="1757"/>
      <c r="DM604" s="1757"/>
      <c r="DN604" s="1757"/>
      <c r="DO604" s="1757"/>
      <c r="DP604" s="1757"/>
      <c r="DQ604" s="1757"/>
      <c r="DR604" s="1757"/>
      <c r="DS604" s="1757"/>
      <c r="DT604" s="1757"/>
      <c r="DU604" s="1757"/>
      <c r="DV604" s="1757"/>
      <c r="DW604" s="1757"/>
      <c r="DX604" s="1757"/>
      <c r="DY604" s="1757"/>
      <c r="DZ604" s="1757"/>
      <c r="EA604" s="1757"/>
      <c r="EB604" s="1757"/>
      <c r="EC604" s="1757"/>
      <c r="ED604" s="1757"/>
      <c r="EE604" s="1757"/>
      <c r="EF604" s="1757"/>
      <c r="EG604" s="1757"/>
      <c r="EH604" s="1757"/>
      <c r="EI604" s="1757"/>
      <c r="EJ604" s="1757"/>
      <c r="EK604" s="1757"/>
      <c r="EL604" s="1757"/>
      <c r="EM604" s="1757"/>
      <c r="EN604" s="1757"/>
      <c r="EO604" s="1757"/>
      <c r="EP604" s="1757"/>
      <c r="EQ604" s="1757"/>
      <c r="ER604" s="1757"/>
      <c r="ES604" s="1757"/>
      <c r="ET604" s="1757"/>
      <c r="EU604" s="1757"/>
      <c r="EV604" s="1757"/>
      <c r="EW604" s="1757"/>
      <c r="EX604" s="1757"/>
      <c r="EY604" s="1757"/>
      <c r="EZ604" s="1757"/>
      <c r="FA604" s="1757"/>
      <c r="FB604" s="1757"/>
      <c r="FC604" s="1757"/>
      <c r="FD604" s="1757"/>
      <c r="FE604" s="1757"/>
      <c r="FF604" s="1757"/>
      <c r="FG604" s="1757"/>
      <c r="FH604" s="1757"/>
      <c r="FI604" s="1757"/>
    </row>
    <row r="605" spans="1:165">
      <c r="A605" s="1757"/>
      <c r="B605" s="1757"/>
      <c r="C605" s="1757"/>
      <c r="D605" s="1757"/>
      <c r="E605" s="1757"/>
      <c r="F605" s="1757"/>
      <c r="G605" s="1757"/>
      <c r="H605" s="1757"/>
      <c r="I605" s="1757"/>
      <c r="J605" s="1757"/>
      <c r="K605" s="1757"/>
      <c r="L605" s="1757"/>
      <c r="M605" s="1757"/>
      <c r="N605" s="1757"/>
      <c r="O605" s="1757"/>
      <c r="P605" s="1757"/>
      <c r="Q605" s="1757"/>
      <c r="R605" s="1757"/>
      <c r="S605" s="1757"/>
      <c r="T605" s="1757"/>
      <c r="U605" s="1757"/>
      <c r="V605" s="1757"/>
      <c r="W605" s="1757"/>
      <c r="X605" s="1757"/>
      <c r="Y605" s="1757"/>
      <c r="Z605" s="1757"/>
      <c r="AA605" s="1757"/>
      <c r="AB605" s="1757"/>
      <c r="AC605" s="1757"/>
      <c r="AD605" s="1757"/>
      <c r="AE605" s="1757"/>
      <c r="AF605" s="1757"/>
      <c r="AG605" s="1757"/>
      <c r="AH605" s="1757"/>
      <c r="AI605" s="1757"/>
      <c r="AJ605" s="1757"/>
      <c r="AK605" s="1757"/>
      <c r="AL605" s="1757"/>
      <c r="AM605" s="1757"/>
      <c r="AN605" s="1757"/>
      <c r="AO605" s="1757"/>
      <c r="AP605" s="1757"/>
      <c r="AQ605" s="1757"/>
      <c r="AR605" s="1757"/>
      <c r="AS605" s="1757"/>
      <c r="AT605" s="1757"/>
      <c r="AU605" s="1757"/>
      <c r="AV605" s="1757"/>
      <c r="AW605" s="1757"/>
      <c r="AX605" s="1757"/>
      <c r="AY605" s="1757"/>
      <c r="AZ605" s="1757"/>
      <c r="BA605" s="1757"/>
      <c r="BB605" s="1757"/>
      <c r="BC605" s="1757"/>
      <c r="BD605" s="1757"/>
      <c r="BE605" s="1757"/>
      <c r="BF605" s="1757"/>
      <c r="BG605" s="1757"/>
      <c r="BH605" s="1757"/>
      <c r="BI605" s="1757"/>
      <c r="BJ605" s="1757"/>
      <c r="BK605" s="1757"/>
      <c r="BL605" s="1757"/>
      <c r="BM605" s="1757"/>
      <c r="BN605" s="1757"/>
      <c r="BO605" s="1757"/>
      <c r="BP605" s="1757"/>
      <c r="BQ605" s="1757"/>
      <c r="BR605" s="1757"/>
      <c r="BS605" s="1757"/>
      <c r="BT605" s="1757"/>
      <c r="BU605" s="1757"/>
      <c r="BV605" s="1757"/>
      <c r="BW605" s="1757"/>
      <c r="BX605" s="1757"/>
      <c r="BY605" s="1757"/>
      <c r="BZ605" s="1757"/>
      <c r="CA605" s="1757"/>
      <c r="CB605" s="1757"/>
      <c r="CC605" s="1757"/>
      <c r="CD605" s="1757"/>
      <c r="CE605" s="1757"/>
      <c r="CF605" s="1757"/>
      <c r="CG605" s="1757"/>
      <c r="CH605" s="1757"/>
      <c r="CI605" s="1757"/>
      <c r="CJ605" s="1757"/>
      <c r="CK605" s="1757"/>
      <c r="CL605" s="1757"/>
      <c r="CM605" s="1757"/>
      <c r="CN605" s="1757"/>
      <c r="CO605" s="1757"/>
      <c r="CP605" s="1757"/>
      <c r="CQ605" s="1757"/>
      <c r="CR605" s="1757"/>
      <c r="CS605" s="1757"/>
      <c r="CT605" s="1757"/>
      <c r="CU605" s="1757"/>
      <c r="CV605" s="1757"/>
      <c r="CW605" s="1757"/>
      <c r="CX605" s="1757"/>
      <c r="CY605" s="1757"/>
      <c r="CZ605" s="1757"/>
      <c r="DA605" s="1757"/>
      <c r="DB605" s="1757"/>
      <c r="DC605" s="1757"/>
      <c r="DD605" s="1757"/>
      <c r="DE605" s="1757"/>
      <c r="DF605" s="1757"/>
      <c r="DG605" s="1757"/>
      <c r="DH605" s="1757"/>
      <c r="DI605" s="1757"/>
      <c r="DJ605" s="1757"/>
      <c r="DK605" s="1757"/>
      <c r="DL605" s="1757"/>
      <c r="DM605" s="1757"/>
      <c r="DN605" s="1757"/>
      <c r="DO605" s="1757"/>
      <c r="DP605" s="1757"/>
      <c r="DQ605" s="1757"/>
      <c r="DR605" s="1757"/>
      <c r="DS605" s="1757"/>
      <c r="DT605" s="1757"/>
      <c r="DU605" s="1757"/>
      <c r="DV605" s="1757"/>
      <c r="DW605" s="1757"/>
      <c r="DX605" s="1757"/>
      <c r="DY605" s="1757"/>
      <c r="DZ605" s="1757"/>
      <c r="EA605" s="1757"/>
      <c r="EB605" s="1757"/>
      <c r="EC605" s="1757"/>
      <c r="ED605" s="1757"/>
      <c r="EE605" s="1757"/>
      <c r="EF605" s="1757"/>
      <c r="EG605" s="1757"/>
      <c r="EH605" s="1757"/>
      <c r="EI605" s="1757"/>
      <c r="EJ605" s="1757"/>
      <c r="EK605" s="1757"/>
      <c r="EL605" s="1757"/>
      <c r="EM605" s="1757"/>
      <c r="EN605" s="1757"/>
      <c r="EO605" s="1757"/>
      <c r="EP605" s="1757"/>
      <c r="EQ605" s="1757"/>
      <c r="ER605" s="1757"/>
      <c r="ES605" s="1757"/>
      <c r="ET605" s="1757"/>
      <c r="EU605" s="1757"/>
      <c r="EV605" s="1757"/>
      <c r="EW605" s="1757"/>
      <c r="EX605" s="1757"/>
      <c r="EY605" s="1757"/>
      <c r="EZ605" s="1757"/>
      <c r="FA605" s="1757"/>
      <c r="FB605" s="1757"/>
      <c r="FC605" s="1757"/>
      <c r="FD605" s="1757"/>
      <c r="FE605" s="1757"/>
      <c r="FF605" s="1757"/>
      <c r="FG605" s="1757"/>
      <c r="FH605" s="1757"/>
      <c r="FI605" s="1757"/>
    </row>
    <row r="606" spans="1:165">
      <c r="A606" s="1757"/>
      <c r="B606" s="1757"/>
      <c r="C606" s="1757"/>
      <c r="D606" s="1757"/>
      <c r="E606" s="1757"/>
      <c r="F606" s="1757"/>
      <c r="G606" s="1757"/>
      <c r="H606" s="1757"/>
      <c r="I606" s="1757"/>
      <c r="J606" s="1757"/>
      <c r="K606" s="1757"/>
      <c r="L606" s="1757"/>
      <c r="M606" s="1757"/>
      <c r="N606" s="1757"/>
      <c r="O606" s="1757"/>
      <c r="P606" s="1757"/>
      <c r="Q606" s="1757"/>
      <c r="R606" s="1757"/>
      <c r="S606" s="1757"/>
      <c r="T606" s="1757"/>
      <c r="U606" s="1757"/>
      <c r="V606" s="1757"/>
      <c r="W606" s="1757"/>
      <c r="X606" s="1757"/>
      <c r="Y606" s="1757"/>
      <c r="Z606" s="1757"/>
      <c r="AA606" s="1757"/>
      <c r="AB606" s="1757"/>
      <c r="AC606" s="1757"/>
      <c r="AD606" s="1757"/>
      <c r="AE606" s="1757"/>
      <c r="AF606" s="1757"/>
      <c r="AG606" s="1757"/>
      <c r="AH606" s="1757"/>
      <c r="AI606" s="1757"/>
      <c r="AJ606" s="1757"/>
      <c r="AK606" s="1757"/>
      <c r="AL606" s="1757"/>
      <c r="AM606" s="1757"/>
      <c r="AN606" s="1757"/>
      <c r="AO606" s="1757"/>
      <c r="AP606" s="1757"/>
      <c r="AQ606" s="1757"/>
      <c r="AR606" s="1757"/>
      <c r="AS606" s="1757"/>
      <c r="AT606" s="1757"/>
      <c r="AU606" s="1757"/>
      <c r="AV606" s="1757"/>
      <c r="AW606" s="1757"/>
      <c r="AX606" s="1757"/>
      <c r="AY606" s="1757"/>
      <c r="AZ606" s="1757"/>
      <c r="BA606" s="1757"/>
      <c r="BB606" s="1757"/>
      <c r="BC606" s="1757"/>
      <c r="BD606" s="1757"/>
      <c r="BE606" s="1757"/>
      <c r="BF606" s="1757"/>
      <c r="BG606" s="1757"/>
      <c r="BH606" s="1757"/>
      <c r="BI606" s="1757"/>
      <c r="BJ606" s="1757"/>
      <c r="BK606" s="1757"/>
      <c r="BL606" s="1757"/>
      <c r="BM606" s="1757"/>
      <c r="BN606" s="1757"/>
      <c r="BO606" s="1757"/>
      <c r="BP606" s="1757"/>
      <c r="BQ606" s="1757"/>
      <c r="BR606" s="1757"/>
      <c r="BS606" s="1757"/>
      <c r="BT606" s="1757"/>
      <c r="BU606" s="1757"/>
      <c r="BV606" s="1757"/>
      <c r="BW606" s="1757"/>
      <c r="BX606" s="1757"/>
      <c r="BY606" s="1757"/>
      <c r="BZ606" s="1757"/>
      <c r="CA606" s="1757"/>
      <c r="CB606" s="1757"/>
      <c r="CC606" s="1757"/>
      <c r="CD606" s="1757"/>
      <c r="CE606" s="1757"/>
      <c r="CF606" s="1757"/>
      <c r="CG606" s="1757"/>
      <c r="CH606" s="1757"/>
      <c r="CI606" s="1757"/>
      <c r="CJ606" s="1757"/>
      <c r="CK606" s="1757"/>
      <c r="CL606" s="1757"/>
      <c r="CM606" s="1757"/>
      <c r="CN606" s="1757"/>
      <c r="CO606" s="1757"/>
      <c r="CP606" s="1757"/>
      <c r="CQ606" s="1757"/>
      <c r="CR606" s="1757"/>
      <c r="CS606" s="1757"/>
      <c r="CT606" s="1757"/>
      <c r="CU606" s="1757"/>
      <c r="CV606" s="1757"/>
      <c r="CW606" s="1757"/>
      <c r="CX606" s="1757"/>
      <c r="CY606" s="1757"/>
      <c r="CZ606" s="1757"/>
      <c r="DA606" s="1757"/>
      <c r="DB606" s="1757"/>
      <c r="DC606" s="1757"/>
      <c r="DD606" s="1757"/>
      <c r="DE606" s="1757"/>
      <c r="DF606" s="1757"/>
      <c r="DG606" s="1757"/>
      <c r="DH606" s="1757"/>
      <c r="DI606" s="1757"/>
      <c r="DJ606" s="1757"/>
      <c r="DK606" s="1757"/>
      <c r="DL606" s="1757"/>
      <c r="DM606" s="1757"/>
      <c r="DN606" s="1757"/>
      <c r="DO606" s="1757"/>
      <c r="DP606" s="1757"/>
      <c r="DQ606" s="1757"/>
      <c r="DR606" s="1757"/>
      <c r="DS606" s="1757"/>
      <c r="DT606" s="1757"/>
      <c r="DU606" s="1757"/>
      <c r="DV606" s="1757"/>
      <c r="DW606" s="1757"/>
      <c r="DX606" s="1757"/>
      <c r="DY606" s="1757"/>
      <c r="DZ606" s="1757"/>
      <c r="EA606" s="1757"/>
      <c r="EB606" s="1757"/>
      <c r="EC606" s="1757"/>
      <c r="ED606" s="1757"/>
      <c r="EE606" s="1757"/>
      <c r="EF606" s="1757"/>
      <c r="EG606" s="1757"/>
      <c r="EH606" s="1757"/>
      <c r="EI606" s="1757"/>
      <c r="EJ606" s="1757"/>
      <c r="EK606" s="1757"/>
      <c r="EL606" s="1757"/>
      <c r="EM606" s="1757"/>
      <c r="EN606" s="1757"/>
      <c r="EO606" s="1757"/>
      <c r="EP606" s="1757"/>
      <c r="EQ606" s="1757"/>
      <c r="ER606" s="1757"/>
      <c r="ES606" s="1757"/>
      <c r="ET606" s="1757"/>
      <c r="EU606" s="1757"/>
      <c r="EV606" s="1757"/>
      <c r="EW606" s="1757"/>
      <c r="EX606" s="1757"/>
      <c r="EY606" s="1757"/>
      <c r="EZ606" s="1757"/>
      <c r="FA606" s="1757"/>
      <c r="FB606" s="1757"/>
      <c r="FC606" s="1757"/>
      <c r="FD606" s="1757"/>
      <c r="FE606" s="1757"/>
      <c r="FF606" s="1757"/>
      <c r="FG606" s="1757"/>
      <c r="FH606" s="1757"/>
      <c r="FI606" s="1757"/>
    </row>
    <row r="607" spans="1:165">
      <c r="A607" s="1757"/>
      <c r="B607" s="1757"/>
      <c r="C607" s="1757"/>
      <c r="D607" s="1757"/>
      <c r="E607" s="1757"/>
      <c r="F607" s="1757"/>
      <c r="G607" s="1757"/>
      <c r="H607" s="1757"/>
      <c r="I607" s="1757"/>
      <c r="J607" s="1757"/>
      <c r="K607" s="1757"/>
      <c r="L607" s="1757"/>
      <c r="M607" s="1757"/>
      <c r="N607" s="1757"/>
      <c r="O607" s="1757"/>
      <c r="P607" s="1757"/>
      <c r="Q607" s="1757"/>
      <c r="R607" s="1757"/>
      <c r="S607" s="1757"/>
      <c r="T607" s="1757"/>
      <c r="U607" s="1757"/>
      <c r="V607" s="1757"/>
      <c r="W607" s="1757"/>
      <c r="X607" s="1757"/>
      <c r="Y607" s="1757"/>
      <c r="Z607" s="1757"/>
      <c r="AA607" s="1757"/>
      <c r="AB607" s="1757"/>
      <c r="AC607" s="1757"/>
      <c r="AD607" s="1757"/>
      <c r="AE607" s="1757"/>
      <c r="AF607" s="1757"/>
      <c r="AG607" s="1757"/>
      <c r="AH607" s="1757"/>
      <c r="AI607" s="1757"/>
      <c r="AJ607" s="1757"/>
      <c r="AK607" s="1757"/>
      <c r="AL607" s="1757"/>
      <c r="AM607" s="1757"/>
      <c r="AN607" s="1757"/>
      <c r="AO607" s="1757"/>
      <c r="AP607" s="1757"/>
      <c r="AQ607" s="1757"/>
      <c r="AR607" s="1757"/>
      <c r="AS607" s="1757"/>
      <c r="AT607" s="1757"/>
      <c r="AU607" s="1757"/>
      <c r="AV607" s="1757"/>
      <c r="AW607" s="1757"/>
      <c r="AX607" s="1757"/>
      <c r="AY607" s="1757"/>
      <c r="AZ607" s="1757"/>
      <c r="BA607" s="1757"/>
      <c r="BB607" s="1757"/>
      <c r="BC607" s="1757"/>
      <c r="BD607" s="1757"/>
      <c r="BE607" s="1757"/>
      <c r="BF607" s="1757"/>
      <c r="BG607" s="1757"/>
      <c r="BH607" s="1757"/>
      <c r="BI607" s="1757"/>
      <c r="BJ607" s="1757"/>
      <c r="BK607" s="1757"/>
      <c r="BL607" s="1757"/>
      <c r="BM607" s="1757"/>
      <c r="BN607" s="1757"/>
      <c r="BO607" s="1757"/>
      <c r="BP607" s="1757"/>
      <c r="BQ607" s="1757"/>
      <c r="BR607" s="1757"/>
      <c r="BS607" s="1757"/>
      <c r="BT607" s="1757"/>
      <c r="BU607" s="1757"/>
      <c r="BV607" s="1757"/>
      <c r="BW607" s="1757"/>
      <c r="BX607" s="1757"/>
      <c r="BY607" s="1757"/>
      <c r="BZ607" s="1757"/>
      <c r="CA607" s="1757"/>
      <c r="CB607" s="1757"/>
      <c r="CC607" s="1757"/>
      <c r="CD607" s="1757"/>
      <c r="CE607" s="1757"/>
      <c r="CF607" s="1757"/>
      <c r="CG607" s="1757"/>
      <c r="CH607" s="1757"/>
      <c r="CI607" s="1757"/>
      <c r="CJ607" s="1757"/>
      <c r="CK607" s="1757"/>
      <c r="CL607" s="1757"/>
      <c r="CM607" s="1757"/>
      <c r="CN607" s="1757"/>
      <c r="CO607" s="1757"/>
      <c r="CP607" s="1757"/>
      <c r="CQ607" s="1757"/>
      <c r="CR607" s="1757"/>
      <c r="CS607" s="1757"/>
      <c r="CT607" s="1757"/>
      <c r="CU607" s="1757"/>
      <c r="CV607" s="1757"/>
      <c r="CW607" s="1757"/>
      <c r="CX607" s="1757"/>
      <c r="CY607" s="1757"/>
      <c r="CZ607" s="1757"/>
      <c r="DA607" s="1757"/>
      <c r="DB607" s="1757"/>
      <c r="DC607" s="1757"/>
      <c r="DD607" s="1757"/>
      <c r="DE607" s="1757"/>
      <c r="DF607" s="1757"/>
      <c r="DG607" s="1757"/>
      <c r="DH607" s="1757"/>
      <c r="DI607" s="1757"/>
      <c r="DJ607" s="1757"/>
      <c r="DK607" s="1757"/>
      <c r="DL607" s="1757"/>
      <c r="DM607" s="1757"/>
      <c r="DN607" s="1757"/>
      <c r="DO607" s="1757"/>
      <c r="DP607" s="1757"/>
      <c r="DQ607" s="1757"/>
      <c r="DR607" s="1757"/>
      <c r="DS607" s="1757"/>
      <c r="DT607" s="1757"/>
      <c r="DU607" s="1757"/>
      <c r="DV607" s="1757"/>
      <c r="DW607" s="1757"/>
      <c r="DX607" s="1757"/>
      <c r="DY607" s="1757"/>
      <c r="DZ607" s="1757"/>
      <c r="EA607" s="1757"/>
      <c r="EB607" s="1757"/>
      <c r="EC607" s="1757"/>
      <c r="ED607" s="1757"/>
      <c r="EE607" s="1757"/>
      <c r="EF607" s="1757"/>
      <c r="EG607" s="1757"/>
      <c r="EH607" s="1757"/>
      <c r="EI607" s="1757"/>
      <c r="EJ607" s="1757"/>
      <c r="EK607" s="1757"/>
      <c r="EL607" s="1757"/>
      <c r="EM607" s="1757"/>
      <c r="EN607" s="1757"/>
      <c r="EO607" s="1757"/>
      <c r="EP607" s="1757"/>
      <c r="EQ607" s="1757"/>
      <c r="ER607" s="1757"/>
      <c r="ES607" s="1757"/>
      <c r="ET607" s="1757"/>
      <c r="EU607" s="1757"/>
      <c r="EV607" s="1757"/>
      <c r="EW607" s="1757"/>
      <c r="EX607" s="1757"/>
      <c r="EY607" s="1757"/>
      <c r="EZ607" s="1757"/>
      <c r="FA607" s="1757"/>
      <c r="FB607" s="1757"/>
      <c r="FC607" s="1757"/>
      <c r="FD607" s="1757"/>
      <c r="FE607" s="1757"/>
      <c r="FF607" s="1757"/>
      <c r="FG607" s="1757"/>
      <c r="FH607" s="1757"/>
      <c r="FI607" s="1757"/>
    </row>
    <row r="608" spans="1:165">
      <c r="A608" s="1757"/>
      <c r="B608" s="1757"/>
      <c r="C608" s="1757"/>
      <c r="D608" s="1757"/>
      <c r="E608" s="1757"/>
      <c r="F608" s="1757"/>
      <c r="G608" s="1757"/>
      <c r="H608" s="1757"/>
      <c r="I608" s="1757"/>
      <c r="J608" s="1757"/>
      <c r="K608" s="1757"/>
      <c r="L608" s="1757"/>
      <c r="M608" s="1757"/>
      <c r="N608" s="1757"/>
      <c r="O608" s="1757"/>
      <c r="P608" s="1757"/>
      <c r="Q608" s="1757"/>
      <c r="R608" s="1757"/>
      <c r="S608" s="1757"/>
      <c r="T608" s="1757"/>
      <c r="U608" s="1757"/>
      <c r="V608" s="1757"/>
      <c r="W608" s="1757"/>
      <c r="X608" s="1757"/>
      <c r="Y608" s="1757"/>
      <c r="Z608" s="1757"/>
      <c r="AA608" s="1757"/>
      <c r="AB608" s="1757"/>
      <c r="AC608" s="1757"/>
      <c r="AD608" s="1757"/>
      <c r="AE608" s="1757"/>
      <c r="AF608" s="1757"/>
      <c r="AG608" s="1757"/>
      <c r="AH608" s="1757"/>
      <c r="AI608" s="1757"/>
      <c r="AJ608" s="1757"/>
      <c r="AK608" s="1757"/>
      <c r="AL608" s="1757"/>
      <c r="AM608" s="1757"/>
      <c r="AN608" s="1757"/>
      <c r="AO608" s="1757"/>
      <c r="AP608" s="1757"/>
      <c r="AQ608" s="1757"/>
      <c r="AR608" s="1757"/>
      <c r="AS608" s="1757"/>
      <c r="AT608" s="1757"/>
      <c r="AU608" s="1757"/>
      <c r="AV608" s="1757"/>
      <c r="AW608" s="1757"/>
      <c r="AX608" s="1757"/>
      <c r="AY608" s="1757"/>
      <c r="AZ608" s="1757"/>
      <c r="BA608" s="1757"/>
      <c r="BB608" s="1757"/>
      <c r="BC608" s="1757"/>
      <c r="BD608" s="1757"/>
      <c r="BE608" s="1757"/>
      <c r="BF608" s="1757"/>
      <c r="BG608" s="1757"/>
      <c r="BH608" s="1757"/>
      <c r="BI608" s="1757"/>
      <c r="BJ608" s="1757"/>
      <c r="BK608" s="1757"/>
      <c r="BL608" s="1757"/>
      <c r="BM608" s="1757"/>
      <c r="BN608" s="1757"/>
      <c r="BO608" s="1757"/>
      <c r="BP608" s="1757"/>
      <c r="BQ608" s="1757"/>
      <c r="BR608" s="1757"/>
      <c r="BS608" s="1757"/>
      <c r="BT608" s="1757"/>
      <c r="BU608" s="1757"/>
      <c r="BV608" s="1757"/>
      <c r="BW608" s="1757"/>
      <c r="BX608" s="1757"/>
      <c r="BY608" s="1757"/>
      <c r="BZ608" s="1757"/>
      <c r="CA608" s="1757"/>
      <c r="CB608" s="1757"/>
      <c r="CC608" s="1757"/>
      <c r="CD608" s="1757"/>
      <c r="CE608" s="1757"/>
      <c r="CF608" s="1757"/>
      <c r="CG608" s="1757"/>
      <c r="CH608" s="1757"/>
      <c r="CI608" s="1757"/>
      <c r="CJ608" s="1757"/>
      <c r="CK608" s="1757"/>
      <c r="CL608" s="1757"/>
      <c r="CM608" s="1757"/>
      <c r="CN608" s="1757"/>
      <c r="CO608" s="1757"/>
      <c r="CP608" s="1757"/>
      <c r="CQ608" s="1757"/>
      <c r="CR608" s="1757"/>
      <c r="CS608" s="1757"/>
      <c r="CT608" s="1757"/>
      <c r="CU608" s="1757"/>
      <c r="CV608" s="1757"/>
      <c r="CW608" s="1757"/>
      <c r="CX608" s="1757"/>
      <c r="CY608" s="1757"/>
      <c r="CZ608" s="1757"/>
      <c r="DA608" s="1757"/>
      <c r="DB608" s="1757"/>
      <c r="DC608" s="1757"/>
      <c r="DD608" s="1757"/>
      <c r="DE608" s="1757"/>
      <c r="DF608" s="1757"/>
      <c r="DG608" s="1757"/>
      <c r="DH608" s="1757"/>
      <c r="DI608" s="1757"/>
      <c r="DJ608" s="1757"/>
      <c r="DK608" s="1757"/>
      <c r="DL608" s="1757"/>
      <c r="DM608" s="1757"/>
      <c r="DN608" s="1757"/>
      <c r="DO608" s="1757"/>
      <c r="DP608" s="1757"/>
      <c r="DQ608" s="1757"/>
      <c r="DR608" s="1757"/>
      <c r="DS608" s="1757"/>
      <c r="DT608" s="1757"/>
      <c r="DU608" s="1757"/>
      <c r="DV608" s="1757"/>
      <c r="DW608" s="1757"/>
      <c r="DX608" s="1757"/>
      <c r="DY608" s="1757"/>
      <c r="DZ608" s="1757"/>
      <c r="EA608" s="1757"/>
      <c r="EB608" s="1757"/>
      <c r="EC608" s="1757"/>
      <c r="ED608" s="1757"/>
      <c r="EE608" s="1757"/>
      <c r="EF608" s="1757"/>
      <c r="EG608" s="1757"/>
      <c r="EH608" s="1757"/>
      <c r="EI608" s="1757"/>
      <c r="EJ608" s="1757"/>
      <c r="EK608" s="1757"/>
      <c r="EL608" s="1757"/>
      <c r="EM608" s="1757"/>
      <c r="EN608" s="1757"/>
      <c r="EO608" s="1757"/>
      <c r="EP608" s="1757"/>
      <c r="EQ608" s="1757"/>
      <c r="ER608" s="1757"/>
      <c r="ES608" s="1757"/>
      <c r="ET608" s="1757"/>
      <c r="EU608" s="1757"/>
      <c r="EV608" s="1757"/>
      <c r="EW608" s="1757"/>
      <c r="EX608" s="1757"/>
      <c r="EY608" s="1757"/>
      <c r="EZ608" s="1757"/>
      <c r="FA608" s="1757"/>
      <c r="FB608" s="1757"/>
      <c r="FC608" s="1757"/>
      <c r="FD608" s="1757"/>
      <c r="FE608" s="1757"/>
      <c r="FF608" s="1757"/>
      <c r="FG608" s="1757"/>
      <c r="FH608" s="1757"/>
      <c r="FI608" s="1757"/>
    </row>
    <row r="609" spans="1:165">
      <c r="A609" s="1757"/>
      <c r="B609" s="1757"/>
      <c r="C609" s="1757"/>
      <c r="D609" s="1757"/>
      <c r="E609" s="1757"/>
      <c r="F609" s="1757"/>
      <c r="G609" s="1757"/>
      <c r="H609" s="1757"/>
      <c r="I609" s="1757"/>
      <c r="J609" s="1757"/>
      <c r="K609" s="1757"/>
      <c r="L609" s="1757"/>
      <c r="M609" s="1757"/>
      <c r="N609" s="1757"/>
      <c r="O609" s="1757"/>
      <c r="P609" s="1757"/>
      <c r="Q609" s="1757"/>
      <c r="R609" s="1757"/>
      <c r="S609" s="1757"/>
      <c r="T609" s="1757"/>
      <c r="U609" s="1757"/>
      <c r="V609" s="1757"/>
      <c r="W609" s="1757"/>
      <c r="X609" s="1757"/>
      <c r="Y609" s="1757"/>
      <c r="Z609" s="1757"/>
      <c r="AA609" s="1757"/>
      <c r="AB609" s="1757"/>
      <c r="AC609" s="1757"/>
      <c r="AD609" s="1757"/>
      <c r="AE609" s="1757"/>
      <c r="AF609" s="1757"/>
      <c r="AG609" s="1757"/>
      <c r="AH609" s="1757"/>
      <c r="AI609" s="1757"/>
      <c r="AJ609" s="1757"/>
      <c r="AK609" s="1757"/>
      <c r="AL609" s="1757"/>
      <c r="AM609" s="1757"/>
      <c r="AN609" s="1757"/>
      <c r="AO609" s="1757"/>
      <c r="AP609" s="1757"/>
      <c r="AQ609" s="1757"/>
      <c r="AR609" s="1757"/>
      <c r="AS609" s="1757"/>
      <c r="AT609" s="1757"/>
      <c r="AU609" s="1757"/>
      <c r="AV609" s="1757"/>
      <c r="AW609" s="1757"/>
      <c r="AX609" s="1757"/>
      <c r="AY609" s="1757"/>
      <c r="AZ609" s="1757"/>
      <c r="BA609" s="1757"/>
      <c r="BB609" s="1757"/>
      <c r="BC609" s="1757"/>
      <c r="BD609" s="1757"/>
      <c r="BE609" s="1757"/>
      <c r="BF609" s="1757"/>
      <c r="BG609" s="1757"/>
      <c r="BH609" s="1757"/>
      <c r="BI609" s="1757"/>
      <c r="BJ609" s="1757"/>
      <c r="BK609" s="1757"/>
      <c r="BL609" s="1757"/>
      <c r="BM609" s="1757"/>
      <c r="BN609" s="1757"/>
      <c r="BO609" s="1757"/>
      <c r="BP609" s="1757"/>
      <c r="BQ609" s="1757"/>
      <c r="BR609" s="1757"/>
      <c r="BS609" s="1757"/>
      <c r="BT609" s="1757"/>
      <c r="BU609" s="1757"/>
      <c r="BV609" s="1757"/>
      <c r="BW609" s="1757"/>
      <c r="BX609" s="1757"/>
      <c r="BY609" s="1757"/>
      <c r="BZ609" s="1757"/>
      <c r="CA609" s="1757"/>
      <c r="CB609" s="1757"/>
      <c r="CC609" s="1757"/>
      <c r="CD609" s="1757"/>
      <c r="CE609" s="1757"/>
      <c r="CF609" s="1757"/>
      <c r="CG609" s="1757"/>
      <c r="CH609" s="1757"/>
      <c r="CI609" s="1757"/>
      <c r="CJ609" s="1757"/>
      <c r="CK609" s="1757"/>
      <c r="CL609" s="1757"/>
      <c r="CM609" s="1757"/>
      <c r="CN609" s="1757"/>
      <c r="CO609" s="1757"/>
      <c r="CP609" s="1757"/>
      <c r="CQ609" s="1757"/>
      <c r="CR609" s="1757"/>
      <c r="CS609" s="1757"/>
      <c r="CT609" s="1757"/>
      <c r="CU609" s="1757"/>
      <c r="CV609" s="1757"/>
      <c r="CW609" s="1757"/>
      <c r="CX609" s="1757"/>
      <c r="CY609" s="1757"/>
      <c r="CZ609" s="1757"/>
      <c r="DA609" s="1757"/>
      <c r="DB609" s="1757"/>
      <c r="DC609" s="1757"/>
      <c r="DD609" s="1757"/>
      <c r="DE609" s="1757"/>
      <c r="DF609" s="1757"/>
      <c r="DG609" s="1757"/>
      <c r="DH609" s="1757"/>
      <c r="DI609" s="1757"/>
      <c r="DJ609" s="1757"/>
      <c r="DK609" s="1757"/>
      <c r="DL609" s="1757"/>
      <c r="DM609" s="1757"/>
      <c r="DN609" s="1757"/>
      <c r="DO609" s="1757"/>
      <c r="DP609" s="1757"/>
      <c r="DQ609" s="1757"/>
      <c r="DR609" s="1757"/>
      <c r="DS609" s="1757"/>
      <c r="DT609" s="1757"/>
      <c r="DU609" s="1757"/>
      <c r="DV609" s="1757"/>
      <c r="DW609" s="1757"/>
      <c r="DX609" s="1757"/>
      <c r="DY609" s="1757"/>
      <c r="DZ609" s="1757"/>
      <c r="EA609" s="1757"/>
      <c r="EB609" s="1757"/>
      <c r="EC609" s="1757"/>
      <c r="ED609" s="1757"/>
      <c r="EE609" s="1757"/>
      <c r="EF609" s="1757"/>
      <c r="EG609" s="1757"/>
      <c r="EH609" s="1757"/>
      <c r="EI609" s="1757"/>
      <c r="EJ609" s="1757"/>
      <c r="EK609" s="1757"/>
      <c r="EL609" s="1757"/>
      <c r="EM609" s="1757"/>
      <c r="EN609" s="1757"/>
      <c r="EO609" s="1757"/>
      <c r="EP609" s="1757"/>
      <c r="EQ609" s="1757"/>
      <c r="ER609" s="1757"/>
      <c r="ES609" s="1757"/>
      <c r="ET609" s="1757"/>
      <c r="EU609" s="1757"/>
      <c r="EV609" s="1757"/>
      <c r="EW609" s="1757"/>
      <c r="EX609" s="1757"/>
      <c r="EY609" s="1757"/>
      <c r="EZ609" s="1757"/>
      <c r="FA609" s="1757"/>
      <c r="FB609" s="1757"/>
      <c r="FC609" s="1757"/>
      <c r="FD609" s="1757"/>
      <c r="FE609" s="1757"/>
      <c r="FF609" s="1757"/>
      <c r="FG609" s="1757"/>
      <c r="FH609" s="1757"/>
      <c r="FI609" s="1757"/>
    </row>
    <row r="610" spans="1:165">
      <c r="A610" s="1757"/>
      <c r="B610" s="1757"/>
      <c r="C610" s="1757"/>
      <c r="D610" s="1757"/>
      <c r="E610" s="1757"/>
      <c r="F610" s="1757"/>
      <c r="G610" s="1757"/>
      <c r="H610" s="1757"/>
      <c r="I610" s="1757"/>
      <c r="J610" s="1757"/>
      <c r="K610" s="1757"/>
      <c r="L610" s="1757"/>
      <c r="M610" s="1757"/>
      <c r="N610" s="1757"/>
      <c r="O610" s="1757"/>
      <c r="P610" s="1757"/>
      <c r="Q610" s="1757"/>
      <c r="R610" s="1757"/>
      <c r="S610" s="1757"/>
      <c r="T610" s="1757"/>
      <c r="U610" s="1757"/>
      <c r="V610" s="1757"/>
      <c r="W610" s="1757"/>
      <c r="X610" s="1757"/>
      <c r="Y610" s="1757"/>
      <c r="Z610" s="1757"/>
      <c r="AA610" s="1757"/>
      <c r="AB610" s="1757"/>
      <c r="AC610" s="1757"/>
      <c r="AD610" s="1757"/>
      <c r="AE610" s="1757"/>
      <c r="AF610" s="1757"/>
      <c r="AG610" s="1757"/>
      <c r="AH610" s="1757"/>
      <c r="AI610" s="1757"/>
      <c r="AJ610" s="1757"/>
      <c r="AK610" s="1757"/>
      <c r="AL610" s="1757"/>
      <c r="AM610" s="1757"/>
      <c r="AN610" s="1757"/>
      <c r="AO610" s="1757"/>
      <c r="AP610" s="1757"/>
      <c r="AQ610" s="1757"/>
      <c r="AR610" s="1757"/>
      <c r="AS610" s="1757"/>
      <c r="AT610" s="1757"/>
      <c r="AU610" s="1757"/>
      <c r="AV610" s="1757"/>
      <c r="AW610" s="1757"/>
      <c r="AX610" s="1757"/>
      <c r="AY610" s="1757"/>
      <c r="AZ610" s="1757"/>
      <c r="BA610" s="1757"/>
      <c r="BB610" s="1757"/>
      <c r="BC610" s="1757"/>
      <c r="BD610" s="1757"/>
      <c r="BE610" s="1757"/>
      <c r="BF610" s="1757"/>
      <c r="BG610" s="1757"/>
      <c r="BH610" s="1757"/>
      <c r="BI610" s="1757"/>
      <c r="BJ610" s="1757"/>
      <c r="BK610" s="1757"/>
      <c r="BL610" s="1757"/>
      <c r="BM610" s="1757"/>
      <c r="BN610" s="1757"/>
      <c r="BO610" s="1757"/>
      <c r="BP610" s="1757"/>
      <c r="BQ610" s="1757"/>
      <c r="BR610" s="1757"/>
      <c r="BS610" s="1757"/>
      <c r="BT610" s="1757"/>
      <c r="BU610" s="1757"/>
      <c r="BV610" s="1757"/>
      <c r="BW610" s="1757"/>
      <c r="BX610" s="1757"/>
      <c r="BY610" s="1757"/>
      <c r="BZ610" s="1757"/>
      <c r="CA610" s="1757"/>
      <c r="CB610" s="1757"/>
      <c r="CC610" s="1757"/>
      <c r="CD610" s="1757"/>
      <c r="CE610" s="1757"/>
      <c r="CF610" s="1757"/>
      <c r="CG610" s="1757"/>
      <c r="CH610" s="1757"/>
      <c r="CI610" s="1757"/>
      <c r="CJ610" s="1757"/>
      <c r="CK610" s="1757"/>
      <c r="CL610" s="1757"/>
      <c r="CM610" s="1757"/>
      <c r="CN610" s="1757"/>
      <c r="CO610" s="1757"/>
      <c r="CP610" s="1757"/>
      <c r="CQ610" s="1757"/>
      <c r="CR610" s="1757"/>
      <c r="CS610" s="1757"/>
      <c r="CT610" s="1757"/>
      <c r="CU610" s="1757"/>
      <c r="CV610" s="1757"/>
      <c r="CW610" s="1757"/>
      <c r="CX610" s="1757"/>
      <c r="CY610" s="1757"/>
      <c r="CZ610" s="1757"/>
      <c r="DA610" s="1757"/>
      <c r="DB610" s="1757"/>
      <c r="DC610" s="1757"/>
      <c r="DD610" s="1757"/>
      <c r="DE610" s="1757"/>
      <c r="DF610" s="1757"/>
      <c r="DG610" s="1757"/>
      <c r="DH610" s="1757"/>
      <c r="DI610" s="1757"/>
      <c r="DJ610" s="1757"/>
      <c r="DK610" s="1757"/>
      <c r="DL610" s="1757"/>
      <c r="DM610" s="1757"/>
      <c r="DN610" s="1757"/>
      <c r="DO610" s="1757"/>
      <c r="DP610" s="1757"/>
      <c r="DQ610" s="1757"/>
      <c r="DR610" s="1757"/>
      <c r="DS610" s="1757"/>
      <c r="DT610" s="1757"/>
      <c r="DU610" s="1757"/>
      <c r="DV610" s="1757"/>
      <c r="DW610" s="1757"/>
      <c r="DX610" s="1757"/>
      <c r="DY610" s="1757"/>
      <c r="DZ610" s="1757"/>
      <c r="EA610" s="1757"/>
      <c r="EB610" s="1757"/>
      <c r="EC610" s="1757"/>
      <c r="ED610" s="1757"/>
      <c r="EE610" s="1757"/>
      <c r="EF610" s="1757"/>
      <c r="EG610" s="1757"/>
      <c r="EH610" s="1757"/>
      <c r="EI610" s="1757"/>
      <c r="EJ610" s="1757"/>
      <c r="EK610" s="1757"/>
      <c r="EL610" s="1757"/>
      <c r="EM610" s="1757"/>
      <c r="EN610" s="1757"/>
      <c r="EO610" s="1757"/>
      <c r="EP610" s="1757"/>
      <c r="EQ610" s="1757"/>
      <c r="ER610" s="1757"/>
      <c r="ES610" s="1757"/>
      <c r="ET610" s="1757"/>
      <c r="EU610" s="1757"/>
      <c r="EV610" s="1757"/>
      <c r="EW610" s="1757"/>
      <c r="EX610" s="1757"/>
      <c r="EY610" s="1757"/>
      <c r="EZ610" s="1757"/>
      <c r="FA610" s="1757"/>
      <c r="FB610" s="1757"/>
      <c r="FC610" s="1757"/>
      <c r="FD610" s="1757"/>
      <c r="FE610" s="1757"/>
      <c r="FF610" s="1757"/>
      <c r="FG610" s="1757"/>
      <c r="FH610" s="1757"/>
      <c r="FI610" s="1757"/>
    </row>
    <row r="611" spans="1:165">
      <c r="A611" s="1757"/>
      <c r="B611" s="1757"/>
      <c r="C611" s="1757"/>
      <c r="D611" s="1757"/>
      <c r="E611" s="1757"/>
      <c r="F611" s="1757"/>
      <c r="G611" s="1757"/>
      <c r="H611" s="1757"/>
      <c r="I611" s="1757"/>
      <c r="J611" s="1757"/>
      <c r="K611" s="1757"/>
      <c r="L611" s="1757"/>
      <c r="M611" s="1757"/>
      <c r="N611" s="1757"/>
      <c r="O611" s="1757"/>
      <c r="P611" s="1757"/>
      <c r="Q611" s="1757"/>
      <c r="R611" s="1757"/>
      <c r="S611" s="1757"/>
      <c r="T611" s="1757"/>
      <c r="U611" s="1757"/>
      <c r="V611" s="1757"/>
      <c r="W611" s="1757"/>
      <c r="X611" s="1757"/>
      <c r="Y611" s="1757"/>
      <c r="Z611" s="1757"/>
      <c r="AA611" s="1757"/>
      <c r="AB611" s="1757"/>
      <c r="AC611" s="1757"/>
      <c r="AD611" s="1757"/>
      <c r="AE611" s="1757"/>
      <c r="AF611" s="1757"/>
      <c r="AG611" s="1757"/>
      <c r="AH611" s="1757"/>
      <c r="AI611" s="1757"/>
      <c r="AJ611" s="1757"/>
      <c r="AK611" s="1757"/>
      <c r="AL611" s="1757"/>
      <c r="AM611" s="1757"/>
      <c r="AN611" s="1757"/>
      <c r="AO611" s="1757"/>
      <c r="AP611" s="1757"/>
      <c r="AQ611" s="1757"/>
      <c r="AR611" s="1757"/>
      <c r="AS611" s="1757"/>
      <c r="AT611" s="1757"/>
      <c r="AU611" s="1757"/>
      <c r="AV611" s="1757"/>
      <c r="AW611" s="1757"/>
      <c r="AX611" s="1757"/>
      <c r="AY611" s="1757"/>
      <c r="AZ611" s="1757"/>
      <c r="BA611" s="1757"/>
      <c r="BB611" s="1757"/>
      <c r="BC611" s="1757"/>
      <c r="BD611" s="1757"/>
      <c r="BE611" s="1757"/>
      <c r="BF611" s="1757"/>
      <c r="BG611" s="1757"/>
      <c r="BH611" s="1757"/>
      <c r="BI611" s="1757"/>
      <c r="BJ611" s="1757"/>
      <c r="BK611" s="1757"/>
      <c r="BL611" s="1757"/>
      <c r="BM611" s="1757"/>
      <c r="BN611" s="1757"/>
      <c r="BO611" s="1757"/>
      <c r="BP611" s="1757"/>
      <c r="BQ611" s="1757"/>
      <c r="BR611" s="1757"/>
      <c r="BS611" s="1757"/>
      <c r="BT611" s="1757"/>
      <c r="BU611" s="1757"/>
      <c r="BV611" s="1757"/>
      <c r="BW611" s="1757"/>
      <c r="BX611" s="1757"/>
      <c r="BY611" s="1757"/>
      <c r="BZ611" s="1757"/>
      <c r="CA611" s="1757"/>
      <c r="CB611" s="1757"/>
      <c r="CC611" s="1757"/>
      <c r="CD611" s="1757"/>
      <c r="CE611" s="1757"/>
      <c r="CF611" s="1757"/>
      <c r="CG611" s="1757"/>
      <c r="CH611" s="1757"/>
      <c r="CI611" s="1757"/>
      <c r="CJ611" s="1757"/>
      <c r="CK611" s="1757"/>
      <c r="CL611" s="1757"/>
      <c r="CM611" s="1757"/>
      <c r="CN611" s="1757"/>
      <c r="CO611" s="1757"/>
      <c r="CP611" s="1757"/>
      <c r="CQ611" s="1757"/>
      <c r="CR611" s="1757"/>
      <c r="CS611" s="1757"/>
      <c r="CT611" s="1757"/>
      <c r="CU611" s="1757"/>
      <c r="CV611" s="1757"/>
      <c r="CW611" s="1757"/>
      <c r="CX611" s="1757"/>
      <c r="CY611" s="1757"/>
      <c r="CZ611" s="1757"/>
      <c r="DA611" s="1757"/>
      <c r="DB611" s="1757"/>
      <c r="DC611" s="1757"/>
      <c r="DD611" s="1757"/>
      <c r="DE611" s="1757"/>
      <c r="DF611" s="1757"/>
      <c r="DG611" s="1757"/>
      <c r="DH611" s="1757"/>
      <c r="DI611" s="1757"/>
      <c r="DJ611" s="1757"/>
      <c r="DK611" s="1757"/>
      <c r="DL611" s="1757"/>
      <c r="DM611" s="1757"/>
      <c r="DN611" s="1757"/>
      <c r="DO611" s="1757"/>
      <c r="DP611" s="1757"/>
      <c r="DQ611" s="1757"/>
      <c r="DR611" s="1757"/>
      <c r="DS611" s="1757"/>
      <c r="DT611" s="1757"/>
      <c r="DU611" s="1757"/>
      <c r="DV611" s="1757"/>
      <c r="DW611" s="1757"/>
      <c r="DX611" s="1757"/>
      <c r="DY611" s="1757"/>
      <c r="DZ611" s="1757"/>
      <c r="EA611" s="1757"/>
      <c r="EB611" s="1757"/>
      <c r="EC611" s="1757"/>
      <c r="ED611" s="1757"/>
      <c r="EE611" s="1757"/>
      <c r="EF611" s="1757"/>
      <c r="EG611" s="1757"/>
      <c r="EH611" s="1757"/>
      <c r="EI611" s="1757"/>
      <c r="EJ611" s="1757"/>
      <c r="EK611" s="1757"/>
      <c r="EL611" s="1757"/>
      <c r="EM611" s="1757"/>
      <c r="EN611" s="1757"/>
      <c r="EO611" s="1757"/>
      <c r="EP611" s="1757"/>
      <c r="EQ611" s="1757"/>
      <c r="ER611" s="1757"/>
      <c r="ES611" s="1757"/>
      <c r="ET611" s="1757"/>
      <c r="EU611" s="1757"/>
      <c r="EV611" s="1757"/>
      <c r="EW611" s="1757"/>
      <c r="EX611" s="1757"/>
      <c r="EY611" s="1757"/>
      <c r="EZ611" s="1757"/>
      <c r="FA611" s="1757"/>
      <c r="FB611" s="1757"/>
      <c r="FC611" s="1757"/>
      <c r="FD611" s="1757"/>
      <c r="FE611" s="1757"/>
      <c r="FF611" s="1757"/>
      <c r="FG611" s="1757"/>
      <c r="FH611" s="1757"/>
      <c r="FI611" s="1757"/>
    </row>
    <row r="612" spans="1:165">
      <c r="A612" s="1757"/>
      <c r="B612" s="1757"/>
      <c r="C612" s="1757"/>
      <c r="D612" s="1757"/>
      <c r="E612" s="1757"/>
      <c r="F612" s="1757"/>
      <c r="G612" s="1757"/>
      <c r="H612" s="1757"/>
      <c r="I612" s="1757"/>
      <c r="J612" s="1757"/>
      <c r="K612" s="1757"/>
      <c r="L612" s="1757"/>
      <c r="M612" s="1757"/>
      <c r="N612" s="1757"/>
      <c r="O612" s="1757"/>
      <c r="P612" s="1757"/>
      <c r="Q612" s="1757"/>
      <c r="R612" s="1757"/>
      <c r="S612" s="1757"/>
      <c r="T612" s="1757"/>
      <c r="U612" s="1757"/>
      <c r="V612" s="1757"/>
      <c r="W612" s="1757"/>
      <c r="X612" s="1757"/>
      <c r="Y612" s="1757"/>
      <c r="Z612" s="1757"/>
      <c r="AA612" s="1757"/>
      <c r="AB612" s="1757"/>
      <c r="AC612" s="1757"/>
      <c r="AD612" s="1757"/>
      <c r="AE612" s="1757"/>
      <c r="AF612" s="1757"/>
      <c r="AG612" s="1757"/>
      <c r="AH612" s="1757"/>
      <c r="AI612" s="1757"/>
      <c r="AJ612" s="1757"/>
      <c r="AK612" s="1757"/>
      <c r="AL612" s="1757"/>
      <c r="AM612" s="1757"/>
      <c r="AN612" s="1757"/>
      <c r="AO612" s="1757"/>
      <c r="AP612" s="1757"/>
      <c r="AQ612" s="1757"/>
      <c r="AR612" s="1757"/>
      <c r="AS612" s="1757"/>
      <c r="AT612" s="1757"/>
      <c r="AU612" s="1757"/>
      <c r="AV612" s="1757"/>
      <c r="AW612" s="1757"/>
      <c r="AX612" s="1757"/>
      <c r="AY612" s="1757"/>
      <c r="AZ612" s="1757"/>
      <c r="BA612" s="1757"/>
      <c r="BB612" s="1757"/>
      <c r="BC612" s="1757"/>
      <c r="BD612" s="1757"/>
      <c r="BE612" s="1757"/>
      <c r="BF612" s="1757"/>
      <c r="BG612" s="1757"/>
      <c r="BH612" s="1757"/>
      <c r="BI612" s="1757"/>
      <c r="BJ612" s="1757"/>
      <c r="BK612" s="1757"/>
      <c r="BL612" s="1757"/>
      <c r="BM612" s="1757"/>
      <c r="BN612" s="1757"/>
      <c r="BO612" s="1757"/>
      <c r="BP612" s="1757"/>
      <c r="BQ612" s="1757"/>
      <c r="BR612" s="1757"/>
      <c r="BS612" s="1757"/>
      <c r="BT612" s="1757"/>
      <c r="BU612" s="1757"/>
      <c r="BV612" s="1757"/>
      <c r="BW612" s="1757"/>
      <c r="BX612" s="1757"/>
      <c r="BY612" s="1757"/>
      <c r="BZ612" s="1757"/>
      <c r="CA612" s="1757"/>
      <c r="CB612" s="1757"/>
      <c r="CC612" s="1757"/>
      <c r="CD612" s="1757"/>
      <c r="CE612" s="1757"/>
      <c r="CF612" s="1757"/>
      <c r="CG612" s="1757"/>
      <c r="CH612" s="1757"/>
      <c r="CI612" s="1757"/>
      <c r="CJ612" s="1757"/>
      <c r="CK612" s="1757"/>
      <c r="CL612" s="1757"/>
      <c r="CM612" s="1757"/>
      <c r="CN612" s="1757"/>
      <c r="CO612" s="1757"/>
      <c r="CP612" s="1757"/>
      <c r="CQ612" s="1757"/>
      <c r="CR612" s="1757"/>
      <c r="CS612" s="1757"/>
      <c r="CT612" s="1757"/>
      <c r="CU612" s="1757"/>
      <c r="CV612" s="1757"/>
      <c r="CW612" s="1757"/>
      <c r="CX612" s="1757"/>
      <c r="CY612" s="1757"/>
      <c r="CZ612" s="1757"/>
      <c r="DA612" s="1757"/>
      <c r="DB612" s="1757"/>
      <c r="DC612" s="1757"/>
      <c r="DD612" s="1757"/>
      <c r="DE612" s="1757"/>
      <c r="DF612" s="1757"/>
      <c r="DG612" s="1757"/>
      <c r="DH612" s="1757"/>
      <c r="DI612" s="1757"/>
      <c r="DJ612" s="1757"/>
      <c r="DK612" s="1757"/>
      <c r="DL612" s="1757"/>
      <c r="DM612" s="1757"/>
      <c r="DN612" s="1757"/>
      <c r="DO612" s="1757"/>
      <c r="DP612" s="1757"/>
      <c r="DQ612" s="1757"/>
      <c r="DR612" s="1757"/>
      <c r="DS612" s="1757"/>
      <c r="DT612" s="1757"/>
      <c r="DU612" s="1757"/>
      <c r="DV612" s="1757"/>
      <c r="DW612" s="1757"/>
      <c r="DX612" s="1757"/>
      <c r="DY612" s="1757"/>
      <c r="DZ612" s="1757"/>
      <c r="EA612" s="1757"/>
      <c r="EB612" s="1757"/>
      <c r="EC612" s="1757"/>
      <c r="ED612" s="1757"/>
      <c r="EE612" s="1757"/>
      <c r="EF612" s="1757"/>
      <c r="EG612" s="1757"/>
      <c r="EH612" s="1757"/>
      <c r="EI612" s="1757"/>
      <c r="EJ612" s="1757"/>
      <c r="EK612" s="1757"/>
      <c r="EL612" s="1757"/>
      <c r="EM612" s="1757"/>
      <c r="EN612" s="1757"/>
      <c r="EO612" s="1757"/>
      <c r="EP612" s="1757"/>
      <c r="EQ612" s="1757"/>
      <c r="ER612" s="1757"/>
      <c r="ES612" s="1757"/>
      <c r="ET612" s="1757"/>
      <c r="EU612" s="1757"/>
      <c r="EV612" s="1757"/>
      <c r="EW612" s="1757"/>
      <c r="EX612" s="1757"/>
      <c r="EY612" s="1757"/>
      <c r="EZ612" s="1757"/>
      <c r="FA612" s="1757"/>
      <c r="FB612" s="1757"/>
      <c r="FC612" s="1757"/>
      <c r="FD612" s="1757"/>
      <c r="FE612" s="1757"/>
      <c r="FF612" s="1757"/>
      <c r="FG612" s="1757"/>
      <c r="FH612" s="1757"/>
      <c r="FI612" s="1757"/>
    </row>
    <row r="613" spans="1:165">
      <c r="A613" s="1757"/>
      <c r="B613" s="1757"/>
      <c r="C613" s="1757"/>
      <c r="D613" s="1757"/>
      <c r="E613" s="1757"/>
      <c r="F613" s="1757"/>
      <c r="G613" s="1757"/>
      <c r="H613" s="1757"/>
      <c r="I613" s="1757"/>
      <c r="J613" s="1757"/>
      <c r="K613" s="1757"/>
      <c r="L613" s="1757"/>
      <c r="M613" s="1757"/>
      <c r="N613" s="1757"/>
      <c r="O613" s="1757"/>
      <c r="P613" s="1757"/>
      <c r="Q613" s="1757"/>
      <c r="R613" s="1757"/>
      <c r="S613" s="1757"/>
      <c r="T613" s="1757"/>
      <c r="U613" s="1757"/>
      <c r="V613" s="1757"/>
      <c r="W613" s="1757"/>
      <c r="X613" s="1757"/>
      <c r="Y613" s="1757"/>
      <c r="Z613" s="1757"/>
      <c r="AA613" s="1757"/>
      <c r="AB613" s="1757"/>
      <c r="AC613" s="1757"/>
      <c r="AD613" s="1757"/>
      <c r="AE613" s="1757"/>
      <c r="AF613" s="1757"/>
      <c r="AG613" s="1757"/>
      <c r="AH613" s="1757"/>
      <c r="AI613" s="1757"/>
      <c r="AJ613" s="1757"/>
      <c r="AK613" s="1757"/>
      <c r="AL613" s="1757"/>
      <c r="AM613" s="1757"/>
      <c r="AN613" s="1757"/>
      <c r="AO613" s="1757"/>
      <c r="AP613" s="1757"/>
      <c r="AQ613" s="1757"/>
      <c r="AR613" s="1757"/>
      <c r="AS613" s="1757"/>
      <c r="AT613" s="1757"/>
      <c r="AU613" s="1757"/>
      <c r="AV613" s="1757"/>
      <c r="AW613" s="1757"/>
      <c r="AX613" s="1757"/>
      <c r="AY613" s="1757"/>
      <c r="AZ613" s="1757"/>
      <c r="BA613" s="1757"/>
      <c r="BB613" s="1757"/>
      <c r="BC613" s="1757"/>
      <c r="BD613" s="1757"/>
      <c r="BE613" s="1757"/>
      <c r="BF613" s="1757"/>
      <c r="BG613" s="1757"/>
      <c r="BH613" s="1757"/>
      <c r="BI613" s="1757"/>
      <c r="BJ613" s="1757"/>
      <c r="BK613" s="1757"/>
      <c r="BL613" s="1757"/>
      <c r="BM613" s="1757"/>
      <c r="BN613" s="1757"/>
      <c r="BO613" s="1757"/>
      <c r="BP613" s="1757"/>
      <c r="BQ613" s="1757"/>
      <c r="BR613" s="1757"/>
      <c r="BS613" s="1757"/>
      <c r="BT613" s="1757"/>
      <c r="BU613" s="1757"/>
      <c r="BV613" s="1757"/>
      <c r="BW613" s="1757"/>
      <c r="BX613" s="1757"/>
      <c r="BY613" s="1757"/>
      <c r="BZ613" s="1757"/>
      <c r="CA613" s="1757"/>
      <c r="CB613" s="1757"/>
      <c r="CC613" s="1757"/>
      <c r="CD613" s="1757"/>
      <c r="CE613" s="1757"/>
      <c r="CF613" s="1757"/>
      <c r="CG613" s="1757"/>
      <c r="CH613" s="1757"/>
      <c r="CI613" s="1757"/>
      <c r="CJ613" s="1757"/>
      <c r="CK613" s="1757"/>
      <c r="CL613" s="1757"/>
      <c r="CM613" s="1757"/>
      <c r="CN613" s="1757"/>
      <c r="CO613" s="1757"/>
      <c r="CP613" s="1757"/>
      <c r="CQ613" s="1757"/>
      <c r="CR613" s="1757"/>
      <c r="CS613" s="1757"/>
      <c r="CT613" s="1757"/>
      <c r="CU613" s="1757"/>
      <c r="CV613" s="1757"/>
      <c r="CW613" s="1757"/>
      <c r="CX613" s="1757"/>
      <c r="CY613" s="1757"/>
      <c r="CZ613" s="1757"/>
      <c r="DA613" s="1757"/>
      <c r="DB613" s="1757"/>
      <c r="DC613" s="1757"/>
      <c r="DD613" s="1757"/>
      <c r="DE613" s="1757"/>
      <c r="DF613" s="1757"/>
      <c r="DG613" s="1757"/>
      <c r="DH613" s="1757"/>
      <c r="DI613" s="1757"/>
      <c r="DJ613" s="1757"/>
      <c r="DK613" s="1757"/>
      <c r="DL613" s="1757"/>
      <c r="DM613" s="1757"/>
      <c r="DN613" s="1757"/>
      <c r="DO613" s="1757"/>
      <c r="DP613" s="1757"/>
      <c r="DQ613" s="1757"/>
      <c r="DR613" s="1757"/>
      <c r="DS613" s="1757"/>
      <c r="DT613" s="1757"/>
      <c r="DU613" s="1757"/>
      <c r="DV613" s="1757"/>
      <c r="DW613" s="1757"/>
      <c r="DX613" s="1757"/>
      <c r="DY613" s="1757"/>
      <c r="DZ613" s="1757"/>
      <c r="EA613" s="1757"/>
      <c r="EB613" s="1757"/>
      <c r="EC613" s="1757"/>
      <c r="ED613" s="1757"/>
      <c r="EE613" s="1757"/>
      <c r="EF613" s="1757"/>
      <c r="EG613" s="1757"/>
      <c r="EH613" s="1757"/>
      <c r="EI613" s="1757"/>
      <c r="EJ613" s="1757"/>
      <c r="EK613" s="1757"/>
      <c r="EL613" s="1757"/>
      <c r="EM613" s="1757"/>
      <c r="EN613" s="1757"/>
      <c r="EO613" s="1757"/>
      <c r="EP613" s="1757"/>
      <c r="EQ613" s="1757"/>
      <c r="ER613" s="1757"/>
      <c r="ES613" s="1757"/>
      <c r="ET613" s="1757"/>
      <c r="EU613" s="1757"/>
      <c r="EV613" s="1757"/>
      <c r="EW613" s="1757"/>
      <c r="EX613" s="1757"/>
      <c r="EY613" s="1757"/>
      <c r="EZ613" s="1757"/>
      <c r="FA613" s="1757"/>
      <c r="FB613" s="1757"/>
      <c r="FC613" s="1757"/>
      <c r="FD613" s="1757"/>
      <c r="FE613" s="1757"/>
      <c r="FF613" s="1757"/>
      <c r="FG613" s="1757"/>
      <c r="FH613" s="1757"/>
      <c r="FI613" s="1757"/>
    </row>
    <row r="614" spans="1:165">
      <c r="A614" s="1757"/>
      <c r="B614" s="1757"/>
      <c r="C614" s="1757"/>
      <c r="D614" s="1757"/>
      <c r="E614" s="1757"/>
      <c r="F614" s="1757"/>
      <c r="G614" s="1757"/>
      <c r="H614" s="1757"/>
      <c r="I614" s="1757"/>
      <c r="J614" s="1757"/>
      <c r="K614" s="1757"/>
      <c r="L614" s="1757"/>
      <c r="M614" s="1757"/>
      <c r="N614" s="1757"/>
      <c r="O614" s="1757"/>
      <c r="P614" s="1757"/>
      <c r="Q614" s="1757"/>
      <c r="R614" s="1757"/>
      <c r="S614" s="1757"/>
      <c r="T614" s="1757"/>
      <c r="U614" s="1757"/>
      <c r="V614" s="1757"/>
      <c r="W614" s="1757"/>
      <c r="X614" s="1757"/>
      <c r="Y614" s="1757"/>
      <c r="Z614" s="1757"/>
      <c r="AA614" s="1757"/>
      <c r="AB614" s="1757"/>
      <c r="AC614" s="1757"/>
      <c r="AD614" s="1757"/>
      <c r="AE614" s="1757"/>
      <c r="AF614" s="1757"/>
      <c r="AG614" s="1757"/>
      <c r="AH614" s="1757"/>
      <c r="AI614" s="1757"/>
      <c r="AJ614" s="1757"/>
      <c r="AK614" s="1757"/>
      <c r="AL614" s="1757"/>
      <c r="AM614" s="1757"/>
      <c r="AN614" s="1757"/>
      <c r="AO614" s="1757"/>
      <c r="AP614" s="1757"/>
      <c r="AQ614" s="1757"/>
      <c r="AR614" s="1757"/>
      <c r="AS614" s="1757"/>
      <c r="AT614" s="1757"/>
      <c r="AU614" s="1757"/>
      <c r="AV614" s="1757"/>
      <c r="AW614" s="1757"/>
      <c r="AX614" s="1757"/>
      <c r="AY614" s="1757"/>
      <c r="AZ614" s="1757"/>
      <c r="BA614" s="1757"/>
      <c r="BB614" s="1757"/>
      <c r="BC614" s="1757"/>
      <c r="BD614" s="1757"/>
      <c r="BE614" s="1757"/>
      <c r="BF614" s="1757"/>
      <c r="BG614" s="1757"/>
      <c r="BH614" s="1757"/>
      <c r="BI614" s="1757"/>
      <c r="BJ614" s="1757"/>
      <c r="BK614" s="1757"/>
      <c r="BL614" s="1757"/>
      <c r="BM614" s="1757"/>
      <c r="BN614" s="1757"/>
      <c r="BO614" s="1757"/>
      <c r="BP614" s="1757"/>
      <c r="BQ614" s="1757"/>
      <c r="BR614" s="1757"/>
      <c r="BS614" s="1757"/>
      <c r="BT614" s="1757"/>
      <c r="BU614" s="1757"/>
      <c r="BV614" s="1757"/>
      <c r="BW614" s="1757"/>
      <c r="BX614" s="1757"/>
      <c r="BY614" s="1757"/>
      <c r="BZ614" s="1757"/>
      <c r="CA614" s="1757"/>
      <c r="CB614" s="1757"/>
      <c r="CC614" s="1757"/>
      <c r="CD614" s="1757"/>
      <c r="CE614" s="1757"/>
      <c r="CF614" s="1757"/>
      <c r="CG614" s="1757"/>
      <c r="CH614" s="1757"/>
      <c r="CI614" s="1757"/>
      <c r="CJ614" s="1757"/>
      <c r="CK614" s="1757"/>
      <c r="CL614" s="1757"/>
      <c r="CM614" s="1757"/>
      <c r="CN614" s="1757"/>
      <c r="CO614" s="1757"/>
      <c r="CP614" s="1757"/>
      <c r="CQ614" s="1757"/>
      <c r="CR614" s="1757"/>
      <c r="CS614" s="1757"/>
      <c r="CT614" s="1757"/>
      <c r="CU614" s="1757"/>
      <c r="CV614" s="1757"/>
      <c r="CW614" s="1757"/>
      <c r="CX614" s="1757"/>
      <c r="CY614" s="1757"/>
      <c r="CZ614" s="1757"/>
      <c r="DA614" s="1757"/>
      <c r="DB614" s="1757"/>
      <c r="DC614" s="1757"/>
      <c r="DD614" s="1757"/>
      <c r="DE614" s="1757"/>
      <c r="DF614" s="1757"/>
      <c r="DG614" s="1757"/>
      <c r="DH614" s="1757"/>
      <c r="DI614" s="1757"/>
      <c r="DJ614" s="1757"/>
      <c r="DK614" s="1757"/>
      <c r="DL614" s="1757"/>
      <c r="DM614" s="1757"/>
      <c r="DN614" s="1757"/>
      <c r="DO614" s="1757"/>
      <c r="DP614" s="1757"/>
      <c r="DQ614" s="1757"/>
      <c r="DR614" s="1757"/>
      <c r="DS614" s="1757"/>
      <c r="DT614" s="1757"/>
      <c r="DU614" s="1757"/>
      <c r="DV614" s="1757"/>
      <c r="DW614" s="1757"/>
      <c r="DX614" s="1757"/>
      <c r="DY614" s="1757"/>
      <c r="DZ614" s="1757"/>
      <c r="EA614" s="1757"/>
      <c r="EB614" s="1757"/>
      <c r="EC614" s="1757"/>
      <c r="ED614" s="1757"/>
      <c r="EE614" s="1757"/>
      <c r="EF614" s="1757"/>
      <c r="EG614" s="1757"/>
      <c r="EH614" s="1757"/>
      <c r="EI614" s="1757"/>
      <c r="EJ614" s="1757"/>
      <c r="EK614" s="1757"/>
      <c r="EL614" s="1757"/>
      <c r="EM614" s="1757"/>
      <c r="EN614" s="1757"/>
      <c r="EO614" s="1757"/>
      <c r="EP614" s="1757"/>
      <c r="EQ614" s="1757"/>
      <c r="ER614" s="1757"/>
      <c r="ES614" s="1757"/>
      <c r="ET614" s="1757"/>
      <c r="EU614" s="1757"/>
      <c r="EV614" s="1757"/>
      <c r="EW614" s="1757"/>
      <c r="EX614" s="1757"/>
      <c r="EY614" s="1757"/>
      <c r="EZ614" s="1757"/>
      <c r="FA614" s="1757"/>
      <c r="FB614" s="1757"/>
      <c r="FC614" s="1757"/>
      <c r="FD614" s="1757"/>
      <c r="FE614" s="1757"/>
      <c r="FF614" s="1757"/>
      <c r="FG614" s="1757"/>
      <c r="FH614" s="1757"/>
      <c r="FI614" s="1757"/>
    </row>
    <row r="615" spans="1:165">
      <c r="A615" s="1757"/>
      <c r="B615" s="1757"/>
      <c r="C615" s="1757"/>
      <c r="D615" s="1757"/>
      <c r="E615" s="1757"/>
      <c r="F615" s="1757"/>
      <c r="G615" s="1757"/>
      <c r="H615" s="1757"/>
      <c r="I615" s="1757"/>
      <c r="J615" s="1757"/>
      <c r="K615" s="1757"/>
      <c r="L615" s="1757"/>
      <c r="M615" s="1757"/>
      <c r="N615" s="1757"/>
      <c r="O615" s="1757"/>
      <c r="P615" s="1757"/>
      <c r="Q615" s="1757"/>
      <c r="R615" s="1757"/>
      <c r="S615" s="1757"/>
      <c r="T615" s="1757"/>
      <c r="U615" s="1757"/>
      <c r="V615" s="1757"/>
      <c r="W615" s="1757"/>
      <c r="X615" s="1757"/>
      <c r="Y615" s="1757"/>
      <c r="Z615" s="1757"/>
      <c r="AA615" s="1757"/>
      <c r="AB615" s="1757"/>
      <c r="AC615" s="1757"/>
      <c r="AD615" s="1757"/>
      <c r="AE615" s="1757"/>
      <c r="AF615" s="1757"/>
      <c r="AG615" s="1757"/>
      <c r="AH615" s="1757"/>
      <c r="AI615" s="1757"/>
      <c r="AJ615" s="1757"/>
      <c r="AK615" s="1757"/>
      <c r="AL615" s="1757"/>
      <c r="AM615" s="1757"/>
      <c r="AN615" s="1757"/>
      <c r="AO615" s="1757"/>
      <c r="AP615" s="1757"/>
      <c r="AQ615" s="1757"/>
      <c r="AR615" s="1757"/>
      <c r="AS615" s="1757"/>
      <c r="AT615" s="1757"/>
      <c r="AU615" s="1757"/>
      <c r="AV615" s="1757"/>
      <c r="AW615" s="1757"/>
      <c r="AX615" s="1757"/>
      <c r="AY615" s="1757"/>
      <c r="AZ615" s="1757"/>
      <c r="BA615" s="1757"/>
      <c r="BB615" s="1757"/>
      <c r="BC615" s="1757"/>
      <c r="BD615" s="1757"/>
      <c r="BE615" s="1757"/>
      <c r="BF615" s="1757"/>
      <c r="BG615" s="1757"/>
      <c r="BH615" s="1757"/>
      <c r="BI615" s="1757"/>
      <c r="BJ615" s="1757"/>
      <c r="BK615" s="1757"/>
      <c r="BL615" s="1757"/>
      <c r="BM615" s="1757"/>
      <c r="BN615" s="1757"/>
      <c r="BO615" s="1757"/>
      <c r="BP615" s="1757"/>
      <c r="BQ615" s="1757"/>
      <c r="BR615" s="1757"/>
      <c r="BS615" s="1757"/>
      <c r="BT615" s="1757"/>
      <c r="BU615" s="1757"/>
      <c r="BV615" s="1757"/>
      <c r="BW615" s="1757"/>
      <c r="BX615" s="1757"/>
      <c r="BY615" s="1757"/>
      <c r="BZ615" s="1757"/>
      <c r="CA615" s="1757"/>
      <c r="CB615" s="1757"/>
      <c r="CC615" s="1757"/>
      <c r="CD615" s="1757"/>
      <c r="CE615" s="1757"/>
      <c r="CF615" s="1757"/>
      <c r="CG615" s="1757"/>
      <c r="CH615" s="1757"/>
      <c r="CI615" s="1757"/>
      <c r="CJ615" s="1757"/>
      <c r="CK615" s="1757"/>
      <c r="CL615" s="1757"/>
      <c r="CM615" s="1757"/>
      <c r="CN615" s="1757"/>
      <c r="CO615" s="1757"/>
      <c r="CP615" s="1757"/>
      <c r="CQ615" s="1757"/>
      <c r="CR615" s="1757"/>
      <c r="CS615" s="1757"/>
      <c r="CT615" s="1757"/>
      <c r="CU615" s="1757"/>
      <c r="CV615" s="1757"/>
      <c r="CW615" s="1757"/>
      <c r="CX615" s="1757"/>
      <c r="CY615" s="1757"/>
      <c r="CZ615" s="1757"/>
      <c r="DA615" s="1757"/>
      <c r="DB615" s="1757"/>
      <c r="DC615" s="1757"/>
      <c r="DD615" s="1757"/>
      <c r="DE615" s="1757"/>
      <c r="DF615" s="1757"/>
      <c r="DG615" s="1757"/>
      <c r="DH615" s="1757"/>
      <c r="DI615" s="1757"/>
      <c r="DJ615" s="1757"/>
      <c r="DK615" s="1757"/>
      <c r="DL615" s="1757"/>
      <c r="DM615" s="1757"/>
      <c r="DN615" s="1757"/>
      <c r="DO615" s="1757"/>
      <c r="DP615" s="1757"/>
      <c r="DQ615" s="1757"/>
      <c r="DR615" s="1757"/>
      <c r="DS615" s="1757"/>
      <c r="DT615" s="1757"/>
      <c r="DU615" s="1757"/>
      <c r="DV615" s="1757"/>
      <c r="DW615" s="1757"/>
      <c r="DX615" s="1757"/>
      <c r="DY615" s="1757"/>
      <c r="DZ615" s="1757"/>
      <c r="EA615" s="1757"/>
      <c r="EB615" s="1757"/>
      <c r="EC615" s="1757"/>
      <c r="ED615" s="1757"/>
      <c r="EE615" s="1757"/>
      <c r="EF615" s="1757"/>
      <c r="EG615" s="1757"/>
      <c r="EH615" s="1757"/>
      <c r="EI615" s="1757"/>
      <c r="EJ615" s="1757"/>
      <c r="EK615" s="1757"/>
      <c r="EL615" s="1757"/>
      <c r="EM615" s="1757"/>
      <c r="EN615" s="1757"/>
      <c r="EO615" s="1757"/>
      <c r="EP615" s="1757"/>
      <c r="EQ615" s="1757"/>
      <c r="ER615" s="1757"/>
      <c r="ES615" s="1757"/>
      <c r="ET615" s="1757"/>
      <c r="EU615" s="1757"/>
      <c r="EV615" s="1757"/>
      <c r="EW615" s="1757"/>
      <c r="EX615" s="1757"/>
      <c r="EY615" s="1757"/>
      <c r="EZ615" s="1757"/>
      <c r="FA615" s="1757"/>
      <c r="FB615" s="1757"/>
      <c r="FC615" s="1757"/>
      <c r="FD615" s="1757"/>
      <c r="FE615" s="1757"/>
      <c r="FF615" s="1757"/>
      <c r="FG615" s="1757"/>
      <c r="FH615" s="1757"/>
      <c r="FI615" s="1757"/>
    </row>
    <row r="616" spans="1:165">
      <c r="A616" s="1757"/>
      <c r="B616" s="1757"/>
      <c r="C616" s="1757"/>
      <c r="D616" s="1757"/>
      <c r="E616" s="1757"/>
      <c r="F616" s="1757"/>
      <c r="G616" s="1757"/>
      <c r="H616" s="1757"/>
      <c r="I616" s="1757"/>
      <c r="J616" s="1757"/>
      <c r="K616" s="1757"/>
      <c r="L616" s="1757"/>
      <c r="M616" s="1757"/>
      <c r="N616" s="1757"/>
      <c r="O616" s="1757"/>
      <c r="P616" s="1757"/>
      <c r="Q616" s="1757"/>
      <c r="R616" s="1757"/>
      <c r="S616" s="1757"/>
      <c r="T616" s="1757"/>
      <c r="U616" s="1757"/>
      <c r="V616" s="1757"/>
      <c r="W616" s="1757"/>
      <c r="X616" s="1757"/>
      <c r="Y616" s="1757"/>
      <c r="Z616" s="1757"/>
      <c r="AA616" s="1757"/>
      <c r="AB616" s="1757"/>
      <c r="AC616" s="1757"/>
      <c r="AD616" s="1757"/>
      <c r="AE616" s="1757"/>
      <c r="AF616" s="1757"/>
      <c r="AG616" s="1757"/>
      <c r="AH616" s="1757"/>
      <c r="AI616" s="1757"/>
      <c r="AJ616" s="1757"/>
      <c r="AK616" s="1757"/>
      <c r="AL616" s="1757"/>
      <c r="AM616" s="1757"/>
      <c r="AN616" s="1757"/>
      <c r="AO616" s="1757"/>
      <c r="AP616" s="1757"/>
      <c r="AQ616" s="1757"/>
      <c r="AR616" s="1757"/>
      <c r="AS616" s="1757"/>
      <c r="AT616" s="1757"/>
      <c r="AU616" s="1757"/>
      <c r="AV616" s="1757"/>
      <c r="AW616" s="1757"/>
      <c r="AX616" s="1757"/>
      <c r="AY616" s="1757"/>
      <c r="AZ616" s="1757"/>
      <c r="BA616" s="1757"/>
      <c r="BB616" s="1757"/>
      <c r="BC616" s="1757"/>
      <c r="BD616" s="1757"/>
      <c r="BE616" s="1757"/>
      <c r="BF616" s="1757"/>
      <c r="BG616" s="1757"/>
      <c r="BH616" s="1757"/>
      <c r="BI616" s="1757"/>
      <c r="BJ616" s="1757"/>
      <c r="BK616" s="1757"/>
      <c r="BL616" s="1757"/>
      <c r="BM616" s="1757"/>
      <c r="BN616" s="1757"/>
      <c r="BO616" s="1757"/>
      <c r="BP616" s="1757"/>
      <c r="BQ616" s="1757"/>
      <c r="BR616" s="1757"/>
      <c r="BS616" s="1757"/>
      <c r="BT616" s="1757"/>
      <c r="BU616" s="1757"/>
      <c r="BV616" s="1757"/>
      <c r="BW616" s="1757"/>
      <c r="BX616" s="1757"/>
      <c r="BY616" s="1757"/>
      <c r="BZ616" s="1757"/>
      <c r="CA616" s="1757"/>
      <c r="CB616" s="1757"/>
      <c r="CC616" s="1757"/>
      <c r="CD616" s="1757"/>
      <c r="CE616" s="1757"/>
      <c r="CF616" s="1757"/>
      <c r="CG616" s="1757"/>
      <c r="CH616" s="1757"/>
      <c r="CI616" s="1757"/>
      <c r="CJ616" s="1757"/>
      <c r="CK616" s="1757"/>
      <c r="CL616" s="1757"/>
      <c r="CM616" s="1757"/>
      <c r="CN616" s="1757"/>
      <c r="CO616" s="1757"/>
      <c r="CP616" s="1757"/>
      <c r="CQ616" s="1757"/>
      <c r="CR616" s="1757"/>
      <c r="CS616" s="1757"/>
      <c r="CT616" s="1757"/>
      <c r="CU616" s="1757"/>
      <c r="CV616" s="1757"/>
      <c r="CW616" s="1757"/>
      <c r="CX616" s="1757"/>
      <c r="CY616" s="1757"/>
      <c r="CZ616" s="1757"/>
      <c r="DA616" s="1757"/>
      <c r="DB616" s="1757"/>
      <c r="DC616" s="1757"/>
      <c r="DD616" s="1757"/>
      <c r="DE616" s="1757"/>
      <c r="DF616" s="1757"/>
      <c r="DG616" s="1757"/>
      <c r="DH616" s="1757"/>
      <c r="DI616" s="1757"/>
      <c r="DJ616" s="1757"/>
      <c r="DK616" s="1757"/>
      <c r="DL616" s="1757"/>
      <c r="DM616" s="1757"/>
      <c r="DN616" s="1757"/>
      <c r="DO616" s="1757"/>
      <c r="DP616" s="1757"/>
      <c r="DQ616" s="1757"/>
      <c r="DR616" s="1757"/>
      <c r="DS616" s="1757"/>
      <c r="DT616" s="1757"/>
      <c r="DU616" s="1757"/>
      <c r="DV616" s="1757"/>
      <c r="DW616" s="1757"/>
      <c r="DX616" s="1757"/>
      <c r="DY616" s="1757"/>
      <c r="DZ616" s="1757"/>
      <c r="EA616" s="1757"/>
      <c r="EB616" s="1757"/>
      <c r="EC616" s="1757"/>
      <c r="ED616" s="1757"/>
      <c r="EE616" s="1757"/>
      <c r="EF616" s="1757"/>
      <c r="EG616" s="1757"/>
      <c r="EH616" s="1757"/>
      <c r="EI616" s="1757"/>
      <c r="EJ616" s="1757"/>
      <c r="EK616" s="1757"/>
      <c r="EL616" s="1757"/>
      <c r="EM616" s="1757"/>
      <c r="EN616" s="1757"/>
      <c r="EO616" s="1757"/>
      <c r="EP616" s="1757"/>
      <c r="EQ616" s="1757"/>
      <c r="ER616" s="1757"/>
      <c r="ES616" s="1757"/>
      <c r="ET616" s="1757"/>
      <c r="EU616" s="1757"/>
      <c r="EV616" s="1757"/>
      <c r="EW616" s="1757"/>
      <c r="EX616" s="1757"/>
      <c r="EY616" s="1757"/>
      <c r="EZ616" s="1757"/>
      <c r="FA616" s="1757"/>
      <c r="FB616" s="1757"/>
      <c r="FC616" s="1757"/>
      <c r="FD616" s="1757"/>
      <c r="FE616" s="1757"/>
      <c r="FF616" s="1757"/>
      <c r="FG616" s="1757"/>
      <c r="FH616" s="1757"/>
      <c r="FI616" s="1757"/>
    </row>
    <row r="617" spans="1:165">
      <c r="A617" s="1757"/>
      <c r="B617" s="1757"/>
      <c r="C617" s="1757"/>
      <c r="D617" s="1757"/>
      <c r="E617" s="1757"/>
      <c r="F617" s="1757"/>
      <c r="G617" s="1757"/>
      <c r="H617" s="1757"/>
      <c r="I617" s="1757"/>
      <c r="J617" s="1757"/>
      <c r="K617" s="1757"/>
      <c r="L617" s="1757"/>
      <c r="M617" s="1757"/>
      <c r="N617" s="1757"/>
      <c r="O617" s="1757"/>
      <c r="P617" s="1757"/>
      <c r="Q617" s="1757"/>
      <c r="R617" s="1757"/>
      <c r="S617" s="1757"/>
      <c r="T617" s="1757"/>
      <c r="U617" s="1757"/>
      <c r="V617" s="1757"/>
      <c r="W617" s="1757"/>
      <c r="X617" s="1757"/>
      <c r="Y617" s="1757"/>
      <c r="Z617" s="1757"/>
      <c r="AA617" s="1757"/>
      <c r="AB617" s="1757"/>
      <c r="AC617" s="1757"/>
      <c r="AD617" s="1757"/>
      <c r="AE617" s="1757"/>
      <c r="AF617" s="1757"/>
      <c r="AG617" s="1757"/>
      <c r="AH617" s="1757"/>
      <c r="AI617" s="1757"/>
      <c r="AJ617" s="1757"/>
      <c r="AK617" s="1757"/>
      <c r="AL617" s="1757"/>
      <c r="AM617" s="1757"/>
      <c r="AN617" s="1757"/>
      <c r="AO617" s="1757"/>
      <c r="AP617" s="1757"/>
      <c r="AQ617" s="1757"/>
      <c r="AR617" s="1757"/>
      <c r="AS617" s="1757"/>
      <c r="AT617" s="1757"/>
      <c r="AU617" s="1757"/>
      <c r="AV617" s="1757"/>
      <c r="AW617" s="1757"/>
      <c r="AX617" s="1757"/>
      <c r="AY617" s="1757"/>
      <c r="AZ617" s="1757"/>
      <c r="BA617" s="1757"/>
      <c r="BB617" s="1757"/>
      <c r="BC617" s="1757"/>
      <c r="BD617" s="1757"/>
      <c r="BE617" s="1757"/>
      <c r="BF617" s="1757"/>
      <c r="BG617" s="1757"/>
      <c r="BH617" s="1757"/>
      <c r="BI617" s="1757"/>
      <c r="BJ617" s="1757"/>
      <c r="BK617" s="1757"/>
      <c r="BL617" s="1757"/>
      <c r="BM617" s="1757"/>
      <c r="BN617" s="1757"/>
      <c r="BO617" s="1757"/>
      <c r="BP617" s="1757"/>
      <c r="BQ617" s="1757"/>
      <c r="BR617" s="1757"/>
      <c r="BS617" s="1757"/>
      <c r="BT617" s="1757"/>
      <c r="BU617" s="1757"/>
      <c r="BV617" s="1757"/>
      <c r="BW617" s="1757"/>
      <c r="BX617" s="1757"/>
      <c r="BY617" s="1757"/>
      <c r="BZ617" s="1757"/>
      <c r="CA617" s="1757"/>
      <c r="CB617" s="1757"/>
      <c r="CC617" s="1757"/>
      <c r="CD617" s="1757"/>
      <c r="CE617" s="1757"/>
      <c r="CF617" s="1757"/>
      <c r="CG617" s="1757"/>
      <c r="CH617" s="1757"/>
      <c r="CI617" s="1757"/>
      <c r="CJ617" s="1757"/>
      <c r="CK617" s="1757"/>
      <c r="CL617" s="1757"/>
      <c r="CM617" s="1757"/>
      <c r="CN617" s="1757"/>
      <c r="CO617" s="1757"/>
      <c r="CP617" s="1757"/>
      <c r="CQ617" s="1757"/>
      <c r="CR617" s="1757"/>
      <c r="CS617" s="1757"/>
      <c r="CT617" s="1757"/>
      <c r="CU617" s="1757"/>
      <c r="CV617" s="1757"/>
      <c r="CW617" s="1757"/>
      <c r="CX617" s="1757"/>
      <c r="CY617" s="1757"/>
      <c r="CZ617" s="1757"/>
      <c r="DA617" s="1757"/>
      <c r="DB617" s="1757"/>
      <c r="DC617" s="1757"/>
      <c r="DD617" s="1757"/>
      <c r="DE617" s="1757"/>
      <c r="DF617" s="1757"/>
      <c r="DG617" s="1757"/>
      <c r="DH617" s="1757"/>
      <c r="DI617" s="1757"/>
      <c r="DJ617" s="1757"/>
      <c r="DK617" s="1757"/>
      <c r="DL617" s="1757"/>
      <c r="DM617" s="1757"/>
      <c r="DN617" s="1757"/>
      <c r="DO617" s="1757"/>
      <c r="DP617" s="1757"/>
      <c r="DQ617" s="1757"/>
      <c r="DR617" s="1757"/>
      <c r="DS617" s="1757"/>
      <c r="DT617" s="1757"/>
      <c r="DU617" s="1757"/>
      <c r="DV617" s="1757"/>
      <c r="DW617" s="1757"/>
      <c r="DX617" s="1757"/>
      <c r="DY617" s="1757"/>
      <c r="DZ617" s="1757"/>
      <c r="EA617" s="1757"/>
      <c r="EB617" s="1757"/>
      <c r="EC617" s="1757"/>
      <c r="ED617" s="1757"/>
      <c r="EE617" s="1757"/>
      <c r="EF617" s="1757"/>
      <c r="EG617" s="1757"/>
      <c r="EH617" s="1757"/>
      <c r="EI617" s="1757"/>
      <c r="EJ617" s="1757"/>
      <c r="EK617" s="1757"/>
      <c r="EL617" s="1757"/>
      <c r="EM617" s="1757"/>
      <c r="EN617" s="1757"/>
      <c r="EO617" s="1757"/>
      <c r="EP617" s="1757"/>
      <c r="EQ617" s="1757"/>
      <c r="ER617" s="1757"/>
      <c r="ES617" s="1757"/>
      <c r="ET617" s="1757"/>
      <c r="EU617" s="1757"/>
      <c r="EV617" s="1757"/>
      <c r="EW617" s="1757"/>
      <c r="EX617" s="1757"/>
      <c r="EY617" s="1757"/>
      <c r="EZ617" s="1757"/>
      <c r="FA617" s="1757"/>
      <c r="FB617" s="1757"/>
      <c r="FC617" s="1757"/>
      <c r="FD617" s="1757"/>
      <c r="FE617" s="1757"/>
      <c r="FF617" s="1757"/>
      <c r="FG617" s="1757"/>
      <c r="FH617" s="1757"/>
      <c r="FI617" s="1757"/>
    </row>
    <row r="618" spans="1:165">
      <c r="A618" s="1757"/>
      <c r="B618" s="1757"/>
      <c r="C618" s="1757"/>
      <c r="D618" s="1757"/>
      <c r="E618" s="1757"/>
      <c r="F618" s="1757"/>
      <c r="G618" s="1757"/>
      <c r="H618" s="1757"/>
      <c r="I618" s="1757"/>
      <c r="J618" s="1757"/>
      <c r="K618" s="1757"/>
      <c r="L618" s="1757"/>
      <c r="M618" s="1757"/>
      <c r="N618" s="1757"/>
      <c r="O618" s="1757"/>
      <c r="P618" s="1757"/>
      <c r="Q618" s="1757"/>
      <c r="R618" s="1757"/>
      <c r="S618" s="1757"/>
      <c r="T618" s="1757"/>
      <c r="U618" s="1757"/>
      <c r="V618" s="1757"/>
      <c r="W618" s="1757"/>
      <c r="X618" s="1757"/>
      <c r="Y618" s="1757"/>
      <c r="Z618" s="1757"/>
      <c r="AA618" s="1757"/>
      <c r="AB618" s="1757"/>
      <c r="AC618" s="1757"/>
      <c r="AD618" s="1757"/>
      <c r="AE618" s="1757"/>
      <c r="AF618" s="1757"/>
      <c r="AG618" s="1757"/>
      <c r="AH618" s="1757"/>
      <c r="AI618" s="1757"/>
      <c r="AJ618" s="1757"/>
      <c r="AK618" s="1757"/>
      <c r="AL618" s="1757"/>
      <c r="AM618" s="1757"/>
      <c r="AN618" s="1757"/>
      <c r="AO618" s="1757"/>
      <c r="AP618" s="1757"/>
      <c r="AQ618" s="1757"/>
      <c r="AR618" s="1757"/>
      <c r="AS618" s="1757"/>
      <c r="AT618" s="1757"/>
      <c r="AU618" s="1757"/>
      <c r="AV618" s="1757"/>
      <c r="AW618" s="1757"/>
      <c r="AX618" s="1757"/>
      <c r="AY618" s="1757"/>
      <c r="AZ618" s="1757"/>
      <c r="BA618" s="1757"/>
      <c r="BB618" s="1757"/>
      <c r="BC618" s="1757"/>
      <c r="BD618" s="1757"/>
      <c r="BE618" s="1757"/>
      <c r="BF618" s="1757"/>
      <c r="BG618" s="1757"/>
      <c r="BH618" s="1757"/>
      <c r="BI618" s="1757"/>
      <c r="BJ618" s="1757"/>
      <c r="BK618" s="1757"/>
      <c r="BL618" s="1757"/>
      <c r="BM618" s="1757"/>
      <c r="BN618" s="1757"/>
      <c r="BO618" s="1757"/>
      <c r="BP618" s="1757"/>
      <c r="BQ618" s="1757"/>
      <c r="BR618" s="1757"/>
      <c r="BS618" s="1757"/>
      <c r="BT618" s="1757"/>
      <c r="BU618" s="1757"/>
      <c r="BV618" s="1757"/>
      <c r="BW618" s="1757"/>
      <c r="BX618" s="1757"/>
      <c r="BY618" s="1757"/>
      <c r="BZ618" s="1757"/>
      <c r="CA618" s="1757"/>
      <c r="CB618" s="1757"/>
      <c r="CC618" s="1757"/>
      <c r="CD618" s="1757"/>
      <c r="CE618" s="1757"/>
      <c r="CF618" s="1757"/>
      <c r="CG618" s="1757"/>
      <c r="CH618" s="1757"/>
      <c r="CI618" s="1757"/>
      <c r="CJ618" s="1757"/>
      <c r="CK618" s="1757"/>
      <c r="CL618" s="1757"/>
      <c r="CM618" s="1757"/>
      <c r="CN618" s="1757"/>
      <c r="CO618" s="1757"/>
      <c r="CP618" s="1757"/>
      <c r="CQ618" s="1757"/>
      <c r="CR618" s="1757"/>
      <c r="CS618" s="1757"/>
      <c r="CT618" s="1757"/>
      <c r="CU618" s="1757"/>
      <c r="CV618" s="1757"/>
      <c r="CW618" s="1757"/>
      <c r="CX618" s="1757"/>
      <c r="CY618" s="1757"/>
      <c r="CZ618" s="1757"/>
      <c r="DA618" s="1757"/>
      <c r="DB618" s="1757"/>
      <c r="DC618" s="1757"/>
      <c r="DD618" s="1757"/>
      <c r="DE618" s="1757"/>
      <c r="DF618" s="1757"/>
      <c r="DG618" s="1757"/>
      <c r="DH618" s="1757"/>
      <c r="DI618" s="1757"/>
      <c r="DJ618" s="1757"/>
      <c r="DK618" s="1757"/>
      <c r="DL618" s="1757"/>
      <c r="DM618" s="1757"/>
      <c r="DN618" s="1757"/>
      <c r="DO618" s="1757"/>
      <c r="DP618" s="1757"/>
      <c r="DQ618" s="1757"/>
      <c r="DR618" s="1757"/>
      <c r="DS618" s="1757"/>
      <c r="DT618" s="1757"/>
      <c r="DU618" s="1757"/>
      <c r="DV618" s="1757"/>
      <c r="DW618" s="1757"/>
      <c r="DX618" s="1757"/>
      <c r="DY618" s="1757"/>
      <c r="DZ618" s="1757"/>
      <c r="EA618" s="1757"/>
      <c r="EB618" s="1757"/>
      <c r="EC618" s="1757"/>
      <c r="ED618" s="1757"/>
      <c r="EE618" s="1757"/>
      <c r="EF618" s="1757"/>
      <c r="EG618" s="1757"/>
      <c r="EH618" s="1757"/>
      <c r="EI618" s="1757"/>
      <c r="EJ618" s="1757"/>
      <c r="EK618" s="1757"/>
      <c r="EL618" s="1757"/>
      <c r="EM618" s="1757"/>
      <c r="EN618" s="1757"/>
      <c r="EO618" s="1757"/>
      <c r="EP618" s="1757"/>
      <c r="EQ618" s="1757"/>
      <c r="ER618" s="1757"/>
      <c r="ES618" s="1757"/>
      <c r="ET618" s="1757"/>
      <c r="EU618" s="1757"/>
      <c r="EV618" s="1757"/>
      <c r="EW618" s="1757"/>
      <c r="EX618" s="1757"/>
      <c r="EY618" s="1757"/>
      <c r="EZ618" s="1757"/>
      <c r="FA618" s="1757"/>
      <c r="FB618" s="1757"/>
      <c r="FC618" s="1757"/>
      <c r="FD618" s="1757"/>
      <c r="FE618" s="1757"/>
      <c r="FF618" s="1757"/>
      <c r="FG618" s="1757"/>
      <c r="FH618" s="1757"/>
      <c r="FI618" s="1757"/>
    </row>
    <row r="619" spans="1:165">
      <c r="A619" s="1757"/>
      <c r="B619" s="1757"/>
      <c r="C619" s="1757"/>
      <c r="D619" s="1757"/>
      <c r="E619" s="1757"/>
      <c r="F619" s="1757"/>
      <c r="G619" s="1757"/>
      <c r="H619" s="1757"/>
      <c r="I619" s="1757"/>
      <c r="J619" s="1757"/>
      <c r="K619" s="1757"/>
      <c r="L619" s="1757"/>
      <c r="M619" s="1757"/>
      <c r="N619" s="1757"/>
      <c r="O619" s="1757"/>
      <c r="P619" s="1757"/>
      <c r="Q619" s="1757"/>
      <c r="R619" s="1757"/>
      <c r="S619" s="1757"/>
      <c r="T619" s="1757"/>
      <c r="U619" s="1757"/>
      <c r="V619" s="1757"/>
      <c r="W619" s="1757"/>
      <c r="X619" s="1757"/>
      <c r="Y619" s="1757"/>
      <c r="Z619" s="1757"/>
      <c r="AA619" s="1757"/>
      <c r="AB619" s="1757"/>
      <c r="AC619" s="1757"/>
      <c r="AD619" s="1757"/>
      <c r="AE619" s="1757"/>
      <c r="AF619" s="1757"/>
      <c r="AG619" s="1757"/>
      <c r="AH619" s="1757"/>
      <c r="AI619" s="1757"/>
      <c r="AJ619" s="1757"/>
      <c r="AK619" s="1757"/>
      <c r="AL619" s="1757"/>
      <c r="AM619" s="1757"/>
      <c r="AN619" s="1757"/>
      <c r="AO619" s="1757"/>
      <c r="AP619" s="1757"/>
      <c r="AQ619" s="1757"/>
      <c r="AR619" s="1757"/>
      <c r="AS619" s="1757"/>
      <c r="AT619" s="1757"/>
      <c r="AU619" s="1757"/>
      <c r="AV619" s="1757"/>
      <c r="AW619" s="1757"/>
      <c r="AX619" s="1757"/>
      <c r="AY619" s="1757"/>
      <c r="AZ619" s="1757"/>
      <c r="BA619" s="1757"/>
      <c r="BB619" s="1757"/>
      <c r="BC619" s="1757"/>
      <c r="BD619" s="1757"/>
      <c r="BE619" s="1757"/>
      <c r="BF619" s="1757"/>
      <c r="BG619" s="1757"/>
      <c r="BH619" s="1757"/>
      <c r="BI619" s="1757"/>
      <c r="BJ619" s="1757"/>
      <c r="BK619" s="1757"/>
      <c r="BL619" s="1757"/>
      <c r="BM619" s="1757"/>
      <c r="BN619" s="1757"/>
      <c r="BO619" s="1757"/>
      <c r="BP619" s="1757"/>
      <c r="BQ619" s="1757"/>
      <c r="BR619" s="1757"/>
      <c r="BS619" s="1757"/>
      <c r="BT619" s="1757"/>
      <c r="BU619" s="1757"/>
      <c r="BV619" s="1757"/>
      <c r="BW619" s="1757"/>
      <c r="BX619" s="1757"/>
      <c r="BY619" s="1757"/>
      <c r="BZ619" s="1757"/>
      <c r="CA619" s="1757"/>
      <c r="CB619" s="1757"/>
      <c r="CC619" s="1757"/>
      <c r="CD619" s="1757"/>
      <c r="CE619" s="1757"/>
      <c r="CF619" s="1757"/>
      <c r="CG619" s="1757"/>
      <c r="CH619" s="1757"/>
      <c r="CI619" s="1757"/>
      <c r="CJ619" s="1757"/>
      <c r="CK619" s="1757"/>
      <c r="CL619" s="1757"/>
      <c r="CM619" s="1757"/>
      <c r="CN619" s="1757"/>
      <c r="CO619" s="1757"/>
      <c r="CP619" s="1757"/>
      <c r="CQ619" s="1757"/>
      <c r="CR619" s="1757"/>
      <c r="CS619" s="1757"/>
      <c r="CT619" s="1757"/>
      <c r="CU619" s="1757"/>
      <c r="CV619" s="1757"/>
      <c r="CW619" s="1757"/>
      <c r="CX619" s="1757"/>
      <c r="CY619" s="1757"/>
      <c r="CZ619" s="1757"/>
      <c r="DA619" s="1757"/>
      <c r="DB619" s="1757"/>
      <c r="DC619" s="1757"/>
      <c r="DD619" s="1757"/>
      <c r="DE619" s="1757"/>
      <c r="DF619" s="1757"/>
      <c r="DG619" s="1757"/>
      <c r="DH619" s="1757"/>
      <c r="DI619" s="1757"/>
      <c r="DJ619" s="1757"/>
      <c r="DK619" s="1757"/>
      <c r="DL619" s="1757"/>
      <c r="DM619" s="1757"/>
      <c r="DN619" s="1757"/>
      <c r="DO619" s="1757"/>
      <c r="DP619" s="1757"/>
      <c r="DQ619" s="1757"/>
      <c r="DR619" s="1757"/>
      <c r="DS619" s="1757"/>
      <c r="DT619" s="1757"/>
      <c r="DU619" s="1757"/>
      <c r="DV619" s="1757"/>
      <c r="DW619" s="1757"/>
      <c r="DX619" s="1757"/>
      <c r="DY619" s="1757"/>
      <c r="DZ619" s="1757"/>
      <c r="EA619" s="1757"/>
      <c r="EB619" s="1757"/>
      <c r="EC619" s="1757"/>
      <c r="ED619" s="1757"/>
      <c r="EE619" s="1757"/>
      <c r="EF619" s="1757"/>
      <c r="EG619" s="1757"/>
      <c r="EH619" s="1757"/>
      <c r="EI619" s="1757"/>
      <c r="EJ619" s="1757"/>
      <c r="EK619" s="1757"/>
      <c r="EL619" s="1757"/>
      <c r="EM619" s="1757"/>
      <c r="EN619" s="1757"/>
      <c r="EO619" s="1757"/>
      <c r="EP619" s="1757"/>
      <c r="EQ619" s="1757"/>
      <c r="ER619" s="1757"/>
      <c r="ES619" s="1757"/>
      <c r="ET619" s="1757"/>
      <c r="EU619" s="1757"/>
      <c r="EV619" s="1757"/>
      <c r="EW619" s="1757"/>
      <c r="EX619" s="1757"/>
      <c r="EY619" s="1757"/>
      <c r="EZ619" s="1757"/>
      <c r="FA619" s="1757"/>
      <c r="FB619" s="1757"/>
      <c r="FC619" s="1757"/>
      <c r="FD619" s="1757"/>
      <c r="FE619" s="1757"/>
      <c r="FF619" s="1757"/>
      <c r="FG619" s="1757"/>
      <c r="FH619" s="1757"/>
      <c r="FI619" s="1757"/>
    </row>
    <row r="620" spans="1:165">
      <c r="A620" s="1757"/>
      <c r="B620" s="1757"/>
      <c r="C620" s="1757"/>
      <c r="D620" s="1757"/>
      <c r="E620" s="1757"/>
      <c r="F620" s="1757"/>
      <c r="G620" s="1757"/>
      <c r="H620" s="1757"/>
      <c r="I620" s="1757"/>
      <c r="J620" s="1757"/>
      <c r="K620" s="1757"/>
      <c r="L620" s="1757"/>
      <c r="M620" s="1757"/>
      <c r="N620" s="1757"/>
      <c r="O620" s="1757"/>
      <c r="P620" s="1757"/>
      <c r="Q620" s="1757"/>
      <c r="R620" s="1757"/>
      <c r="S620" s="1757"/>
      <c r="T620" s="1757"/>
      <c r="U620" s="1757"/>
      <c r="V620" s="1757"/>
      <c r="W620" s="1757"/>
      <c r="X620" s="1757"/>
      <c r="Y620" s="1757"/>
      <c r="Z620" s="1757"/>
      <c r="AA620" s="1757"/>
      <c r="AB620" s="1757"/>
      <c r="AC620" s="1757"/>
      <c r="AD620" s="1757"/>
      <c r="AE620" s="1757"/>
      <c r="AF620" s="1757"/>
      <c r="AG620" s="1757"/>
      <c r="AH620" s="1757"/>
      <c r="AI620" s="1757"/>
      <c r="AJ620" s="1757"/>
      <c r="AK620" s="1757"/>
      <c r="AL620" s="1757"/>
      <c r="AM620" s="1757"/>
      <c r="AN620" s="1757"/>
      <c r="AO620" s="1757"/>
      <c r="AP620" s="1757"/>
      <c r="AQ620" s="1757"/>
      <c r="AR620" s="1757"/>
      <c r="AS620" s="1757"/>
      <c r="AT620" s="1757"/>
      <c r="AU620" s="1757"/>
      <c r="AV620" s="1757"/>
      <c r="AW620" s="1757"/>
      <c r="AX620" s="1757"/>
      <c r="AY620" s="1757"/>
      <c r="AZ620" s="1757"/>
      <c r="BA620" s="1757"/>
      <c r="BB620" s="1757"/>
      <c r="BC620" s="1757"/>
      <c r="BD620" s="1757"/>
      <c r="BE620" s="1757"/>
      <c r="BF620" s="1757"/>
      <c r="BG620" s="1757"/>
      <c r="BH620" s="1757"/>
      <c r="BI620" s="1757"/>
      <c r="BJ620" s="1757"/>
      <c r="BK620" s="1757"/>
      <c r="BL620" s="1757"/>
      <c r="BM620" s="1757"/>
      <c r="BN620" s="1757"/>
      <c r="BO620" s="1757"/>
      <c r="BP620" s="1757"/>
      <c r="BQ620" s="1757"/>
      <c r="BR620" s="1757"/>
      <c r="BS620" s="1757"/>
      <c r="BT620" s="1757"/>
      <c r="BU620" s="1757"/>
      <c r="BV620" s="1757"/>
      <c r="BW620" s="1757"/>
      <c r="BX620" s="1757"/>
      <c r="BY620" s="1757"/>
      <c r="BZ620" s="1757"/>
      <c r="CA620" s="1757"/>
      <c r="CB620" s="1757"/>
      <c r="CC620" s="1757"/>
      <c r="CD620" s="1757"/>
      <c r="CE620" s="1757"/>
      <c r="CF620" s="1757"/>
      <c r="CG620" s="1757"/>
      <c r="CH620" s="1757"/>
      <c r="CI620" s="1757"/>
      <c r="CJ620" s="1757"/>
      <c r="CK620" s="1757"/>
      <c r="CL620" s="1757"/>
      <c r="CM620" s="1757"/>
      <c r="CN620" s="1757"/>
      <c r="CO620" s="1757"/>
      <c r="CP620" s="1757"/>
      <c r="CQ620" s="1757"/>
      <c r="CR620" s="1757"/>
      <c r="CS620" s="1757"/>
      <c r="CT620" s="1757"/>
      <c r="CU620" s="1757"/>
      <c r="CV620" s="1757"/>
      <c r="CW620" s="1757"/>
      <c r="CX620" s="1757"/>
      <c r="CY620" s="1757"/>
      <c r="CZ620" s="1757"/>
      <c r="DA620" s="1757"/>
      <c r="DB620" s="1757"/>
      <c r="DC620" s="1757"/>
      <c r="DD620" s="1757"/>
      <c r="DE620" s="1757"/>
      <c r="DF620" s="1757"/>
      <c r="DG620" s="1757"/>
      <c r="DH620" s="1757"/>
      <c r="DI620" s="1757"/>
      <c r="DJ620" s="1757"/>
      <c r="DK620" s="1757"/>
      <c r="DL620" s="1757"/>
      <c r="DM620" s="1757"/>
      <c r="DN620" s="1757"/>
      <c r="DO620" s="1757"/>
      <c r="DP620" s="1757"/>
      <c r="DQ620" s="1757"/>
      <c r="DR620" s="1757"/>
      <c r="DS620" s="1757"/>
      <c r="DT620" s="1757"/>
      <c r="DU620" s="1757"/>
      <c r="DV620" s="1757"/>
      <c r="DW620" s="1757"/>
      <c r="DX620" s="1757"/>
      <c r="DY620" s="1757"/>
      <c r="DZ620" s="1757"/>
      <c r="EA620" s="1757"/>
      <c r="EB620" s="1757"/>
      <c r="EC620" s="1757"/>
      <c r="ED620" s="1757"/>
      <c r="EE620" s="1757"/>
      <c r="EF620" s="1757"/>
      <c r="EG620" s="1757"/>
      <c r="EH620" s="1757"/>
      <c r="EI620" s="1757"/>
      <c r="EJ620" s="1757"/>
      <c r="EK620" s="1757"/>
      <c r="EL620" s="1757"/>
      <c r="EM620" s="1757"/>
      <c r="EN620" s="1757"/>
      <c r="EO620" s="1757"/>
      <c r="EP620" s="1757"/>
      <c r="EQ620" s="1757"/>
      <c r="ER620" s="1757"/>
      <c r="ES620" s="1757"/>
      <c r="ET620" s="1757"/>
      <c r="EU620" s="1757"/>
      <c r="EV620" s="1757"/>
      <c r="EW620" s="1757"/>
      <c r="EX620" s="1757"/>
      <c r="EY620" s="1757"/>
      <c r="EZ620" s="1757"/>
      <c r="FA620" s="1757"/>
      <c r="FB620" s="1757"/>
      <c r="FC620" s="1757"/>
      <c r="FD620" s="1757"/>
      <c r="FE620" s="1757"/>
      <c r="FF620" s="1757"/>
      <c r="FG620" s="1757"/>
      <c r="FH620" s="1757"/>
      <c r="FI620" s="1757"/>
    </row>
    <row r="621" spans="1:165">
      <c r="A621" s="1757"/>
      <c r="B621" s="1757"/>
      <c r="C621" s="1757"/>
      <c r="D621" s="1757"/>
      <c r="E621" s="1757"/>
      <c r="F621" s="1757"/>
      <c r="G621" s="1757"/>
      <c r="H621" s="1757"/>
      <c r="I621" s="1757"/>
      <c r="J621" s="1757"/>
      <c r="K621" s="1757"/>
      <c r="L621" s="1757"/>
      <c r="M621" s="1757"/>
      <c r="N621" s="1757"/>
      <c r="O621" s="1757"/>
      <c r="P621" s="1757"/>
      <c r="Q621" s="1757"/>
      <c r="R621" s="1757"/>
      <c r="S621" s="1757"/>
      <c r="T621" s="1757"/>
      <c r="U621" s="1757"/>
      <c r="V621" s="1757"/>
      <c r="W621" s="1757"/>
      <c r="X621" s="1757"/>
      <c r="Y621" s="1757"/>
      <c r="Z621" s="1757"/>
      <c r="AA621" s="1757"/>
      <c r="AB621" s="1757"/>
      <c r="AC621" s="1757"/>
      <c r="AD621" s="1757"/>
      <c r="AE621" s="1757"/>
      <c r="AF621" s="1757"/>
      <c r="AG621" s="1757"/>
      <c r="AH621" s="1757"/>
      <c r="AI621" s="1757"/>
      <c r="AJ621" s="1757"/>
      <c r="AK621" s="1757"/>
      <c r="AL621" s="1757"/>
      <c r="AM621" s="1757"/>
      <c r="AN621" s="1757"/>
      <c r="AO621" s="1757"/>
      <c r="AP621" s="1757"/>
      <c r="AQ621" s="1757"/>
      <c r="AR621" s="1757"/>
      <c r="AS621" s="1757"/>
      <c r="AT621" s="1757"/>
      <c r="AU621" s="1757"/>
      <c r="AV621" s="1757"/>
      <c r="AW621" s="1757"/>
      <c r="AX621" s="1757"/>
      <c r="AY621" s="1757"/>
      <c r="AZ621" s="1757"/>
      <c r="BA621" s="1757"/>
      <c r="BB621" s="1757"/>
      <c r="BC621" s="1757"/>
      <c r="BD621" s="1757"/>
      <c r="BE621" s="1757"/>
      <c r="BF621" s="1757"/>
      <c r="BG621" s="1757"/>
      <c r="BH621" s="1757"/>
      <c r="BI621" s="1757"/>
      <c r="BJ621" s="1757"/>
      <c r="BK621" s="1757"/>
      <c r="BL621" s="1757"/>
      <c r="BM621" s="1757"/>
      <c r="BN621" s="1757"/>
      <c r="BO621" s="1757"/>
      <c r="BP621" s="1757"/>
      <c r="BQ621" s="1757"/>
      <c r="BR621" s="1757"/>
      <c r="BS621" s="1757"/>
      <c r="BT621" s="1757"/>
      <c r="BU621" s="1757"/>
      <c r="BV621" s="1757"/>
      <c r="BW621" s="1757"/>
      <c r="BX621" s="1757"/>
      <c r="BY621" s="1757"/>
      <c r="BZ621" s="1757"/>
      <c r="CA621" s="1757"/>
      <c r="CB621" s="1757"/>
      <c r="CC621" s="1757"/>
      <c r="CD621" s="1757"/>
      <c r="CE621" s="1757"/>
      <c r="CF621" s="1757"/>
      <c r="CG621" s="1757"/>
      <c r="CH621" s="1757"/>
      <c r="CI621" s="1757"/>
      <c r="CJ621" s="1757"/>
      <c r="CK621" s="1757"/>
      <c r="CL621" s="1757"/>
      <c r="CM621" s="1757"/>
      <c r="CN621" s="1757"/>
      <c r="CO621" s="1757"/>
      <c r="CP621" s="1757"/>
      <c r="CQ621" s="1757"/>
      <c r="CR621" s="1757"/>
      <c r="CS621" s="1757"/>
      <c r="CT621" s="1757"/>
      <c r="CU621" s="1757"/>
      <c r="CV621" s="1757"/>
      <c r="CW621" s="1757"/>
      <c r="CX621" s="1757"/>
      <c r="CY621" s="1757"/>
      <c r="CZ621" s="1757"/>
      <c r="DA621" s="1757"/>
      <c r="DB621" s="1757"/>
      <c r="DC621" s="1757"/>
      <c r="DD621" s="1757"/>
      <c r="DE621" s="1757"/>
      <c r="DF621" s="1757"/>
      <c r="DG621" s="1757"/>
      <c r="DH621" s="1757"/>
      <c r="DI621" s="1757"/>
      <c r="DJ621" s="1757"/>
      <c r="DK621" s="1757"/>
      <c r="DL621" s="1757"/>
      <c r="DM621" s="1757"/>
      <c r="DN621" s="1757"/>
      <c r="DO621" s="1757"/>
      <c r="DP621" s="1757"/>
      <c r="DQ621" s="1757"/>
      <c r="DR621" s="1757"/>
      <c r="DS621" s="1757"/>
      <c r="DT621" s="1757"/>
      <c r="DU621" s="1757"/>
      <c r="DV621" s="1757"/>
      <c r="DW621" s="1757"/>
      <c r="DX621" s="1757"/>
      <c r="DY621" s="1757"/>
      <c r="DZ621" s="1757"/>
      <c r="EA621" s="1757"/>
      <c r="EB621" s="1757"/>
      <c r="EC621" s="1757"/>
      <c r="ED621" s="1757"/>
      <c r="EE621" s="1757"/>
      <c r="EF621" s="1757"/>
      <c r="EG621" s="1757"/>
      <c r="EH621" s="1757"/>
      <c r="EI621" s="1757"/>
      <c r="EJ621" s="1757"/>
      <c r="EK621" s="1757"/>
      <c r="EL621" s="1757"/>
      <c r="EM621" s="1757"/>
      <c r="EN621" s="1757"/>
      <c r="EO621" s="1757"/>
      <c r="EP621" s="1757"/>
      <c r="EQ621" s="1757"/>
      <c r="ER621" s="1757"/>
      <c r="ES621" s="1757"/>
      <c r="ET621" s="1757"/>
      <c r="EU621" s="1757"/>
      <c r="EV621" s="1757"/>
      <c r="EW621" s="1757"/>
      <c r="EX621" s="1757"/>
      <c r="EY621" s="1757"/>
      <c r="EZ621" s="1757"/>
      <c r="FA621" s="1757"/>
      <c r="FB621" s="1757"/>
      <c r="FC621" s="1757"/>
      <c r="FD621" s="1757"/>
      <c r="FE621" s="1757"/>
      <c r="FF621" s="1757"/>
      <c r="FG621" s="1757"/>
      <c r="FH621" s="1757"/>
      <c r="FI621" s="1757"/>
    </row>
    <row r="622" spans="1:165">
      <c r="A622" s="1757"/>
      <c r="B622" s="1757"/>
      <c r="C622" s="1757"/>
      <c r="D622" s="1757"/>
      <c r="E622" s="1757"/>
      <c r="F622" s="1757"/>
      <c r="G622" s="1757"/>
      <c r="H622" s="1757"/>
      <c r="I622" s="1757"/>
      <c r="J622" s="1757"/>
      <c r="K622" s="1757"/>
      <c r="L622" s="1757"/>
      <c r="M622" s="1757"/>
      <c r="N622" s="1757"/>
      <c r="O622" s="1757"/>
      <c r="P622" s="1757"/>
      <c r="Q622" s="1757"/>
      <c r="R622" s="1757"/>
      <c r="S622" s="1757"/>
      <c r="T622" s="1757"/>
      <c r="U622" s="1757"/>
      <c r="V622" s="1757"/>
      <c r="W622" s="1757"/>
      <c r="X622" s="1757"/>
      <c r="Y622" s="1757"/>
      <c r="Z622" s="1757"/>
      <c r="AA622" s="1757"/>
      <c r="AB622" s="1757"/>
      <c r="AC622" s="1757"/>
      <c r="AD622" s="1757"/>
      <c r="AE622" s="1757"/>
      <c r="AF622" s="1757"/>
      <c r="AG622" s="1757"/>
      <c r="AH622" s="1757"/>
      <c r="AI622" s="1757"/>
      <c r="AJ622" s="1757"/>
      <c r="AK622" s="1757"/>
      <c r="AL622" s="1757"/>
      <c r="AM622" s="1757"/>
      <c r="AN622" s="1757"/>
      <c r="AO622" s="1757"/>
      <c r="AP622" s="1757"/>
      <c r="AQ622" s="1757"/>
      <c r="AR622" s="1757"/>
      <c r="AS622" s="1757"/>
      <c r="AT622" s="1757"/>
      <c r="AU622" s="1757"/>
      <c r="AV622" s="1757"/>
      <c r="AW622" s="1757"/>
      <c r="AX622" s="1757"/>
      <c r="AY622" s="1757"/>
      <c r="AZ622" s="1757"/>
      <c r="BA622" s="1757"/>
      <c r="BB622" s="1757"/>
      <c r="BC622" s="1757"/>
      <c r="BD622" s="1757"/>
      <c r="BE622" s="1757"/>
      <c r="BF622" s="1757"/>
      <c r="BG622" s="1757"/>
      <c r="BH622" s="1757"/>
      <c r="BI622" s="1757"/>
      <c r="BJ622" s="1757"/>
      <c r="BK622" s="1757"/>
      <c r="BL622" s="1757"/>
      <c r="BM622" s="1757"/>
      <c r="BN622" s="1757"/>
      <c r="BO622" s="1757"/>
      <c r="BP622" s="1757"/>
      <c r="BQ622" s="1757"/>
      <c r="BR622" s="1757"/>
      <c r="BS622" s="1757"/>
      <c r="BT622" s="1757"/>
      <c r="BU622" s="1757"/>
      <c r="BV622" s="1757"/>
      <c r="BW622" s="1757"/>
      <c r="BX622" s="1757"/>
      <c r="BY622" s="1757"/>
      <c r="BZ622" s="1757"/>
      <c r="CA622" s="1757"/>
      <c r="CB622" s="1757"/>
      <c r="CC622" s="1757"/>
      <c r="CD622" s="1757"/>
      <c r="CE622" s="1757"/>
      <c r="CF622" s="1757"/>
      <c r="CG622" s="1757"/>
      <c r="CH622" s="1757"/>
      <c r="CI622" s="1757"/>
      <c r="CJ622" s="1757"/>
      <c r="CK622" s="1757"/>
      <c r="CL622" s="1757"/>
      <c r="CM622" s="1757"/>
      <c r="CN622" s="1757"/>
      <c r="CO622" s="1757"/>
      <c r="CP622" s="1757"/>
      <c r="CQ622" s="1757"/>
      <c r="CR622" s="1757"/>
      <c r="CS622" s="1757"/>
      <c r="CT622" s="1757"/>
      <c r="CU622" s="1757"/>
      <c r="CV622" s="1757"/>
      <c r="CW622" s="1757"/>
      <c r="CX622" s="1757"/>
      <c r="CY622" s="1757"/>
      <c r="CZ622" s="1757"/>
      <c r="DA622" s="1757"/>
      <c r="DB622" s="1757"/>
      <c r="DC622" s="1757"/>
      <c r="DD622" s="1757"/>
      <c r="DE622" s="1757"/>
      <c r="DF622" s="1757"/>
      <c r="DG622" s="1757"/>
      <c r="DH622" s="1757"/>
      <c r="DI622" s="1757"/>
      <c r="DJ622" s="1757"/>
      <c r="DK622" s="1757"/>
      <c r="DL622" s="1757"/>
      <c r="DM622" s="1757"/>
      <c r="DN622" s="1757"/>
      <c r="DO622" s="1757"/>
      <c r="DP622" s="1757"/>
      <c r="DQ622" s="1757"/>
      <c r="DR622" s="1757"/>
      <c r="DS622" s="1757"/>
      <c r="DT622" s="1757"/>
      <c r="DU622" s="1757"/>
      <c r="DV622" s="1757"/>
      <c r="DW622" s="1757"/>
      <c r="DX622" s="1757"/>
      <c r="DY622" s="1757"/>
      <c r="DZ622" s="1757"/>
      <c r="EA622" s="1757"/>
      <c r="EB622" s="1757"/>
      <c r="EC622" s="1757"/>
      <c r="ED622" s="1757"/>
      <c r="EE622" s="1757"/>
      <c r="EF622" s="1757"/>
      <c r="EG622" s="1757"/>
      <c r="EH622" s="1757"/>
      <c r="EI622" s="1757"/>
      <c r="EJ622" s="1757"/>
      <c r="EK622" s="1757"/>
      <c r="EL622" s="1757"/>
      <c r="EM622" s="1757"/>
      <c r="EN622" s="1757"/>
      <c r="EO622" s="1757"/>
      <c r="EP622" s="1757"/>
      <c r="EQ622" s="1757"/>
      <c r="ER622" s="1757"/>
      <c r="ES622" s="1757"/>
      <c r="ET622" s="1757"/>
      <c r="EU622" s="1757"/>
      <c r="EV622" s="1757"/>
      <c r="EW622" s="1757"/>
      <c r="EX622" s="1757"/>
      <c r="EY622" s="1757"/>
      <c r="EZ622" s="1757"/>
      <c r="FA622" s="1757"/>
      <c r="FB622" s="1757"/>
      <c r="FC622" s="1757"/>
      <c r="FD622" s="1757"/>
      <c r="FE622" s="1757"/>
      <c r="FF622" s="1757"/>
      <c r="FG622" s="1757"/>
      <c r="FH622" s="1757"/>
      <c r="FI622" s="1757"/>
    </row>
    <row r="623" spans="1:165">
      <c r="A623" s="1757"/>
      <c r="B623" s="1757"/>
      <c r="C623" s="1757"/>
      <c r="D623" s="1757"/>
      <c r="E623" s="1757"/>
      <c r="F623" s="1757"/>
      <c r="G623" s="1757"/>
      <c r="H623" s="1757"/>
      <c r="I623" s="1757"/>
      <c r="J623" s="1757"/>
      <c r="K623" s="1757"/>
      <c r="L623" s="1757"/>
      <c r="M623" s="1757"/>
      <c r="N623" s="1757"/>
      <c r="O623" s="1757"/>
      <c r="P623" s="1757"/>
      <c r="Q623" s="1757"/>
      <c r="R623" s="1757"/>
      <c r="S623" s="1757"/>
      <c r="T623" s="1757"/>
      <c r="U623" s="1757"/>
      <c r="V623" s="1757"/>
      <c r="W623" s="1757"/>
      <c r="X623" s="1757"/>
      <c r="Y623" s="1757"/>
      <c r="Z623" s="1757"/>
      <c r="AA623" s="1757"/>
      <c r="AB623" s="1757"/>
      <c r="AC623" s="1757"/>
      <c r="AD623" s="1757"/>
      <c r="AE623" s="1757"/>
      <c r="AF623" s="1757"/>
      <c r="AG623" s="1757"/>
      <c r="AH623" s="1757"/>
      <c r="AI623" s="1757"/>
      <c r="AJ623" s="1757"/>
      <c r="AK623" s="1757"/>
      <c r="AL623" s="1757"/>
      <c r="AM623" s="1757"/>
      <c r="AN623" s="1757"/>
      <c r="AO623" s="1757"/>
      <c r="AP623" s="1757"/>
      <c r="AQ623" s="1757"/>
      <c r="AR623" s="1757"/>
      <c r="AS623" s="1757"/>
      <c r="AT623" s="1757"/>
      <c r="AU623" s="1757"/>
      <c r="AV623" s="1757"/>
      <c r="AW623" s="1757"/>
      <c r="AX623" s="1757"/>
      <c r="AY623" s="1757"/>
      <c r="AZ623" s="1757"/>
      <c r="BA623" s="1757"/>
      <c r="BB623" s="1757"/>
      <c r="BC623" s="1757"/>
      <c r="BD623" s="1757"/>
      <c r="BE623" s="1757"/>
      <c r="BF623" s="1757"/>
      <c r="BG623" s="1757"/>
      <c r="BH623" s="1757"/>
      <c r="BI623" s="1757"/>
      <c r="BJ623" s="1757"/>
      <c r="BK623" s="1757"/>
      <c r="BL623" s="1757"/>
      <c r="BM623" s="1757"/>
      <c r="BN623" s="1757"/>
      <c r="BO623" s="1757"/>
      <c r="BP623" s="1757"/>
      <c r="BQ623" s="1757"/>
      <c r="BR623" s="1757"/>
      <c r="BS623" s="1757"/>
      <c r="BT623" s="1757"/>
      <c r="BU623" s="1757"/>
      <c r="BV623" s="1757"/>
      <c r="BW623" s="1757"/>
      <c r="BX623" s="1757"/>
      <c r="BY623" s="1757"/>
      <c r="BZ623" s="1757"/>
      <c r="CA623" s="1757"/>
      <c r="CB623" s="1757"/>
      <c r="CC623" s="1757"/>
      <c r="CD623" s="1757"/>
      <c r="CE623" s="1757"/>
      <c r="CF623" s="1757"/>
      <c r="CG623" s="1757"/>
      <c r="CH623" s="1757"/>
      <c r="CI623" s="1757"/>
      <c r="CJ623" s="1757"/>
      <c r="CK623" s="1757"/>
      <c r="CL623" s="1757"/>
      <c r="CM623" s="1757"/>
      <c r="CN623" s="1757"/>
      <c r="CO623" s="1757"/>
      <c r="CP623" s="1757"/>
      <c r="CQ623" s="1757"/>
      <c r="CR623" s="1757"/>
      <c r="CS623" s="1757"/>
      <c r="CT623" s="1757"/>
      <c r="CU623" s="1757"/>
      <c r="CV623" s="1757"/>
      <c r="CW623" s="1757"/>
      <c r="CX623" s="1757"/>
      <c r="CY623" s="1757"/>
      <c r="CZ623" s="1757"/>
      <c r="DA623" s="1757"/>
      <c r="DB623" s="1757"/>
      <c r="DC623" s="1757"/>
      <c r="DD623" s="1757"/>
      <c r="DE623" s="1757"/>
      <c r="DF623" s="1757"/>
      <c r="DG623" s="1757"/>
      <c r="DH623" s="1757"/>
      <c r="DI623" s="1757"/>
      <c r="DJ623" s="1757"/>
      <c r="DK623" s="1757"/>
      <c r="DL623" s="1757"/>
      <c r="DM623" s="1757"/>
      <c r="DN623" s="1757"/>
      <c r="DO623" s="1757"/>
      <c r="DP623" s="1757"/>
      <c r="DQ623" s="1757"/>
      <c r="DR623" s="1757"/>
      <c r="DS623" s="1757"/>
      <c r="DT623" s="1757"/>
      <c r="DU623" s="1757"/>
      <c r="DV623" s="1757"/>
      <c r="DW623" s="1757"/>
      <c r="DX623" s="1757"/>
      <c r="DY623" s="1757"/>
      <c r="DZ623" s="1757"/>
      <c r="EA623" s="1757"/>
      <c r="EB623" s="1757"/>
      <c r="EC623" s="1757"/>
      <c r="ED623" s="1757"/>
      <c r="EE623" s="1757"/>
      <c r="EF623" s="1757"/>
      <c r="EG623" s="1757"/>
      <c r="EH623" s="1757"/>
      <c r="EI623" s="1757"/>
      <c r="EJ623" s="1757"/>
      <c r="EK623" s="1757"/>
      <c r="EL623" s="1757"/>
      <c r="EM623" s="1757"/>
      <c r="EN623" s="1757"/>
      <c r="EO623" s="1757"/>
      <c r="EP623" s="1757"/>
      <c r="EQ623" s="1757"/>
      <c r="ER623" s="1757"/>
      <c r="ES623" s="1757"/>
      <c r="ET623" s="1757"/>
      <c r="EU623" s="1757"/>
      <c r="EV623" s="1757"/>
      <c r="EW623" s="1757"/>
      <c r="EX623" s="1757"/>
      <c r="EY623" s="1757"/>
      <c r="EZ623" s="1757"/>
      <c r="FA623" s="1757"/>
      <c r="FB623" s="1757"/>
      <c r="FC623" s="1757"/>
      <c r="FD623" s="1757"/>
      <c r="FE623" s="1757"/>
      <c r="FF623" s="1757"/>
      <c r="FG623" s="1757"/>
      <c r="FH623" s="1757"/>
      <c r="FI623" s="1757"/>
    </row>
    <row r="624" spans="1:165">
      <c r="A624" s="1757"/>
      <c r="B624" s="1757"/>
      <c r="C624" s="1757"/>
      <c r="D624" s="1757"/>
      <c r="E624" s="1757"/>
      <c r="F624" s="1757"/>
      <c r="G624" s="1757"/>
      <c r="H624" s="1757"/>
      <c r="I624" s="1757"/>
      <c r="J624" s="1757"/>
      <c r="K624" s="1757"/>
      <c r="L624" s="1757"/>
      <c r="M624" s="1757"/>
      <c r="N624" s="1757"/>
      <c r="O624" s="1757"/>
      <c r="P624" s="1757"/>
      <c r="Q624" s="1757"/>
      <c r="R624" s="1757"/>
      <c r="S624" s="1757"/>
      <c r="T624" s="1757"/>
      <c r="U624" s="1757"/>
      <c r="V624" s="1757"/>
      <c r="W624" s="1757"/>
      <c r="X624" s="1757"/>
      <c r="Y624" s="1757"/>
      <c r="Z624" s="1757"/>
      <c r="AA624" s="1757"/>
      <c r="AB624" s="1757"/>
      <c r="AC624" s="1757"/>
      <c r="AD624" s="1757"/>
      <c r="AE624" s="1757"/>
      <c r="AF624" s="1757"/>
      <c r="AG624" s="1757"/>
      <c r="AH624" s="1757"/>
      <c r="AI624" s="1757"/>
      <c r="AJ624" s="1757"/>
      <c r="AK624" s="1757"/>
      <c r="AL624" s="1757"/>
      <c r="AM624" s="1757"/>
      <c r="AN624" s="1757"/>
      <c r="AO624" s="1757"/>
      <c r="AP624" s="1757"/>
      <c r="AQ624" s="1757"/>
      <c r="AR624" s="1757"/>
      <c r="AS624" s="1757"/>
      <c r="AT624" s="1757"/>
      <c r="AU624" s="1757"/>
      <c r="AV624" s="1757"/>
      <c r="AW624" s="1757"/>
      <c r="AX624" s="1757"/>
      <c r="AY624" s="1757"/>
      <c r="AZ624" s="1757"/>
      <c r="BA624" s="1757"/>
      <c r="BB624" s="1757"/>
      <c r="BC624" s="1757"/>
      <c r="BD624" s="1757"/>
      <c r="BE624" s="1757"/>
      <c r="BF624" s="1757"/>
      <c r="BG624" s="1757"/>
      <c r="BH624" s="1757"/>
      <c r="BI624" s="1757"/>
      <c r="BJ624" s="1757"/>
      <c r="BK624" s="1757"/>
      <c r="BL624" s="1757"/>
      <c r="BM624" s="1757"/>
      <c r="BN624" s="1757"/>
      <c r="BO624" s="1757"/>
      <c r="BP624" s="1757"/>
      <c r="BQ624" s="1757"/>
      <c r="BR624" s="1757"/>
      <c r="BS624" s="1757"/>
      <c r="BT624" s="1757"/>
      <c r="BU624" s="1757"/>
      <c r="BV624" s="1757"/>
      <c r="BW624" s="1757"/>
      <c r="BX624" s="1757"/>
      <c r="BY624" s="1757"/>
      <c r="BZ624" s="1757"/>
      <c r="CA624" s="1757"/>
      <c r="CB624" s="1757"/>
      <c r="CC624" s="1757"/>
      <c r="CD624" s="1757"/>
      <c r="CE624" s="1757"/>
      <c r="CF624" s="1757"/>
      <c r="CG624" s="1757"/>
      <c r="CH624" s="1757"/>
      <c r="CI624" s="1757"/>
      <c r="CJ624" s="1757"/>
      <c r="CK624" s="1757"/>
      <c r="CL624" s="1757"/>
      <c r="CM624" s="1757"/>
      <c r="CN624" s="1757"/>
      <c r="CO624" s="1757"/>
      <c r="CP624" s="1757"/>
      <c r="CQ624" s="1757"/>
      <c r="CR624" s="1757"/>
      <c r="CS624" s="1757"/>
      <c r="CT624" s="1757"/>
      <c r="CU624" s="1757"/>
      <c r="CV624" s="1757"/>
      <c r="CW624" s="1757"/>
      <c r="CX624" s="1757"/>
      <c r="CY624" s="1757"/>
      <c r="CZ624" s="1757"/>
      <c r="DA624" s="1757"/>
      <c r="DB624" s="1757"/>
      <c r="DC624" s="1757"/>
      <c r="DD624" s="1757"/>
      <c r="DE624" s="1757"/>
      <c r="DF624" s="1757"/>
      <c r="DG624" s="1757"/>
      <c r="DH624" s="1757"/>
      <c r="DI624" s="1757"/>
      <c r="DJ624" s="1757"/>
      <c r="DK624" s="1757"/>
      <c r="DL624" s="1757"/>
      <c r="DM624" s="1757"/>
      <c r="DN624" s="1757"/>
      <c r="DO624" s="1757"/>
      <c r="DP624" s="1757"/>
      <c r="DQ624" s="1757"/>
      <c r="DR624" s="1757"/>
      <c r="DS624" s="1757"/>
      <c r="DT624" s="1757"/>
      <c r="DU624" s="1757"/>
      <c r="DV624" s="1757"/>
      <c r="DW624" s="1757"/>
      <c r="DX624" s="1757"/>
      <c r="DY624" s="1757"/>
      <c r="DZ624" s="1757"/>
      <c r="EA624" s="1757"/>
      <c r="EB624" s="1757"/>
      <c r="EC624" s="1757"/>
      <c r="ED624" s="1757"/>
      <c r="EE624" s="1757"/>
      <c r="EF624" s="1757"/>
      <c r="EG624" s="1757"/>
      <c r="EH624" s="1757"/>
      <c r="EI624" s="1757"/>
      <c r="EJ624" s="1757"/>
      <c r="EK624" s="1757"/>
      <c r="EL624" s="1757"/>
      <c r="EM624" s="1757"/>
      <c r="EN624" s="1757"/>
      <c r="EO624" s="1757"/>
      <c r="EP624" s="1757"/>
      <c r="EQ624" s="1757"/>
      <c r="ER624" s="1757"/>
      <c r="ES624" s="1757"/>
      <c r="ET624" s="1757"/>
      <c r="EU624" s="1757"/>
      <c r="EV624" s="1757"/>
      <c r="EW624" s="1757"/>
      <c r="EX624" s="1757"/>
      <c r="EY624" s="1757"/>
      <c r="EZ624" s="1757"/>
      <c r="FA624" s="1757"/>
      <c r="FB624" s="1757"/>
      <c r="FC624" s="1757"/>
      <c r="FD624" s="1757"/>
      <c r="FE624" s="1757"/>
      <c r="FF624" s="1757"/>
      <c r="FG624" s="1757"/>
      <c r="FH624" s="1757"/>
      <c r="FI624" s="1757"/>
    </row>
    <row r="625" spans="1:165">
      <c r="A625" s="1757"/>
      <c r="B625" s="1757"/>
      <c r="C625" s="1757"/>
      <c r="D625" s="1757"/>
      <c r="E625" s="1757"/>
      <c r="F625" s="1757"/>
      <c r="G625" s="1757"/>
      <c r="H625" s="1757"/>
      <c r="I625" s="1757"/>
      <c r="J625" s="1757"/>
      <c r="K625" s="1757"/>
      <c r="L625" s="1757"/>
      <c r="M625" s="1757"/>
      <c r="N625" s="1757"/>
      <c r="O625" s="1757"/>
      <c r="P625" s="1757"/>
      <c r="Q625" s="1757"/>
      <c r="R625" s="1757"/>
      <c r="S625" s="1757"/>
      <c r="T625" s="1757"/>
      <c r="U625" s="1757"/>
      <c r="V625" s="1757"/>
      <c r="W625" s="1757"/>
      <c r="X625" s="1757"/>
      <c r="Y625" s="1757"/>
      <c r="Z625" s="1757"/>
      <c r="AA625" s="1757"/>
      <c r="AB625" s="1757"/>
      <c r="AC625" s="1757"/>
      <c r="AD625" s="1757"/>
      <c r="AE625" s="1757"/>
      <c r="AF625" s="1757"/>
      <c r="AG625" s="1757"/>
      <c r="AH625" s="1757"/>
      <c r="AI625" s="1757"/>
      <c r="AJ625" s="1757"/>
      <c r="AK625" s="1757"/>
      <c r="AL625" s="1757"/>
      <c r="AM625" s="1757"/>
      <c r="AN625" s="1757"/>
      <c r="AO625" s="1757"/>
      <c r="AP625" s="1757"/>
      <c r="AQ625" s="1757"/>
      <c r="AR625" s="1757"/>
      <c r="AS625" s="1757"/>
      <c r="AT625" s="1757"/>
      <c r="AU625" s="1757"/>
      <c r="AV625" s="1757"/>
      <c r="AW625" s="1757"/>
      <c r="AX625" s="1757"/>
      <c r="AY625" s="1757"/>
      <c r="AZ625" s="1757"/>
      <c r="BA625" s="1757"/>
      <c r="BB625" s="1757"/>
      <c r="BC625" s="1757"/>
      <c r="BD625" s="1757"/>
      <c r="BE625" s="1757"/>
      <c r="BF625" s="1757"/>
      <c r="BG625" s="1757"/>
      <c r="BH625" s="1757"/>
      <c r="BI625" s="1757"/>
      <c r="BJ625" s="1757"/>
      <c r="BK625" s="1757"/>
      <c r="BL625" s="1757"/>
      <c r="BM625" s="1757"/>
      <c r="BN625" s="1757"/>
      <c r="BO625" s="1757"/>
      <c r="BP625" s="1757"/>
      <c r="BQ625" s="1757"/>
      <c r="BR625" s="1757"/>
      <c r="BS625" s="1757"/>
      <c r="BT625" s="1757"/>
      <c r="BU625" s="1757"/>
      <c r="BV625" s="1757"/>
      <c r="BW625" s="1757"/>
      <c r="BX625" s="1757"/>
      <c r="BY625" s="1757"/>
      <c r="BZ625" s="1757"/>
      <c r="CA625" s="1757"/>
      <c r="CB625" s="1757"/>
      <c r="CC625" s="1757"/>
      <c r="CD625" s="1757"/>
      <c r="CE625" s="1757"/>
      <c r="CF625" s="1757"/>
      <c r="CG625" s="1757"/>
      <c r="CH625" s="1757"/>
      <c r="CI625" s="1757"/>
      <c r="CJ625" s="1757"/>
      <c r="CK625" s="1757"/>
      <c r="CL625" s="1757"/>
      <c r="CM625" s="1757"/>
      <c r="CN625" s="1757"/>
      <c r="CO625" s="1757"/>
      <c r="CP625" s="1757"/>
      <c r="CQ625" s="1757"/>
      <c r="CR625" s="1757"/>
      <c r="CS625" s="1757"/>
      <c r="CT625" s="1757"/>
      <c r="CU625" s="1757"/>
      <c r="CV625" s="1757"/>
      <c r="CW625" s="1757"/>
      <c r="CX625" s="1757"/>
      <c r="CY625" s="1757"/>
      <c r="CZ625" s="1757"/>
      <c r="DA625" s="1757"/>
      <c r="DB625" s="1757"/>
      <c r="DC625" s="1757"/>
      <c r="DD625" s="1757"/>
      <c r="DE625" s="1757"/>
      <c r="DF625" s="1757"/>
      <c r="DG625" s="1757"/>
      <c r="DH625" s="1757"/>
      <c r="DI625" s="1757"/>
      <c r="DJ625" s="1757"/>
      <c r="DK625" s="1757"/>
      <c r="DL625" s="1757"/>
      <c r="DM625" s="1757"/>
      <c r="DN625" s="1757"/>
      <c r="DO625" s="1757"/>
      <c r="DP625" s="1757"/>
      <c r="DQ625" s="1757"/>
      <c r="DR625" s="1757"/>
      <c r="DS625" s="1757"/>
      <c r="DT625" s="1757"/>
      <c r="DU625" s="1757"/>
      <c r="DV625" s="1757"/>
      <c r="DW625" s="1757"/>
      <c r="DX625" s="1757"/>
      <c r="DY625" s="1757"/>
      <c r="DZ625" s="1757"/>
      <c r="EA625" s="1757"/>
      <c r="EB625" s="1757"/>
      <c r="EC625" s="1757"/>
      <c r="ED625" s="1757"/>
      <c r="EE625" s="1757"/>
      <c r="EF625" s="1757"/>
      <c r="EG625" s="1757"/>
      <c r="EH625" s="1757"/>
      <c r="EI625" s="1757"/>
      <c r="EJ625" s="1757"/>
      <c r="EK625" s="1757"/>
      <c r="EL625" s="1757"/>
      <c r="EM625" s="1757"/>
      <c r="EN625" s="1757"/>
      <c r="EO625" s="1757"/>
      <c r="EP625" s="1757"/>
      <c r="EQ625" s="1757"/>
      <c r="ER625" s="1757"/>
      <c r="ES625" s="1757"/>
      <c r="ET625" s="1757"/>
      <c r="EU625" s="1757"/>
      <c r="EV625" s="1757"/>
      <c r="EW625" s="1757"/>
      <c r="EX625" s="1757"/>
      <c r="EY625" s="1757"/>
      <c r="EZ625" s="1757"/>
      <c r="FA625" s="1757"/>
      <c r="FB625" s="1757"/>
      <c r="FC625" s="1757"/>
      <c r="FD625" s="1757"/>
      <c r="FE625" s="1757"/>
      <c r="FF625" s="1757"/>
      <c r="FG625" s="1757"/>
      <c r="FH625" s="1757"/>
      <c r="FI625" s="1757"/>
    </row>
    <row r="626" spans="1:165">
      <c r="A626" s="1757"/>
      <c r="B626" s="1757"/>
      <c r="C626" s="1757"/>
      <c r="D626" s="1757"/>
      <c r="E626" s="1757"/>
      <c r="F626" s="1757"/>
      <c r="G626" s="1757"/>
      <c r="H626" s="1757"/>
      <c r="I626" s="1757"/>
      <c r="J626" s="1757"/>
      <c r="K626" s="1757"/>
      <c r="L626" s="1757"/>
      <c r="M626" s="1757"/>
      <c r="N626" s="1757"/>
      <c r="O626" s="1757"/>
      <c r="P626" s="1757"/>
      <c r="Q626" s="1757"/>
      <c r="R626" s="1757"/>
      <c r="S626" s="1757"/>
      <c r="T626" s="1757"/>
      <c r="U626" s="1757"/>
      <c r="V626" s="1757"/>
      <c r="W626" s="1757"/>
      <c r="X626" s="1757"/>
      <c r="Y626" s="1757"/>
      <c r="Z626" s="1757"/>
      <c r="AA626" s="1757"/>
      <c r="AB626" s="1757"/>
      <c r="AC626" s="1757"/>
      <c r="AD626" s="1757"/>
      <c r="AE626" s="1757"/>
      <c r="AF626" s="1757"/>
      <c r="AG626" s="1757"/>
      <c r="AH626" s="1757"/>
      <c r="AI626" s="1757"/>
      <c r="AJ626" s="1757"/>
      <c r="AK626" s="1757"/>
      <c r="AL626" s="1757"/>
      <c r="AM626" s="1757"/>
      <c r="AN626" s="1757"/>
      <c r="AO626" s="1757"/>
      <c r="AP626" s="1757"/>
      <c r="AQ626" s="1757"/>
      <c r="AR626" s="1757"/>
      <c r="AS626" s="1757"/>
      <c r="AT626" s="1757"/>
      <c r="AU626" s="1757"/>
      <c r="AV626" s="1757"/>
      <c r="AW626" s="1757"/>
      <c r="AX626" s="1757"/>
      <c r="AY626" s="1757"/>
      <c r="AZ626" s="1757"/>
      <c r="BA626" s="1757"/>
      <c r="BB626" s="1757"/>
      <c r="BC626" s="1757"/>
      <c r="BD626" s="1757"/>
      <c r="BE626" s="1757"/>
      <c r="BF626" s="1757"/>
      <c r="BG626" s="1757"/>
      <c r="BH626" s="1757"/>
      <c r="BI626" s="1757"/>
      <c r="BJ626" s="1757"/>
      <c r="BK626" s="1757"/>
      <c r="BL626" s="1757"/>
      <c r="BM626" s="1757"/>
      <c r="BN626" s="1757"/>
      <c r="BO626" s="1757"/>
      <c r="BP626" s="1757"/>
      <c r="BQ626" s="1757"/>
      <c r="BR626" s="1757"/>
      <c r="BS626" s="1757"/>
      <c r="BT626" s="1757"/>
      <c r="BU626" s="1757"/>
      <c r="BV626" s="1757"/>
      <c r="BW626" s="1757"/>
      <c r="BX626" s="1757"/>
      <c r="BY626" s="1757"/>
      <c r="BZ626" s="1757"/>
      <c r="CA626" s="1757"/>
      <c r="CB626" s="1757"/>
      <c r="CC626" s="1757"/>
      <c r="CD626" s="1757"/>
      <c r="CE626" s="1757"/>
      <c r="CF626" s="1757"/>
      <c r="CG626" s="1757"/>
      <c r="CH626" s="1757"/>
      <c r="CI626" s="1757"/>
      <c r="CJ626" s="1757"/>
      <c r="CK626" s="1757"/>
      <c r="CL626" s="1757"/>
      <c r="CM626" s="1757"/>
      <c r="CN626" s="1757"/>
      <c r="CO626" s="1757"/>
      <c r="CP626" s="1757"/>
      <c r="CQ626" s="1757"/>
      <c r="CR626" s="1757"/>
      <c r="CS626" s="1757"/>
      <c r="CT626" s="1757"/>
      <c r="CU626" s="1757"/>
      <c r="CV626" s="1757"/>
      <c r="CW626" s="1757"/>
      <c r="CX626" s="1757"/>
      <c r="CY626" s="1757"/>
      <c r="CZ626" s="1757"/>
      <c r="DA626" s="1757"/>
      <c r="DB626" s="1757"/>
      <c r="DC626" s="1757"/>
      <c r="DD626" s="1757"/>
      <c r="DE626" s="1757"/>
      <c r="DF626" s="1757"/>
      <c r="DG626" s="1757"/>
      <c r="DH626" s="1757"/>
      <c r="DI626" s="1757"/>
      <c r="DJ626" s="1757"/>
      <c r="DK626" s="1757"/>
      <c r="DL626" s="1757"/>
      <c r="DM626" s="1757"/>
      <c r="DN626" s="1757"/>
      <c r="DO626" s="1757"/>
      <c r="DP626" s="1757"/>
      <c r="DQ626" s="1757"/>
      <c r="DR626" s="1757"/>
      <c r="DS626" s="1757"/>
      <c r="DT626" s="1757"/>
      <c r="DU626" s="1757"/>
      <c r="DV626" s="1757"/>
      <c r="DW626" s="1757"/>
      <c r="DX626" s="1757"/>
      <c r="DY626" s="1757"/>
      <c r="DZ626" s="1757"/>
      <c r="EA626" s="1757"/>
      <c r="EB626" s="1757"/>
      <c r="EC626" s="1757"/>
      <c r="ED626" s="1757"/>
      <c r="EE626" s="1757"/>
      <c r="EF626" s="1757"/>
      <c r="EG626" s="1757"/>
      <c r="EH626" s="1757"/>
      <c r="EI626" s="1757"/>
      <c r="EJ626" s="1757"/>
      <c r="EK626" s="1757"/>
      <c r="EL626" s="1757"/>
      <c r="EM626" s="1757"/>
      <c r="EN626" s="1757"/>
      <c r="EO626" s="1757"/>
      <c r="EP626" s="1757"/>
      <c r="EQ626" s="1757"/>
      <c r="ER626" s="1757"/>
      <c r="ES626" s="1757"/>
      <c r="ET626" s="1757"/>
      <c r="EU626" s="1757"/>
      <c r="EV626" s="1757"/>
      <c r="EW626" s="1757"/>
      <c r="EX626" s="1757"/>
      <c r="EY626" s="1757"/>
      <c r="EZ626" s="1757"/>
      <c r="FA626" s="1757"/>
      <c r="FB626" s="1757"/>
      <c r="FC626" s="1757"/>
      <c r="FD626" s="1757"/>
      <c r="FE626" s="1757"/>
      <c r="FF626" s="1757"/>
      <c r="FG626" s="1757"/>
      <c r="FH626" s="1757"/>
      <c r="FI626" s="1757"/>
    </row>
    <row r="627" spans="1:165">
      <c r="A627" s="1757"/>
      <c r="B627" s="1757"/>
      <c r="C627" s="1757"/>
      <c r="D627" s="1757"/>
      <c r="E627" s="1757"/>
      <c r="F627" s="1757"/>
      <c r="G627" s="1757"/>
      <c r="H627" s="1757"/>
      <c r="I627" s="1757"/>
      <c r="J627" s="1757"/>
      <c r="K627" s="1757"/>
      <c r="L627" s="1757"/>
      <c r="M627" s="1757"/>
      <c r="N627" s="1757"/>
      <c r="O627" s="1757"/>
      <c r="P627" s="1757"/>
      <c r="Q627" s="1757"/>
      <c r="R627" s="1757"/>
      <c r="S627" s="1757"/>
      <c r="T627" s="1757"/>
      <c r="U627" s="1757"/>
      <c r="V627" s="1757"/>
      <c r="W627" s="1757"/>
      <c r="X627" s="1757"/>
      <c r="Y627" s="1757"/>
      <c r="Z627" s="1757"/>
      <c r="AA627" s="1757"/>
      <c r="AB627" s="1757"/>
      <c r="AC627" s="1757"/>
      <c r="AD627" s="1757"/>
      <c r="AE627" s="1757"/>
      <c r="AF627" s="1757"/>
      <c r="AG627" s="1757"/>
      <c r="AH627" s="1757"/>
      <c r="AI627" s="1757"/>
      <c r="AJ627" s="1757"/>
      <c r="AK627" s="1757"/>
      <c r="AL627" s="1757"/>
      <c r="AM627" s="1757"/>
      <c r="AN627" s="1757"/>
      <c r="AO627" s="1757"/>
      <c r="AP627" s="1757"/>
      <c r="AQ627" s="1757"/>
      <c r="AR627" s="1757"/>
      <c r="AS627" s="1757"/>
      <c r="AT627" s="1757"/>
      <c r="AU627" s="1757"/>
      <c r="AV627" s="1757"/>
      <c r="AW627" s="1757"/>
      <c r="AX627" s="1757"/>
      <c r="AY627" s="1757"/>
      <c r="AZ627" s="1757"/>
      <c r="BA627" s="1757"/>
      <c r="BB627" s="1757"/>
      <c r="BC627" s="1757"/>
      <c r="BD627" s="1757"/>
      <c r="BE627" s="1757"/>
      <c r="BF627" s="1757"/>
      <c r="BG627" s="1757"/>
      <c r="BH627" s="1757"/>
      <c r="BI627" s="1757"/>
      <c r="BJ627" s="1757"/>
      <c r="BK627" s="1757"/>
      <c r="BL627" s="1757"/>
      <c r="BM627" s="1757"/>
      <c r="BN627" s="1757"/>
      <c r="BO627" s="1757"/>
      <c r="BP627" s="1757"/>
      <c r="BQ627" s="1757"/>
      <c r="BR627" s="1757"/>
      <c r="BS627" s="1757"/>
      <c r="BT627" s="1757"/>
      <c r="BU627" s="1757"/>
      <c r="BV627" s="1757"/>
      <c r="BW627" s="1757"/>
      <c r="BX627" s="1757"/>
      <c r="BY627" s="1757"/>
      <c r="BZ627" s="1757"/>
      <c r="CA627" s="1757"/>
      <c r="CB627" s="1757"/>
      <c r="CC627" s="1757"/>
      <c r="CD627" s="1757"/>
      <c r="CE627" s="1757"/>
      <c r="CF627" s="1757"/>
      <c r="CG627" s="1757"/>
      <c r="CH627" s="1757"/>
      <c r="CI627" s="1757"/>
      <c r="CJ627" s="1757"/>
      <c r="CK627" s="1757"/>
      <c r="CL627" s="1757"/>
      <c r="CM627" s="1757"/>
      <c r="CN627" s="1757"/>
      <c r="CO627" s="1757"/>
      <c r="CP627" s="1757"/>
      <c r="CQ627" s="1757"/>
      <c r="CR627" s="1757"/>
      <c r="CS627" s="1757"/>
      <c r="CT627" s="1757"/>
      <c r="CU627" s="1757"/>
      <c r="CV627" s="1757"/>
      <c r="CW627" s="1757"/>
      <c r="CX627" s="1757"/>
      <c r="CY627" s="1757"/>
      <c r="CZ627" s="1757"/>
      <c r="DA627" s="1757"/>
      <c r="DB627" s="1757"/>
      <c r="DC627" s="1757"/>
      <c r="DD627" s="1757"/>
      <c r="DE627" s="1757"/>
      <c r="DF627" s="1757"/>
      <c r="DG627" s="1757"/>
      <c r="DH627" s="1757"/>
      <c r="DI627" s="1757"/>
      <c r="DJ627" s="1757"/>
      <c r="DK627" s="1757"/>
      <c r="DL627" s="1757"/>
      <c r="DM627" s="1757"/>
      <c r="DN627" s="1757"/>
      <c r="DO627" s="1757"/>
      <c r="DP627" s="1757"/>
      <c r="DQ627" s="1757"/>
      <c r="DR627" s="1757"/>
      <c r="DS627" s="1757"/>
      <c r="DT627" s="1757"/>
      <c r="DU627" s="1757"/>
      <c r="DV627" s="1757"/>
      <c r="DW627" s="1757"/>
      <c r="DX627" s="1757"/>
      <c r="DY627" s="1757"/>
      <c r="DZ627" s="1757"/>
      <c r="EA627" s="1757"/>
      <c r="EB627" s="1757"/>
      <c r="EC627" s="1757"/>
      <c r="ED627" s="1757"/>
      <c r="EE627" s="1757"/>
      <c r="EF627" s="1757"/>
      <c r="EG627" s="1757"/>
      <c r="EH627" s="1757"/>
      <c r="EI627" s="1757"/>
      <c r="EJ627" s="1757"/>
      <c r="EK627" s="1757"/>
      <c r="EL627" s="1757"/>
      <c r="EM627" s="1757"/>
      <c r="EN627" s="1757"/>
      <c r="EO627" s="1757"/>
      <c r="EP627" s="1757"/>
      <c r="EQ627" s="1757"/>
      <c r="ER627" s="1757"/>
      <c r="ES627" s="1757"/>
      <c r="ET627" s="1757"/>
      <c r="EU627" s="1757"/>
      <c r="EV627" s="1757"/>
      <c r="EW627" s="1757"/>
      <c r="EX627" s="1757"/>
      <c r="EY627" s="1757"/>
      <c r="EZ627" s="1757"/>
      <c r="FA627" s="1757"/>
      <c r="FB627" s="1757"/>
      <c r="FC627" s="1757"/>
      <c r="FD627" s="1757"/>
      <c r="FE627" s="1757"/>
      <c r="FF627" s="1757"/>
      <c r="FG627" s="1757"/>
      <c r="FH627" s="1757"/>
      <c r="FI627" s="1757"/>
    </row>
    <row r="628" spans="1:165">
      <c r="A628" s="1757"/>
      <c r="B628" s="1757"/>
      <c r="C628" s="1757"/>
      <c r="D628" s="1757"/>
      <c r="E628" s="1757"/>
      <c r="F628" s="1757"/>
      <c r="G628" s="1757"/>
      <c r="H628" s="1757"/>
      <c r="I628" s="1757"/>
      <c r="J628" s="1757"/>
      <c r="K628" s="1757"/>
      <c r="L628" s="1757"/>
      <c r="M628" s="1757"/>
      <c r="N628" s="1757"/>
      <c r="O628" s="1757"/>
      <c r="P628" s="1757"/>
      <c r="Q628" s="1757"/>
      <c r="R628" s="1757"/>
      <c r="S628" s="1757"/>
      <c r="T628" s="1757"/>
      <c r="U628" s="1757"/>
      <c r="V628" s="1757"/>
      <c r="W628" s="1757"/>
      <c r="X628" s="1757"/>
      <c r="Y628" s="1757"/>
      <c r="Z628" s="1757"/>
      <c r="AA628" s="1757"/>
      <c r="AB628" s="1757"/>
      <c r="AC628" s="1757"/>
      <c r="AD628" s="1757"/>
      <c r="AE628" s="1757"/>
      <c r="AF628" s="1757"/>
      <c r="AG628" s="1757"/>
      <c r="AH628" s="1757"/>
      <c r="AI628" s="1757"/>
      <c r="AJ628" s="1757"/>
      <c r="AK628" s="1757"/>
      <c r="AL628" s="1757"/>
      <c r="AM628" s="1757"/>
      <c r="AN628" s="1757"/>
      <c r="AO628" s="1757"/>
      <c r="AP628" s="1757"/>
      <c r="AQ628" s="1757"/>
      <c r="AR628" s="1757"/>
      <c r="AS628" s="1757"/>
      <c r="AT628" s="1757"/>
      <c r="AU628" s="1757"/>
      <c r="AV628" s="1757"/>
      <c r="AW628" s="1757"/>
      <c r="AX628" s="1757"/>
      <c r="AY628" s="1757"/>
      <c r="AZ628" s="1757"/>
      <c r="BA628" s="1757"/>
      <c r="BB628" s="1757"/>
      <c r="BC628" s="1757"/>
      <c r="BD628" s="1757"/>
      <c r="BE628" s="1757"/>
      <c r="BF628" s="1757"/>
      <c r="BG628" s="1757"/>
      <c r="BH628" s="1757"/>
      <c r="BI628" s="1757"/>
      <c r="BJ628" s="1757"/>
      <c r="BK628" s="1757"/>
      <c r="BL628" s="1757"/>
      <c r="BM628" s="1757"/>
      <c r="BN628" s="1757"/>
      <c r="BO628" s="1757"/>
      <c r="BP628" s="1757"/>
      <c r="BQ628" s="1757"/>
      <c r="BR628" s="1757"/>
      <c r="BS628" s="1757"/>
      <c r="BT628" s="1757"/>
      <c r="BU628" s="1757"/>
      <c r="BV628" s="1757"/>
      <c r="BW628" s="1757"/>
      <c r="BX628" s="1757"/>
      <c r="BY628" s="1757"/>
      <c r="BZ628" s="1757"/>
      <c r="CA628" s="1757"/>
      <c r="CB628" s="1757"/>
      <c r="CC628" s="1757"/>
      <c r="CD628" s="1757"/>
      <c r="CE628" s="1757"/>
      <c r="CF628" s="1757"/>
      <c r="CG628" s="1757"/>
      <c r="CH628" s="1757"/>
      <c r="CI628" s="1757"/>
      <c r="CJ628" s="1757"/>
      <c r="CK628" s="1757"/>
      <c r="CL628" s="1757"/>
      <c r="CM628" s="1757"/>
      <c r="CN628" s="1757"/>
      <c r="CO628" s="1757"/>
      <c r="CP628" s="1757"/>
      <c r="CQ628" s="1757"/>
      <c r="CR628" s="1757"/>
      <c r="CS628" s="1757"/>
      <c r="CT628" s="1757"/>
      <c r="CU628" s="1757"/>
      <c r="CV628" s="1757"/>
      <c r="CW628" s="1757"/>
      <c r="CX628" s="1757"/>
      <c r="CY628" s="1757"/>
      <c r="CZ628" s="1757"/>
      <c r="DA628" s="1757"/>
      <c r="DB628" s="1757"/>
      <c r="DC628" s="1757"/>
      <c r="DD628" s="1757"/>
      <c r="DE628" s="1757"/>
      <c r="DF628" s="1757"/>
      <c r="DG628" s="1757"/>
      <c r="DH628" s="1757"/>
      <c r="DI628" s="1757"/>
      <c r="DJ628" s="1757"/>
      <c r="DK628" s="1757"/>
      <c r="DL628" s="1757"/>
      <c r="DM628" s="1757"/>
      <c r="DN628" s="1757"/>
      <c r="DO628" s="1757"/>
      <c r="DP628" s="1757"/>
      <c r="DQ628" s="1757"/>
      <c r="DR628" s="1757"/>
      <c r="DS628" s="1757"/>
      <c r="DT628" s="1757"/>
      <c r="DU628" s="1757"/>
      <c r="DV628" s="1757"/>
      <c r="DW628" s="1757"/>
      <c r="DX628" s="1757"/>
      <c r="DY628" s="1757"/>
      <c r="DZ628" s="1757"/>
      <c r="EA628" s="1757"/>
      <c r="EB628" s="1757"/>
      <c r="EC628" s="1757"/>
      <c r="ED628" s="1757"/>
      <c r="EE628" s="1757"/>
      <c r="EF628" s="1757"/>
      <c r="EG628" s="1757"/>
      <c r="EH628" s="1757"/>
      <c r="EI628" s="1757"/>
      <c r="EJ628" s="1757"/>
      <c r="EK628" s="1757"/>
      <c r="EL628" s="1757"/>
      <c r="EM628" s="1757"/>
      <c r="EN628" s="1757"/>
      <c r="EO628" s="1757"/>
      <c r="EP628" s="1757"/>
      <c r="EQ628" s="1757"/>
      <c r="ER628" s="1757"/>
      <c r="ES628" s="1757"/>
      <c r="ET628" s="1757"/>
      <c r="EU628" s="1757"/>
      <c r="EV628" s="1757"/>
      <c r="EW628" s="1757"/>
      <c r="EX628" s="1757"/>
      <c r="EY628" s="1757"/>
      <c r="EZ628" s="1757"/>
      <c r="FA628" s="1757"/>
      <c r="FB628" s="1757"/>
      <c r="FC628" s="1757"/>
      <c r="FD628" s="1757"/>
      <c r="FE628" s="1757"/>
      <c r="FF628" s="1757"/>
      <c r="FG628" s="1757"/>
      <c r="FH628" s="1757"/>
      <c r="FI628" s="1757"/>
    </row>
    <row r="629" spans="1:165">
      <c r="A629" s="1757"/>
      <c r="B629" s="1757"/>
      <c r="C629" s="1757"/>
      <c r="D629" s="1757"/>
      <c r="E629" s="1757"/>
      <c r="F629" s="1757"/>
      <c r="G629" s="1757"/>
      <c r="H629" s="1757"/>
      <c r="I629" s="1757"/>
      <c r="J629" s="1757"/>
      <c r="K629" s="1757"/>
      <c r="L629" s="1757"/>
      <c r="M629" s="1757"/>
      <c r="N629" s="1757"/>
      <c r="O629" s="1757"/>
      <c r="P629" s="1757"/>
      <c r="Q629" s="1757"/>
      <c r="R629" s="1757"/>
      <c r="S629" s="1757"/>
      <c r="T629" s="1757"/>
      <c r="U629" s="1757"/>
      <c r="V629" s="1757"/>
      <c r="W629" s="1757"/>
      <c r="X629" s="1757"/>
      <c r="Y629" s="1757"/>
      <c r="Z629" s="1757"/>
      <c r="AA629" s="1757"/>
      <c r="AB629" s="1757"/>
      <c r="AC629" s="1757"/>
      <c r="AD629" s="1757"/>
      <c r="AE629" s="1757"/>
      <c r="AF629" s="1757"/>
      <c r="AG629" s="1757"/>
      <c r="AH629" s="1757"/>
      <c r="AI629" s="1757"/>
      <c r="AJ629" s="1757"/>
      <c r="AK629" s="1757"/>
      <c r="AL629" s="1757"/>
      <c r="AM629" s="1757"/>
      <c r="AN629" s="1757"/>
      <c r="AO629" s="1757"/>
      <c r="AP629" s="1757"/>
      <c r="AQ629" s="1757"/>
      <c r="AR629" s="1757"/>
      <c r="AS629" s="1757"/>
      <c r="AT629" s="1757"/>
      <c r="AU629" s="1757"/>
      <c r="AV629" s="1757"/>
      <c r="AW629" s="1757"/>
      <c r="AX629" s="1757"/>
      <c r="AY629" s="1757"/>
      <c r="AZ629" s="1757"/>
      <c r="BA629" s="1757"/>
      <c r="BB629" s="1757"/>
      <c r="BC629" s="1757"/>
      <c r="BD629" s="1757"/>
      <c r="BE629" s="1757"/>
      <c r="BF629" s="1757"/>
      <c r="BG629" s="1757"/>
      <c r="BH629" s="1757"/>
      <c r="BI629" s="1757"/>
      <c r="BJ629" s="1757"/>
      <c r="BK629" s="1757"/>
      <c r="BL629" s="1757"/>
      <c r="BM629" s="1757"/>
      <c r="BN629" s="1757"/>
      <c r="BO629" s="1757"/>
      <c r="BP629" s="1757"/>
      <c r="BQ629" s="1757"/>
      <c r="BR629" s="1757"/>
      <c r="BS629" s="1757"/>
      <c r="BT629" s="1757"/>
      <c r="BU629" s="1757"/>
      <c r="BV629" s="1757"/>
      <c r="BW629" s="1757"/>
      <c r="BX629" s="1757"/>
      <c r="BY629" s="1757"/>
      <c r="BZ629" s="1757"/>
      <c r="CA629" s="1757"/>
      <c r="CB629" s="1757"/>
      <c r="CC629" s="1757"/>
      <c r="CD629" s="1757"/>
      <c r="CE629" s="1757"/>
      <c r="CF629" s="1757"/>
      <c r="CG629" s="1757"/>
      <c r="CH629" s="1757"/>
      <c r="CI629" s="1757"/>
      <c r="CJ629" s="1757"/>
      <c r="CK629" s="1757"/>
      <c r="CL629" s="1757"/>
      <c r="CM629" s="1757"/>
      <c r="CN629" s="1757"/>
      <c r="CO629" s="1757"/>
      <c r="CP629" s="1757"/>
      <c r="CQ629" s="1757"/>
      <c r="CR629" s="1757"/>
      <c r="CS629" s="1757"/>
      <c r="CT629" s="1757"/>
      <c r="CU629" s="1757"/>
      <c r="CV629" s="1757"/>
      <c r="CW629" s="1757"/>
      <c r="CX629" s="1757"/>
      <c r="CY629" s="1757"/>
      <c r="CZ629" s="1757"/>
      <c r="DA629" s="1757"/>
      <c r="DB629" s="1757"/>
      <c r="DC629" s="1757"/>
      <c r="DD629" s="1757"/>
      <c r="DE629" s="1757"/>
      <c r="DF629" s="1757"/>
      <c r="DG629" s="1757"/>
      <c r="DH629" s="1757"/>
      <c r="DI629" s="1757"/>
      <c r="DJ629" s="1757"/>
      <c r="DK629" s="1757"/>
      <c r="DL629" s="1757"/>
      <c r="DM629" s="1757"/>
      <c r="DN629" s="1757"/>
      <c r="DO629" s="1757"/>
      <c r="DP629" s="1757"/>
      <c r="DQ629" s="1757"/>
      <c r="DR629" s="1757"/>
      <c r="DS629" s="1757"/>
      <c r="DT629" s="1757"/>
      <c r="DU629" s="1757"/>
      <c r="DV629" s="1757"/>
      <c r="DW629" s="1757"/>
      <c r="DX629" s="1757"/>
      <c r="DY629" s="1757"/>
      <c r="DZ629" s="1757"/>
      <c r="EA629" s="1757"/>
      <c r="EB629" s="1757"/>
      <c r="EC629" s="1757"/>
      <c r="ED629" s="1757"/>
      <c r="EE629" s="1757"/>
      <c r="EF629" s="1757"/>
      <c r="EG629" s="1757"/>
      <c r="EH629" s="1757"/>
      <c r="EI629" s="1757"/>
      <c r="EJ629" s="1757"/>
      <c r="EK629" s="1757"/>
      <c r="EL629" s="1757"/>
      <c r="EM629" s="1757"/>
      <c r="EN629" s="1757"/>
      <c r="EO629" s="1757"/>
      <c r="EP629" s="1757"/>
      <c r="EQ629" s="1757"/>
      <c r="ER629" s="1757"/>
      <c r="ES629" s="1757"/>
      <c r="ET629" s="1757"/>
      <c r="EU629" s="1757"/>
      <c r="EV629" s="1757"/>
      <c r="EW629" s="1757"/>
      <c r="EX629" s="1757"/>
      <c r="EY629" s="1757"/>
      <c r="EZ629" s="1757"/>
      <c r="FA629" s="1757"/>
      <c r="FB629" s="1757"/>
      <c r="FC629" s="1757"/>
      <c r="FD629" s="1757"/>
      <c r="FE629" s="1757"/>
      <c r="FF629" s="1757"/>
      <c r="FG629" s="1757"/>
      <c r="FH629" s="1757"/>
      <c r="FI629" s="1757"/>
    </row>
    <row r="630" spans="1:165">
      <c r="A630" s="1757"/>
      <c r="B630" s="1757"/>
      <c r="C630" s="1757"/>
      <c r="D630" s="1757"/>
      <c r="E630" s="1757"/>
      <c r="F630" s="1757"/>
      <c r="G630" s="1757"/>
      <c r="H630" s="1757"/>
      <c r="I630" s="1757"/>
      <c r="J630" s="1757"/>
      <c r="K630" s="1757"/>
      <c r="L630" s="1757"/>
      <c r="M630" s="1757"/>
      <c r="N630" s="1757"/>
      <c r="O630" s="1757"/>
      <c r="P630" s="1757"/>
      <c r="Q630" s="1757"/>
      <c r="R630" s="1757"/>
      <c r="S630" s="1757"/>
      <c r="T630" s="1757"/>
      <c r="U630" s="1757"/>
      <c r="V630" s="1757"/>
      <c r="W630" s="1757"/>
      <c r="X630" s="1757"/>
      <c r="Y630" s="1757"/>
      <c r="Z630" s="1757"/>
      <c r="AA630" s="1757"/>
      <c r="AB630" s="1757"/>
      <c r="AC630" s="1757"/>
      <c r="AD630" s="1757"/>
      <c r="AE630" s="1757"/>
      <c r="AF630" s="1757"/>
      <c r="AG630" s="1757"/>
      <c r="AH630" s="1757"/>
      <c r="AI630" s="1757"/>
      <c r="AJ630" s="1757"/>
      <c r="AK630" s="1757"/>
      <c r="AL630" s="1757"/>
      <c r="AM630" s="1757"/>
      <c r="AN630" s="1757"/>
      <c r="AO630" s="1757"/>
      <c r="AP630" s="1757"/>
      <c r="AQ630" s="1757"/>
      <c r="AR630" s="1757"/>
      <c r="AS630" s="1757"/>
      <c r="AT630" s="1757"/>
      <c r="AU630" s="1757"/>
      <c r="AV630" s="1757"/>
      <c r="AW630" s="1757"/>
      <c r="AX630" s="1757"/>
      <c r="AY630" s="1757"/>
      <c r="AZ630" s="1757"/>
      <c r="BA630" s="1757"/>
      <c r="BB630" s="1757"/>
      <c r="BC630" s="1757"/>
      <c r="BD630" s="1757"/>
      <c r="BE630" s="1757"/>
      <c r="BF630" s="1757"/>
      <c r="BG630" s="1757"/>
      <c r="BH630" s="1757"/>
      <c r="BI630" s="1757"/>
      <c r="BJ630" s="1757"/>
      <c r="BK630" s="1757"/>
      <c r="BL630" s="1757"/>
      <c r="BM630" s="1757"/>
      <c r="BN630" s="1757"/>
      <c r="BO630" s="1757"/>
      <c r="BP630" s="1757"/>
      <c r="BQ630" s="1757"/>
      <c r="BR630" s="1757"/>
      <c r="BS630" s="1757"/>
      <c r="BT630" s="1757"/>
      <c r="BU630" s="1757"/>
      <c r="BV630" s="1757"/>
      <c r="BW630" s="1757"/>
      <c r="BX630" s="1757"/>
      <c r="BY630" s="1757"/>
      <c r="BZ630" s="1757"/>
      <c r="CA630" s="1757"/>
      <c r="CB630" s="1757"/>
      <c r="CC630" s="1757"/>
      <c r="CD630" s="1757"/>
      <c r="CE630" s="1757"/>
      <c r="CF630" s="1757"/>
      <c r="CG630" s="1757"/>
      <c r="CH630" s="1757"/>
      <c r="CI630" s="1757"/>
      <c r="CJ630" s="1757"/>
      <c r="CK630" s="1757"/>
      <c r="CL630" s="1757"/>
      <c r="CM630" s="1757"/>
      <c r="CN630" s="1757"/>
      <c r="CO630" s="1757"/>
      <c r="CP630" s="1757"/>
      <c r="CQ630" s="1757"/>
      <c r="CR630" s="1757"/>
      <c r="CS630" s="1757"/>
      <c r="CT630" s="1757"/>
      <c r="CU630" s="1757"/>
      <c r="CV630" s="1757"/>
      <c r="CW630" s="1757"/>
      <c r="CX630" s="1757"/>
      <c r="CY630" s="1757"/>
      <c r="CZ630" s="1757"/>
      <c r="DA630" s="1757"/>
      <c r="DB630" s="1757"/>
      <c r="DC630" s="1757"/>
      <c r="DD630" s="1757"/>
      <c r="DE630" s="1757"/>
      <c r="DF630" s="1757"/>
      <c r="DG630" s="1757"/>
      <c r="DH630" s="1757"/>
      <c r="DI630" s="1757"/>
      <c r="DJ630" s="1757"/>
      <c r="DK630" s="1757"/>
      <c r="DL630" s="1757"/>
      <c r="DM630" s="1757"/>
      <c r="DN630" s="1757"/>
      <c r="DO630" s="1757"/>
      <c r="DP630" s="1757"/>
      <c r="DQ630" s="1757"/>
      <c r="DR630" s="1757"/>
      <c r="DS630" s="1757"/>
      <c r="DT630" s="1757"/>
      <c r="DU630" s="1757"/>
      <c r="DV630" s="1757"/>
      <c r="DW630" s="1757"/>
      <c r="DX630" s="1757"/>
      <c r="DY630" s="1757"/>
      <c r="DZ630" s="1757"/>
      <c r="EA630" s="1757"/>
      <c r="EB630" s="1757"/>
      <c r="EC630" s="1757"/>
      <c r="ED630" s="1757"/>
      <c r="EE630" s="1757"/>
      <c r="EF630" s="1757"/>
      <c r="EG630" s="1757"/>
      <c r="EH630" s="1757"/>
      <c r="EI630" s="1757"/>
      <c r="EJ630" s="1757"/>
      <c r="EK630" s="1757"/>
      <c r="EL630" s="1757"/>
      <c r="EM630" s="1757"/>
      <c r="EN630" s="1757"/>
      <c r="EO630" s="1757"/>
      <c r="EP630" s="1757"/>
      <c r="EQ630" s="1757"/>
      <c r="ER630" s="1757"/>
      <c r="ES630" s="1757"/>
      <c r="ET630" s="1757"/>
      <c r="EU630" s="1757"/>
      <c r="EV630" s="1757"/>
      <c r="EW630" s="1757"/>
      <c r="EX630" s="1757"/>
      <c r="EY630" s="1757"/>
      <c r="EZ630" s="1757"/>
      <c r="FA630" s="1757"/>
      <c r="FB630" s="1757"/>
      <c r="FC630" s="1757"/>
      <c r="FD630" s="1757"/>
      <c r="FE630" s="1757"/>
      <c r="FF630" s="1757"/>
      <c r="FG630" s="1757"/>
      <c r="FH630" s="1757"/>
      <c r="FI630" s="1757"/>
    </row>
    <row r="631" spans="1:165">
      <c r="A631" s="1757"/>
      <c r="B631" s="1757"/>
      <c r="C631" s="1757"/>
      <c r="D631" s="1757"/>
      <c r="E631" s="1757"/>
      <c r="F631" s="1757"/>
      <c r="G631" s="1757"/>
      <c r="H631" s="1757"/>
      <c r="I631" s="1757"/>
      <c r="J631" s="1757"/>
      <c r="K631" s="1757"/>
      <c r="L631" s="1757"/>
      <c r="M631" s="1757"/>
      <c r="N631" s="1757"/>
      <c r="O631" s="1757"/>
      <c r="P631" s="1757"/>
      <c r="Q631" s="1757"/>
      <c r="R631" s="1757"/>
      <c r="S631" s="1757"/>
      <c r="T631" s="1757"/>
      <c r="U631" s="1757"/>
      <c r="V631" s="1757"/>
      <c r="W631" s="1757"/>
      <c r="X631" s="1757"/>
      <c r="Y631" s="1757"/>
      <c r="Z631" s="1757"/>
      <c r="AA631" s="1757"/>
      <c r="AB631" s="1757"/>
      <c r="AC631" s="1757"/>
      <c r="AD631" s="1757"/>
      <c r="AE631" s="1757"/>
      <c r="AF631" s="1757"/>
      <c r="AG631" s="1757"/>
      <c r="AH631" s="1757"/>
      <c r="AI631" s="1757"/>
      <c r="AJ631" s="1757"/>
      <c r="AK631" s="1757"/>
      <c r="AL631" s="1757"/>
      <c r="AM631" s="1757"/>
      <c r="AN631" s="1757"/>
      <c r="AO631" s="1757"/>
      <c r="AP631" s="1757"/>
      <c r="AQ631" s="1757"/>
      <c r="AR631" s="1757"/>
      <c r="AS631" s="1757"/>
      <c r="AT631" s="1757"/>
      <c r="AU631" s="1757"/>
      <c r="AV631" s="1757"/>
      <c r="AW631" s="1757"/>
      <c r="AX631" s="1757"/>
      <c r="AY631" s="1757"/>
      <c r="AZ631" s="1757"/>
      <c r="BA631" s="1757"/>
      <c r="BB631" s="1757"/>
      <c r="BC631" s="1757"/>
      <c r="BD631" s="1757"/>
      <c r="BE631" s="1757"/>
      <c r="BF631" s="1757"/>
      <c r="BG631" s="1757"/>
      <c r="BH631" s="1757"/>
      <c r="BI631" s="1757"/>
      <c r="BJ631" s="1757"/>
      <c r="BK631" s="1757"/>
      <c r="BL631" s="1757"/>
      <c r="BM631" s="1757"/>
      <c r="BN631" s="1757"/>
      <c r="BO631" s="1757"/>
      <c r="BP631" s="1757"/>
      <c r="BQ631" s="1757"/>
      <c r="BR631" s="1757"/>
      <c r="BS631" s="1757"/>
      <c r="BT631" s="1757"/>
      <c r="BU631" s="1757"/>
      <c r="BV631" s="1757"/>
      <c r="BW631" s="1757"/>
      <c r="BX631" s="1757"/>
      <c r="BY631" s="1757"/>
      <c r="BZ631" s="1757"/>
      <c r="CA631" s="1757"/>
      <c r="CB631" s="1757"/>
      <c r="CC631" s="1757"/>
      <c r="CD631" s="1757"/>
      <c r="CE631" s="1757"/>
      <c r="CF631" s="1757"/>
      <c r="CG631" s="1757"/>
      <c r="CH631" s="1757"/>
      <c r="CI631" s="1757"/>
      <c r="CJ631" s="1757"/>
      <c r="CK631" s="1757"/>
      <c r="CL631" s="1757"/>
      <c r="CM631" s="1757"/>
      <c r="CN631" s="1757"/>
      <c r="CO631" s="1757"/>
      <c r="CP631" s="1757"/>
      <c r="CQ631" s="1757"/>
      <c r="CR631" s="1757"/>
      <c r="CS631" s="1757"/>
      <c r="CT631" s="1757"/>
      <c r="CU631" s="1757"/>
      <c r="CV631" s="1757"/>
      <c r="CW631" s="1757"/>
      <c r="CX631" s="1757"/>
      <c r="CY631" s="1757"/>
      <c r="CZ631" s="1757"/>
      <c r="DA631" s="1757"/>
      <c r="DB631" s="1757"/>
      <c r="DC631" s="1757"/>
      <c r="DD631" s="1757"/>
      <c r="DE631" s="1757"/>
      <c r="DF631" s="1757"/>
      <c r="DG631" s="1757"/>
      <c r="DH631" s="1757"/>
      <c r="DI631" s="1757"/>
      <c r="DJ631" s="1757"/>
      <c r="DK631" s="1757"/>
      <c r="DL631" s="1757"/>
      <c r="DM631" s="1757"/>
      <c r="DN631" s="1757"/>
      <c r="DO631" s="1757"/>
      <c r="DP631" s="1757"/>
      <c r="DQ631" s="1757"/>
      <c r="DR631" s="1757"/>
      <c r="DS631" s="1757"/>
      <c r="DT631" s="1757"/>
      <c r="DU631" s="1757"/>
      <c r="DV631" s="1757"/>
      <c r="DW631" s="1757"/>
      <c r="DX631" s="1757"/>
      <c r="DY631" s="1757"/>
      <c r="DZ631" s="1757"/>
      <c r="EA631" s="1757"/>
      <c r="EB631" s="1757"/>
      <c r="EC631" s="1757"/>
      <c r="ED631" s="1757"/>
      <c r="EE631" s="1757"/>
      <c r="EF631" s="1757"/>
      <c r="EG631" s="1757"/>
      <c r="EH631" s="1757"/>
      <c r="EI631" s="1757"/>
      <c r="EJ631" s="1757"/>
      <c r="EK631" s="1757"/>
      <c r="EL631" s="1757"/>
      <c r="EM631" s="1757"/>
      <c r="EN631" s="1757"/>
      <c r="EO631" s="1757"/>
      <c r="EP631" s="1757"/>
      <c r="EQ631" s="1757"/>
      <c r="ER631" s="1757"/>
      <c r="ES631" s="1757"/>
      <c r="ET631" s="1757"/>
      <c r="EU631" s="1757"/>
      <c r="EV631" s="1757"/>
      <c r="EW631" s="1757"/>
      <c r="EX631" s="1757"/>
      <c r="EY631" s="1757"/>
      <c r="EZ631" s="1757"/>
      <c r="FA631" s="1757"/>
      <c r="FB631" s="1757"/>
      <c r="FC631" s="1757"/>
      <c r="FD631" s="1757"/>
      <c r="FE631" s="1757"/>
      <c r="FF631" s="1757"/>
      <c r="FG631" s="1757"/>
      <c r="FH631" s="1757"/>
      <c r="FI631" s="1757"/>
    </row>
    <row r="632" spans="1:165">
      <c r="A632" s="1757"/>
      <c r="B632" s="1757"/>
      <c r="C632" s="1757"/>
      <c r="D632" s="1757"/>
      <c r="E632" s="1757"/>
      <c r="F632" s="1757"/>
      <c r="G632" s="1757"/>
      <c r="H632" s="1757"/>
      <c r="I632" s="1757"/>
      <c r="J632" s="1757"/>
      <c r="K632" s="1757"/>
      <c r="L632" s="1757"/>
      <c r="M632" s="1757"/>
      <c r="N632" s="1757"/>
      <c r="O632" s="1757"/>
      <c r="P632" s="1757"/>
      <c r="Q632" s="1757"/>
      <c r="R632" s="1757"/>
      <c r="S632" s="1757"/>
      <c r="T632" s="1757"/>
      <c r="U632" s="1757"/>
      <c r="V632" s="1757"/>
      <c r="W632" s="1757"/>
      <c r="X632" s="1757"/>
      <c r="Y632" s="1757"/>
      <c r="Z632" s="1757"/>
      <c r="AA632" s="1757"/>
      <c r="AB632" s="1757"/>
      <c r="AC632" s="1757"/>
      <c r="AD632" s="1757"/>
      <c r="AE632" s="1757"/>
      <c r="AF632" s="1757"/>
      <c r="AG632" s="1757"/>
      <c r="AH632" s="1757"/>
      <c r="AI632" s="1757"/>
      <c r="AJ632" s="1757"/>
      <c r="AK632" s="1757"/>
      <c r="AL632" s="1757"/>
      <c r="AM632" s="1757"/>
      <c r="AN632" s="1757"/>
      <c r="AO632" s="1757"/>
      <c r="AP632" s="1757"/>
      <c r="AQ632" s="1757"/>
      <c r="AR632" s="1757"/>
      <c r="AS632" s="1757"/>
      <c r="AT632" s="1757"/>
      <c r="AU632" s="1757"/>
      <c r="AV632" s="1757"/>
      <c r="AW632" s="1757"/>
      <c r="AX632" s="1757"/>
      <c r="AY632" s="1757"/>
      <c r="AZ632" s="1757"/>
      <c r="BA632" s="1757"/>
      <c r="BB632" s="1757"/>
      <c r="BC632" s="1757"/>
      <c r="BD632" s="1757"/>
      <c r="BE632" s="1757"/>
      <c r="BF632" s="1757"/>
      <c r="BG632" s="1757"/>
      <c r="BH632" s="1757"/>
      <c r="BI632" s="1757"/>
      <c r="BJ632" s="1757"/>
      <c r="BK632" s="1757"/>
      <c r="BL632" s="1757"/>
      <c r="BM632" s="1757"/>
      <c r="BN632" s="1757"/>
      <c r="BO632" s="1757"/>
      <c r="BP632" s="1757"/>
      <c r="BQ632" s="1757"/>
      <c r="BR632" s="1757"/>
      <c r="BS632" s="1757"/>
      <c r="BT632" s="1757"/>
      <c r="BU632" s="1757"/>
      <c r="BV632" s="1757"/>
      <c r="BW632" s="1757"/>
      <c r="BX632" s="1757"/>
      <c r="BY632" s="1757"/>
      <c r="BZ632" s="1757"/>
      <c r="CA632" s="1757"/>
      <c r="CB632" s="1757"/>
      <c r="CC632" s="1757"/>
      <c r="CD632" s="1757"/>
      <c r="CE632" s="1757"/>
      <c r="CF632" s="1757"/>
      <c r="CG632" s="1757"/>
      <c r="CH632" s="1757"/>
      <c r="CI632" s="1757"/>
      <c r="CJ632" s="1757"/>
      <c r="CK632" s="1757"/>
      <c r="CL632" s="1757"/>
      <c r="CM632" s="1757"/>
      <c r="CN632" s="1757"/>
      <c r="CO632" s="1757"/>
      <c r="CP632" s="1757"/>
      <c r="CQ632" s="1757"/>
      <c r="CR632" s="1757"/>
      <c r="CS632" s="1757"/>
      <c r="CT632" s="1757"/>
      <c r="CU632" s="1757"/>
      <c r="CV632" s="1757"/>
      <c r="CW632" s="1757"/>
      <c r="CX632" s="1757"/>
      <c r="CY632" s="1757"/>
      <c r="CZ632" s="1757"/>
      <c r="DA632" s="1757"/>
      <c r="DB632" s="1757"/>
      <c r="DC632" s="1757"/>
      <c r="DD632" s="1757"/>
      <c r="DE632" s="1757"/>
      <c r="DF632" s="1757"/>
      <c r="DG632" s="1757"/>
      <c r="DH632" s="1757"/>
      <c r="DI632" s="1757"/>
      <c r="DJ632" s="1757"/>
      <c r="DK632" s="1757"/>
      <c r="DL632" s="1757"/>
      <c r="DM632" s="1757"/>
      <c r="DN632" s="1757"/>
      <c r="DO632" s="1757"/>
      <c r="DP632" s="1757"/>
      <c r="DQ632" s="1757"/>
      <c r="DR632" s="1757"/>
      <c r="DS632" s="1757"/>
      <c r="DT632" s="1757"/>
      <c r="DU632" s="1757"/>
      <c r="DV632" s="1757"/>
      <c r="DW632" s="1757"/>
      <c r="DX632" s="1757"/>
      <c r="DY632" s="1757"/>
      <c r="DZ632" s="1757"/>
      <c r="EA632" s="1757"/>
      <c r="EB632" s="1757"/>
      <c r="EC632" s="1757"/>
      <c r="ED632" s="1757"/>
      <c r="EE632" s="1757"/>
      <c r="EF632" s="1757"/>
      <c r="EG632" s="1757"/>
      <c r="EH632" s="1757"/>
      <c r="EI632" s="1757"/>
      <c r="EJ632" s="1757"/>
      <c r="EK632" s="1757"/>
      <c r="EL632" s="1757"/>
      <c r="EM632" s="1757"/>
      <c r="EN632" s="1757"/>
      <c r="EO632" s="1757"/>
      <c r="EP632" s="1757"/>
      <c r="EQ632" s="1757"/>
      <c r="ER632" s="1757"/>
      <c r="ES632" s="1757"/>
      <c r="ET632" s="1757"/>
      <c r="EU632" s="1757"/>
      <c r="EV632" s="1757"/>
      <c r="EW632" s="1757"/>
      <c r="EX632" s="1757"/>
      <c r="EY632" s="1757"/>
      <c r="EZ632" s="1757"/>
      <c r="FA632" s="1757"/>
      <c r="FB632" s="1757"/>
      <c r="FC632" s="1757"/>
      <c r="FD632" s="1757"/>
      <c r="FE632" s="1757"/>
      <c r="FF632" s="1757"/>
      <c r="FG632" s="1757"/>
      <c r="FH632" s="1757"/>
      <c r="FI632" s="1757"/>
    </row>
    <row r="633" spans="1:165">
      <c r="A633" s="1757"/>
      <c r="B633" s="1757"/>
      <c r="C633" s="1757"/>
      <c r="D633" s="1757"/>
      <c r="E633" s="1757"/>
      <c r="F633" s="1757"/>
      <c r="G633" s="1757"/>
      <c r="H633" s="1757"/>
      <c r="I633" s="1757"/>
      <c r="J633" s="1757"/>
      <c r="K633" s="1757"/>
      <c r="L633" s="1757"/>
      <c r="M633" s="1757"/>
      <c r="N633" s="1757"/>
      <c r="O633" s="1757"/>
      <c r="P633" s="1757"/>
      <c r="Q633" s="1757"/>
      <c r="R633" s="1757"/>
      <c r="S633" s="1757"/>
      <c r="T633" s="1757"/>
      <c r="U633" s="1757"/>
      <c r="V633" s="1757"/>
      <c r="W633" s="1757"/>
      <c r="X633" s="1757"/>
      <c r="Y633" s="1757"/>
      <c r="Z633" s="1757"/>
      <c r="AA633" s="1757"/>
      <c r="AB633" s="1757"/>
      <c r="AC633" s="1757"/>
      <c r="AD633" s="1757"/>
      <c r="AE633" s="1757"/>
      <c r="AF633" s="1757"/>
      <c r="AG633" s="1757"/>
      <c r="AH633" s="1757"/>
      <c r="AI633" s="1757"/>
      <c r="AJ633" s="1757"/>
      <c r="AK633" s="1757"/>
      <c r="AL633" s="1757"/>
      <c r="AM633" s="1757"/>
      <c r="AN633" s="1757"/>
      <c r="AO633" s="1757"/>
      <c r="AP633" s="1757"/>
      <c r="AQ633" s="1757"/>
      <c r="AR633" s="1757"/>
      <c r="AS633" s="1757"/>
      <c r="AT633" s="1757"/>
      <c r="AU633" s="1757"/>
      <c r="AV633" s="1757"/>
      <c r="AW633" s="1757"/>
      <c r="AX633" s="1757"/>
      <c r="AY633" s="1757"/>
      <c r="AZ633" s="1757"/>
      <c r="BA633" s="1757"/>
      <c r="BB633" s="1757"/>
      <c r="BC633" s="1757"/>
      <c r="BD633" s="1757"/>
      <c r="BE633" s="1757"/>
      <c r="BF633" s="1757"/>
      <c r="BG633" s="1757"/>
      <c r="BH633" s="1757"/>
      <c r="BI633" s="1757"/>
      <c r="BJ633" s="1757"/>
      <c r="BK633" s="1757"/>
      <c r="BL633" s="1757"/>
      <c r="BM633" s="1757"/>
      <c r="BN633" s="1757"/>
      <c r="BO633" s="1757"/>
      <c r="BP633" s="1757"/>
      <c r="BQ633" s="1757"/>
      <c r="BR633" s="1757"/>
      <c r="BS633" s="1757"/>
      <c r="BT633" s="1757"/>
      <c r="BU633" s="1757"/>
      <c r="BV633" s="1757"/>
      <c r="BW633" s="1757"/>
      <c r="BX633" s="1757"/>
      <c r="BY633" s="1757"/>
      <c r="BZ633" s="1757"/>
      <c r="CA633" s="1757"/>
      <c r="CB633" s="1757"/>
      <c r="CC633" s="1757"/>
      <c r="CD633" s="1757"/>
      <c r="CE633" s="1757"/>
      <c r="CF633" s="1757"/>
      <c r="CG633" s="1757"/>
      <c r="CH633" s="1757"/>
      <c r="CI633" s="1757"/>
      <c r="CJ633" s="1757"/>
      <c r="CK633" s="1757"/>
      <c r="CL633" s="1757"/>
      <c r="CM633" s="1757"/>
      <c r="CN633" s="1757"/>
      <c r="CO633" s="1757"/>
      <c r="CP633" s="1757"/>
      <c r="CQ633" s="1757"/>
      <c r="CR633" s="1757"/>
      <c r="CS633" s="1757"/>
      <c r="CT633" s="1757"/>
      <c r="CU633" s="1757"/>
      <c r="CV633" s="1757"/>
      <c r="CW633" s="1757"/>
      <c r="CX633" s="1757"/>
      <c r="CY633" s="1757"/>
      <c r="CZ633" s="1757"/>
      <c r="DA633" s="1757"/>
      <c r="DB633" s="1757"/>
      <c r="DC633" s="1757"/>
      <c r="DD633" s="1757"/>
      <c r="DE633" s="1757"/>
      <c r="DF633" s="1757"/>
      <c r="DG633" s="1757"/>
      <c r="DH633" s="1757"/>
      <c r="DI633" s="1757"/>
      <c r="DJ633" s="1757"/>
      <c r="DK633" s="1757"/>
      <c r="DL633" s="1757"/>
      <c r="DM633" s="1757"/>
      <c r="DN633" s="1757"/>
      <c r="DO633" s="1757"/>
      <c r="DP633" s="1757"/>
      <c r="DQ633" s="1757"/>
      <c r="DR633" s="1757"/>
      <c r="DS633" s="1757"/>
      <c r="DT633" s="1757"/>
      <c r="DU633" s="1757"/>
      <c r="DV633" s="1757"/>
      <c r="DW633" s="1757"/>
      <c r="DX633" s="1757"/>
      <c r="DY633" s="1757"/>
      <c r="DZ633" s="1757"/>
      <c r="EA633" s="1757"/>
      <c r="EB633" s="1757"/>
      <c r="EC633" s="1757"/>
      <c r="ED633" s="1757"/>
      <c r="EE633" s="1757"/>
      <c r="EF633" s="1757"/>
      <c r="EG633" s="1757"/>
      <c r="EH633" s="1757"/>
      <c r="EI633" s="1757"/>
      <c r="EJ633" s="1757"/>
      <c r="EK633" s="1757"/>
      <c r="EL633" s="1757"/>
      <c r="EM633" s="1757"/>
      <c r="EN633" s="1757"/>
      <c r="EO633" s="1757"/>
      <c r="EP633" s="1757"/>
      <c r="EQ633" s="1757"/>
      <c r="ER633" s="1757"/>
      <c r="ES633" s="1757"/>
      <c r="ET633" s="1757"/>
      <c r="EU633" s="1757"/>
      <c r="EV633" s="1757"/>
      <c r="EW633" s="1757"/>
      <c r="EX633" s="1757"/>
      <c r="EY633" s="1757"/>
      <c r="EZ633" s="1757"/>
      <c r="FA633" s="1757"/>
      <c r="FB633" s="1757"/>
      <c r="FC633" s="1757"/>
      <c r="FD633" s="1757"/>
      <c r="FE633" s="1757"/>
      <c r="FF633" s="1757"/>
      <c r="FG633" s="1757"/>
      <c r="FH633" s="1757"/>
      <c r="FI633" s="1757"/>
    </row>
    <row r="634" spans="1:165">
      <c r="A634" s="1757"/>
      <c r="B634" s="1757"/>
      <c r="C634" s="1757"/>
      <c r="D634" s="1757"/>
      <c r="E634" s="1757"/>
      <c r="F634" s="1757"/>
      <c r="G634" s="1757"/>
      <c r="H634" s="1757"/>
      <c r="I634" s="1757"/>
      <c r="J634" s="1757"/>
      <c r="K634" s="1757"/>
      <c r="L634" s="1757"/>
      <c r="M634" s="1757"/>
      <c r="N634" s="1757"/>
      <c r="O634" s="1757"/>
      <c r="P634" s="1757"/>
      <c r="Q634" s="1757"/>
      <c r="R634" s="1757"/>
      <c r="S634" s="1757"/>
      <c r="T634" s="1757"/>
      <c r="U634" s="1757"/>
      <c r="V634" s="1757"/>
      <c r="W634" s="1757"/>
      <c r="X634" s="1757"/>
      <c r="Y634" s="1757"/>
      <c r="Z634" s="1757"/>
      <c r="AA634" s="1757"/>
      <c r="AB634" s="1757"/>
      <c r="AC634" s="1757"/>
      <c r="AD634" s="1757"/>
      <c r="AE634" s="1757"/>
      <c r="AF634" s="1757"/>
      <c r="AG634" s="1757"/>
      <c r="AH634" s="1757"/>
      <c r="AI634" s="1757"/>
      <c r="AJ634" s="1757"/>
      <c r="AK634" s="1757"/>
      <c r="AL634" s="1757"/>
      <c r="AM634" s="1757"/>
      <c r="AN634" s="1757"/>
      <c r="AO634" s="1757"/>
      <c r="AP634" s="1757"/>
      <c r="AQ634" s="1757"/>
      <c r="AR634" s="1757"/>
      <c r="AS634" s="1757"/>
      <c r="AT634" s="1757"/>
      <c r="AU634" s="1757"/>
      <c r="AV634" s="1757"/>
      <c r="AW634" s="1757"/>
      <c r="AX634" s="1757"/>
      <c r="AY634" s="1757"/>
      <c r="AZ634" s="1757"/>
      <c r="BA634" s="1757"/>
      <c r="BB634" s="1757"/>
      <c r="BC634" s="1757"/>
      <c r="BD634" s="1757"/>
      <c r="BE634" s="1757"/>
      <c r="BF634" s="1757"/>
      <c r="BG634" s="1757"/>
      <c r="BH634" s="1757"/>
      <c r="BI634" s="1757"/>
      <c r="BJ634" s="1757"/>
      <c r="BK634" s="1757"/>
      <c r="BL634" s="1757"/>
      <c r="BM634" s="1757"/>
      <c r="BN634" s="1757"/>
      <c r="BO634" s="1757"/>
      <c r="BP634" s="1757"/>
      <c r="BQ634" s="1757"/>
      <c r="BR634" s="1757"/>
      <c r="BS634" s="1757"/>
      <c r="BT634" s="1757"/>
      <c r="BU634" s="1757"/>
      <c r="BV634" s="1757"/>
      <c r="BW634" s="1757"/>
      <c r="BX634" s="1757"/>
      <c r="BY634" s="1757"/>
      <c r="BZ634" s="1757"/>
      <c r="CA634" s="1757"/>
      <c r="CB634" s="1757"/>
      <c r="CC634" s="1757"/>
      <c r="CD634" s="1757"/>
      <c r="CE634" s="1757"/>
      <c r="CF634" s="1757"/>
      <c r="CG634" s="1757"/>
      <c r="CH634" s="1757"/>
      <c r="CI634" s="1757"/>
      <c r="CJ634" s="1757"/>
      <c r="CK634" s="1757"/>
      <c r="CL634" s="1757"/>
      <c r="CM634" s="1757"/>
      <c r="CN634" s="1757"/>
      <c r="CO634" s="1757"/>
      <c r="CP634" s="1757"/>
      <c r="CQ634" s="1757"/>
      <c r="CR634" s="1757"/>
      <c r="CS634" s="1757"/>
      <c r="CT634" s="1757"/>
      <c r="CU634" s="1757"/>
      <c r="CV634" s="1757"/>
      <c r="CW634" s="1757"/>
      <c r="CX634" s="1757"/>
      <c r="CY634" s="1757"/>
      <c r="CZ634" s="1757"/>
      <c r="DA634" s="1757"/>
      <c r="DB634" s="1757"/>
      <c r="DC634" s="1757"/>
      <c r="DD634" s="1757"/>
      <c r="DE634" s="1757"/>
      <c r="DF634" s="1757"/>
      <c r="DG634" s="1757"/>
      <c r="DH634" s="1757"/>
      <c r="DI634" s="1757"/>
      <c r="DJ634" s="1757"/>
      <c r="DK634" s="1757"/>
      <c r="DL634" s="1757"/>
      <c r="DM634" s="1757"/>
      <c r="DN634" s="1757"/>
      <c r="DO634" s="1757"/>
      <c r="DP634" s="1757"/>
      <c r="DQ634" s="1757"/>
      <c r="DR634" s="1757"/>
      <c r="DS634" s="1757"/>
      <c r="DT634" s="1757"/>
      <c r="DU634" s="1757"/>
      <c r="DV634" s="1757"/>
      <c r="DW634" s="1757"/>
      <c r="DX634" s="1757"/>
      <c r="DY634" s="1757"/>
      <c r="DZ634" s="1757"/>
      <c r="EA634" s="1757"/>
      <c r="EB634" s="1757"/>
      <c r="EC634" s="1757"/>
      <c r="ED634" s="1757"/>
      <c r="EE634" s="1757"/>
      <c r="EF634" s="1757"/>
      <c r="EG634" s="1757"/>
      <c r="EH634" s="1757"/>
      <c r="EI634" s="1757"/>
      <c r="EJ634" s="1757"/>
      <c r="EK634" s="1757"/>
      <c r="EL634" s="1757"/>
      <c r="EM634" s="1757"/>
      <c r="EN634" s="1757"/>
      <c r="EO634" s="1757"/>
      <c r="EP634" s="1757"/>
      <c r="EQ634" s="1757"/>
      <c r="ER634" s="1757"/>
      <c r="ES634" s="1757"/>
      <c r="ET634" s="1757"/>
      <c r="EU634" s="1757"/>
      <c r="EV634" s="1757"/>
      <c r="EW634" s="1757"/>
      <c r="EX634" s="1757"/>
      <c r="EY634" s="1757"/>
      <c r="EZ634" s="1757"/>
      <c r="FA634" s="1757"/>
      <c r="FB634" s="1757"/>
      <c r="FC634" s="1757"/>
      <c r="FD634" s="1757"/>
      <c r="FE634" s="1757"/>
      <c r="FF634" s="1757"/>
      <c r="FG634" s="1757"/>
      <c r="FH634" s="1757"/>
      <c r="FI634" s="1757"/>
    </row>
    <row r="635" spans="1:165">
      <c r="A635" s="1757"/>
      <c r="B635" s="1757"/>
      <c r="C635" s="1757"/>
      <c r="D635" s="1757"/>
      <c r="E635" s="1757"/>
      <c r="F635" s="1757"/>
      <c r="G635" s="1757"/>
      <c r="H635" s="1757"/>
      <c r="I635" s="1757"/>
      <c r="J635" s="1757"/>
      <c r="K635" s="1757"/>
      <c r="L635" s="1757"/>
      <c r="M635" s="1757"/>
      <c r="N635" s="1757"/>
      <c r="O635" s="1757"/>
      <c r="P635" s="1757"/>
      <c r="Q635" s="1757"/>
      <c r="R635" s="1757"/>
      <c r="S635" s="1757"/>
      <c r="T635" s="1757"/>
      <c r="U635" s="1757"/>
      <c r="V635" s="1757"/>
      <c r="W635" s="1757"/>
      <c r="X635" s="1757"/>
      <c r="Y635" s="1757"/>
      <c r="Z635" s="1757"/>
      <c r="AA635" s="1757"/>
      <c r="AB635" s="1757"/>
      <c r="AC635" s="1757"/>
      <c r="AD635" s="1757"/>
      <c r="AE635" s="1757"/>
      <c r="AF635" s="1757"/>
      <c r="AG635" s="1757"/>
      <c r="AH635" s="1757"/>
      <c r="AI635" s="1757"/>
      <c r="AJ635" s="1757"/>
      <c r="AK635" s="1757"/>
      <c r="AL635" s="1757"/>
      <c r="AM635" s="1757"/>
      <c r="AN635" s="1757"/>
      <c r="AO635" s="1757"/>
      <c r="AP635" s="1757"/>
      <c r="AQ635" s="1757"/>
      <c r="AR635" s="1757"/>
      <c r="AS635" s="1757"/>
      <c r="AT635" s="1757"/>
      <c r="AU635" s="1757"/>
      <c r="AV635" s="1757"/>
      <c r="AW635" s="1757"/>
      <c r="AX635" s="1757"/>
      <c r="AY635" s="1757"/>
      <c r="AZ635" s="1757"/>
      <c r="BA635" s="1757"/>
      <c r="BB635" s="1757"/>
      <c r="BC635" s="1757"/>
      <c r="BD635" s="1757"/>
      <c r="BE635" s="1757"/>
      <c r="BF635" s="1757"/>
      <c r="BG635" s="1757"/>
      <c r="BH635" s="1757"/>
      <c r="BI635" s="1757"/>
      <c r="BJ635" s="1757"/>
      <c r="BK635" s="1757"/>
      <c r="BL635" s="1757"/>
      <c r="BM635" s="1757"/>
      <c r="BN635" s="1757"/>
      <c r="BO635" s="1757"/>
      <c r="BP635" s="1757"/>
      <c r="BQ635" s="1757"/>
      <c r="BR635" s="1757"/>
      <c r="BS635" s="1757"/>
      <c r="BT635" s="1757"/>
      <c r="BU635" s="1757"/>
      <c r="BV635" s="1757"/>
      <c r="BW635" s="1757"/>
      <c r="BX635" s="1757"/>
      <c r="BY635" s="1757"/>
      <c r="BZ635" s="1757"/>
      <c r="CA635" s="1757"/>
      <c r="CB635" s="1757"/>
      <c r="CC635" s="1757"/>
      <c r="CD635" s="1757"/>
      <c r="CE635" s="1757"/>
      <c r="CF635" s="1757"/>
      <c r="CG635" s="1757"/>
      <c r="CH635" s="1757"/>
      <c r="CI635" s="1757"/>
      <c r="CJ635" s="1757"/>
      <c r="CK635" s="1757"/>
      <c r="CL635" s="1757"/>
      <c r="CM635" s="1757"/>
      <c r="CN635" s="1757"/>
      <c r="CO635" s="1757"/>
      <c r="CP635" s="1757"/>
      <c r="CQ635" s="1757"/>
      <c r="CR635" s="1757"/>
      <c r="CS635" s="1757"/>
      <c r="CT635" s="1757"/>
      <c r="CU635" s="1757"/>
      <c r="CV635" s="1757"/>
      <c r="CW635" s="1757"/>
      <c r="CX635" s="1757"/>
      <c r="CY635" s="1757"/>
      <c r="CZ635" s="1757"/>
      <c r="DA635" s="1757"/>
      <c r="DB635" s="1757"/>
      <c r="DC635" s="1757"/>
      <c r="DD635" s="1757"/>
      <c r="DE635" s="1757"/>
      <c r="DF635" s="1757"/>
      <c r="DG635" s="1757"/>
      <c r="DH635" s="1757"/>
      <c r="DI635" s="1757"/>
      <c r="DJ635" s="1757"/>
      <c r="DK635" s="1757"/>
      <c r="DL635" s="1757"/>
      <c r="DM635" s="1757"/>
      <c r="DN635" s="1757"/>
      <c r="DO635" s="1757"/>
      <c r="DP635" s="1757"/>
      <c r="DQ635" s="1757"/>
      <c r="DR635" s="1757"/>
      <c r="DS635" s="1757"/>
      <c r="DT635" s="1757"/>
      <c r="DU635" s="1757"/>
      <c r="DV635" s="1757"/>
      <c r="DW635" s="1757"/>
      <c r="DX635" s="1757"/>
      <c r="DY635" s="1757"/>
      <c r="DZ635" s="1757"/>
      <c r="EA635" s="1757"/>
      <c r="EB635" s="1757"/>
      <c r="EC635" s="1757"/>
      <c r="ED635" s="1757"/>
      <c r="EE635" s="1757"/>
      <c r="EF635" s="1757"/>
      <c r="EG635" s="1757"/>
      <c r="EH635" s="1757"/>
      <c r="EI635" s="1757"/>
      <c r="EJ635" s="1757"/>
      <c r="EK635" s="1757"/>
      <c r="EL635" s="1757"/>
      <c r="EM635" s="1757"/>
      <c r="EN635" s="1757"/>
      <c r="EO635" s="1757"/>
      <c r="EP635" s="1757"/>
      <c r="EQ635" s="1757"/>
      <c r="ER635" s="1757"/>
      <c r="ES635" s="1757"/>
      <c r="ET635" s="1757"/>
      <c r="EU635" s="1757"/>
      <c r="EV635" s="1757"/>
      <c r="EW635" s="1757"/>
      <c r="EX635" s="1757"/>
      <c r="EY635" s="1757"/>
      <c r="EZ635" s="1757"/>
      <c r="FA635" s="1757"/>
      <c r="FB635" s="1757"/>
      <c r="FC635" s="1757"/>
      <c r="FD635" s="1757"/>
      <c r="FE635" s="1757"/>
      <c r="FF635" s="1757"/>
      <c r="FG635" s="1757"/>
      <c r="FH635" s="1757"/>
      <c r="FI635" s="1757"/>
    </row>
    <row r="636" spans="1:165">
      <c r="A636" s="1757"/>
      <c r="B636" s="1757"/>
      <c r="C636" s="1757"/>
      <c r="D636" s="1757"/>
      <c r="E636" s="1757"/>
      <c r="F636" s="1757"/>
      <c r="G636" s="1757"/>
      <c r="H636" s="1757"/>
      <c r="I636" s="1757"/>
      <c r="J636" s="1757"/>
      <c r="K636" s="1757"/>
      <c r="L636" s="1757"/>
      <c r="M636" s="1757"/>
      <c r="N636" s="1757"/>
      <c r="O636" s="1757"/>
      <c r="P636" s="1757"/>
      <c r="Q636" s="1757"/>
      <c r="R636" s="1757"/>
      <c r="S636" s="1757"/>
      <c r="T636" s="1757"/>
      <c r="U636" s="1757"/>
      <c r="V636" s="1757"/>
      <c r="W636" s="1757"/>
      <c r="X636" s="1757"/>
      <c r="Y636" s="1757"/>
      <c r="Z636" s="1757"/>
      <c r="AA636" s="1757"/>
      <c r="AB636" s="1757"/>
      <c r="AC636" s="1757"/>
      <c r="AD636" s="1757"/>
      <c r="AE636" s="1757"/>
      <c r="AF636" s="1757"/>
      <c r="AG636" s="1757"/>
      <c r="AH636" s="1757"/>
      <c r="AI636" s="1757"/>
      <c r="AJ636" s="1757"/>
      <c r="AK636" s="1757"/>
      <c r="AL636" s="1757"/>
      <c r="AM636" s="1757"/>
      <c r="AN636" s="1757"/>
      <c r="AO636" s="1757"/>
      <c r="AP636" s="1757"/>
      <c r="AQ636" s="1757"/>
      <c r="AR636" s="1757"/>
      <c r="AS636" s="1757"/>
      <c r="AT636" s="1757"/>
      <c r="AU636" s="1757"/>
      <c r="AV636" s="1757"/>
      <c r="AW636" s="1757"/>
      <c r="AX636" s="1757"/>
      <c r="AY636" s="1757"/>
      <c r="AZ636" s="1757"/>
      <c r="BA636" s="1757"/>
      <c r="BB636" s="1757"/>
      <c r="BC636" s="1757"/>
      <c r="BD636" s="1757"/>
      <c r="BE636" s="1757"/>
      <c r="BF636" s="1757"/>
      <c r="BG636" s="1757"/>
      <c r="BH636" s="1757"/>
      <c r="BI636" s="1757"/>
      <c r="BJ636" s="1757"/>
      <c r="BK636" s="1757"/>
      <c r="BL636" s="1757"/>
      <c r="BM636" s="1757"/>
      <c r="BN636" s="1757"/>
      <c r="BO636" s="1757"/>
      <c r="BP636" s="1757"/>
      <c r="BQ636" s="1757"/>
      <c r="BR636" s="1757"/>
      <c r="BS636" s="1757"/>
      <c r="BT636" s="1757"/>
      <c r="BU636" s="1757"/>
      <c r="BV636" s="1757"/>
      <c r="BW636" s="1757"/>
      <c r="BX636" s="1757"/>
      <c r="BY636" s="1757"/>
      <c r="BZ636" s="1757"/>
      <c r="CA636" s="1757"/>
      <c r="CB636" s="1757"/>
      <c r="CC636" s="1757"/>
      <c r="CD636" s="1757"/>
      <c r="CE636" s="1757"/>
      <c r="CF636" s="1757"/>
      <c r="CG636" s="1757"/>
      <c r="CH636" s="1757"/>
      <c r="CI636" s="1757"/>
      <c r="CJ636" s="1757"/>
      <c r="CK636" s="1757"/>
      <c r="CL636" s="1757"/>
      <c r="CM636" s="1757"/>
      <c r="CN636" s="1757"/>
      <c r="CO636" s="1757"/>
      <c r="CP636" s="1757"/>
      <c r="CQ636" s="1757"/>
      <c r="CR636" s="1757"/>
      <c r="CS636" s="1757"/>
      <c r="CT636" s="1757"/>
      <c r="CU636" s="1757"/>
      <c r="CV636" s="1757"/>
      <c r="CW636" s="1757"/>
      <c r="CX636" s="1757"/>
      <c r="CY636" s="1757"/>
      <c r="CZ636" s="1757"/>
      <c r="DA636" s="1757"/>
      <c r="DB636" s="1757"/>
      <c r="DC636" s="1757"/>
      <c r="DD636" s="1757"/>
      <c r="DE636" s="1757"/>
      <c r="DF636" s="1757"/>
      <c r="DG636" s="1757"/>
      <c r="DH636" s="1757"/>
      <c r="DI636" s="1757"/>
      <c r="DJ636" s="1757"/>
      <c r="DK636" s="1757"/>
      <c r="DL636" s="1757"/>
      <c r="DM636" s="1757"/>
      <c r="DN636" s="1757"/>
      <c r="DO636" s="1757"/>
      <c r="DP636" s="1757"/>
      <c r="DQ636" s="1757"/>
      <c r="DR636" s="1757"/>
      <c r="DS636" s="1757"/>
      <c r="DT636" s="1757"/>
      <c r="DU636" s="1757"/>
      <c r="DV636" s="1757"/>
      <c r="DW636" s="1757"/>
      <c r="DX636" s="1757"/>
      <c r="DY636" s="1757"/>
      <c r="DZ636" s="1757"/>
      <c r="EA636" s="1757"/>
      <c r="EB636" s="1757"/>
      <c r="EC636" s="1757"/>
      <c r="ED636" s="1757"/>
      <c r="EE636" s="1757"/>
      <c r="EF636" s="1757"/>
      <c r="EG636" s="1757"/>
      <c r="EH636" s="1757"/>
      <c r="EI636" s="1757"/>
      <c r="EJ636" s="1757"/>
      <c r="EK636" s="1757"/>
      <c r="EL636" s="1757"/>
      <c r="EM636" s="1757"/>
      <c r="EN636" s="1757"/>
      <c r="EO636" s="1757"/>
      <c r="EP636" s="1757"/>
      <c r="EQ636" s="1757"/>
      <c r="ER636" s="1757"/>
      <c r="ES636" s="1757"/>
      <c r="ET636" s="1757"/>
      <c r="EU636" s="1757"/>
      <c r="EV636" s="1757"/>
      <c r="EW636" s="1757"/>
      <c r="EX636" s="1757"/>
      <c r="EY636" s="1757"/>
      <c r="EZ636" s="1757"/>
      <c r="FA636" s="1757"/>
      <c r="FB636" s="1757"/>
      <c r="FC636" s="1757"/>
      <c r="FD636" s="1757"/>
      <c r="FE636" s="1757"/>
      <c r="FF636" s="1757"/>
      <c r="FG636" s="1757"/>
      <c r="FH636" s="1757"/>
      <c r="FI636" s="1757"/>
    </row>
    <row r="637" spans="1:165">
      <c r="A637" s="1757"/>
      <c r="B637" s="1757"/>
      <c r="C637" s="1757"/>
      <c r="D637" s="1757"/>
      <c r="E637" s="1757"/>
      <c r="F637" s="1757"/>
      <c r="G637" s="1757"/>
      <c r="H637" s="1757"/>
      <c r="I637" s="1757"/>
      <c r="J637" s="1757"/>
      <c r="K637" s="1757"/>
      <c r="L637" s="1757"/>
      <c r="M637" s="1757"/>
      <c r="N637" s="1757"/>
      <c r="O637" s="1757"/>
      <c r="P637" s="1757"/>
      <c r="Q637" s="1757"/>
      <c r="R637" s="1757"/>
      <c r="S637" s="1757"/>
      <c r="T637" s="1757"/>
      <c r="U637" s="1757"/>
      <c r="V637" s="1757"/>
      <c r="W637" s="1757"/>
      <c r="X637" s="1757"/>
      <c r="Y637" s="1757"/>
      <c r="Z637" s="1757"/>
      <c r="AA637" s="1757"/>
      <c r="AB637" s="1757"/>
      <c r="AC637" s="1757"/>
      <c r="AD637" s="1757"/>
      <c r="AE637" s="1757"/>
      <c r="AF637" s="1757"/>
      <c r="AG637" s="1757"/>
      <c r="AH637" s="1757"/>
      <c r="AI637" s="1757"/>
      <c r="AJ637" s="1757"/>
      <c r="AK637" s="1757"/>
      <c r="AL637" s="1757"/>
      <c r="AM637" s="1757"/>
      <c r="AN637" s="1757"/>
      <c r="AO637" s="1757"/>
      <c r="AP637" s="1757"/>
      <c r="AQ637" s="1757"/>
      <c r="AR637" s="1757"/>
      <c r="AS637" s="1757"/>
      <c r="AT637" s="1757"/>
      <c r="AU637" s="1757"/>
      <c r="AV637" s="1757"/>
      <c r="AW637" s="1757"/>
      <c r="AX637" s="1757"/>
      <c r="AY637" s="1757"/>
      <c r="AZ637" s="1757"/>
      <c r="BA637" s="1757"/>
      <c r="BB637" s="1757"/>
      <c r="BC637" s="1757"/>
      <c r="BD637" s="1757"/>
      <c r="BE637" s="1757"/>
      <c r="BF637" s="1757"/>
      <c r="BG637" s="1757"/>
      <c r="BH637" s="1757"/>
      <c r="BI637" s="1757"/>
      <c r="BJ637" s="1757"/>
      <c r="BK637" s="1757"/>
      <c r="BL637" s="1757"/>
      <c r="BM637" s="1757"/>
      <c r="BN637" s="1757"/>
      <c r="BO637" s="1757"/>
      <c r="BP637" s="1757"/>
      <c r="BQ637" s="1757"/>
      <c r="BR637" s="1757"/>
      <c r="BS637" s="1757"/>
      <c r="BT637" s="1757"/>
      <c r="BU637" s="1757"/>
      <c r="BV637" s="1757"/>
      <c r="BW637" s="1757"/>
      <c r="BX637" s="1757"/>
      <c r="BY637" s="1757"/>
      <c r="BZ637" s="1757"/>
      <c r="CA637" s="1757"/>
      <c r="CB637" s="1757"/>
      <c r="CC637" s="1757"/>
      <c r="CD637" s="1757"/>
      <c r="CE637" s="1757"/>
      <c r="CF637" s="1757"/>
      <c r="CG637" s="1757"/>
      <c r="CH637" s="1757"/>
      <c r="CI637" s="1757"/>
      <c r="CJ637" s="1757"/>
      <c r="CK637" s="1757"/>
      <c r="CL637" s="1757"/>
      <c r="CM637" s="1757"/>
      <c r="CN637" s="1757"/>
      <c r="CO637" s="1757"/>
      <c r="CP637" s="1757"/>
      <c r="CQ637" s="1757"/>
      <c r="CR637" s="1757"/>
      <c r="CS637" s="1757"/>
      <c r="CT637" s="1757"/>
      <c r="CU637" s="1757"/>
      <c r="CV637" s="1757"/>
      <c r="CW637" s="1757"/>
      <c r="CX637" s="1757"/>
      <c r="CY637" s="1757"/>
      <c r="CZ637" s="1757"/>
      <c r="DA637" s="1757"/>
      <c r="DB637" s="1757"/>
      <c r="DC637" s="1757"/>
      <c r="DD637" s="1757"/>
      <c r="DE637" s="1757"/>
      <c r="DF637" s="1757"/>
      <c r="DG637" s="1757"/>
      <c r="DH637" s="1757"/>
      <c r="DI637" s="1757"/>
      <c r="DJ637" s="1757"/>
      <c r="DK637" s="1757"/>
      <c r="DL637" s="1757"/>
      <c r="DM637" s="1757"/>
      <c r="DN637" s="1757"/>
      <c r="DO637" s="1757"/>
      <c r="DP637" s="1757"/>
      <c r="DQ637" s="1757"/>
      <c r="DR637" s="1757"/>
      <c r="DS637" s="1757"/>
      <c r="DT637" s="1757"/>
      <c r="DU637" s="1757"/>
      <c r="DV637" s="1757"/>
      <c r="DW637" s="1757"/>
      <c r="DX637" s="1757"/>
      <c r="DY637" s="1757"/>
      <c r="DZ637" s="1757"/>
      <c r="EA637" s="1757"/>
      <c r="EB637" s="1757"/>
      <c r="EC637" s="1757"/>
      <c r="ED637" s="1757"/>
      <c r="EE637" s="1757"/>
      <c r="EF637" s="1757"/>
      <c r="EG637" s="1757"/>
      <c r="EH637" s="1757"/>
      <c r="EI637" s="1757"/>
      <c r="EJ637" s="1757"/>
      <c r="EK637" s="1757"/>
      <c r="EL637" s="1757"/>
      <c r="EM637" s="1757"/>
      <c r="EN637" s="1757"/>
      <c r="EO637" s="1757"/>
      <c r="EP637" s="1757"/>
      <c r="EQ637" s="1757"/>
      <c r="ER637" s="1757"/>
      <c r="ES637" s="1757"/>
      <c r="ET637" s="1757"/>
      <c r="EU637" s="1757"/>
      <c r="EV637" s="1757"/>
      <c r="EW637" s="1757"/>
      <c r="EX637" s="1757"/>
      <c r="EY637" s="1757"/>
      <c r="EZ637" s="1757"/>
      <c r="FA637" s="1757"/>
      <c r="FB637" s="1757"/>
      <c r="FC637" s="1757"/>
      <c r="FD637" s="1757"/>
      <c r="FE637" s="1757"/>
      <c r="FF637" s="1757"/>
      <c r="FG637" s="1757"/>
      <c r="FH637" s="1757"/>
      <c r="FI637" s="1757"/>
    </row>
    <row r="638" spans="1:165">
      <c r="A638" s="1757"/>
      <c r="B638" s="1757"/>
      <c r="C638" s="1757"/>
      <c r="D638" s="1757"/>
      <c r="E638" s="1757"/>
      <c r="F638" s="1757"/>
      <c r="G638" s="1757"/>
      <c r="H638" s="1757"/>
      <c r="I638" s="1757"/>
      <c r="J638" s="1757"/>
      <c r="K638" s="1757"/>
      <c r="L638" s="1757"/>
      <c r="M638" s="1757"/>
      <c r="N638" s="1757"/>
      <c r="O638" s="1757"/>
      <c r="P638" s="1757"/>
      <c r="Q638" s="1757"/>
      <c r="R638" s="1757"/>
      <c r="S638" s="1757"/>
      <c r="T638" s="1757"/>
      <c r="U638" s="1757"/>
      <c r="V638" s="1757"/>
      <c r="W638" s="1757"/>
      <c r="X638" s="1757"/>
      <c r="Y638" s="1757"/>
      <c r="Z638" s="1757"/>
      <c r="AA638" s="1757"/>
      <c r="AB638" s="1757"/>
      <c r="AC638" s="1757"/>
      <c r="AD638" s="1757"/>
      <c r="AE638" s="1757"/>
      <c r="AF638" s="1757"/>
      <c r="AG638" s="1757"/>
      <c r="AH638" s="1757"/>
      <c r="AI638" s="1757"/>
      <c r="AJ638" s="1757"/>
      <c r="AK638" s="1757"/>
      <c r="AL638" s="1757"/>
      <c r="AM638" s="1757"/>
      <c r="AN638" s="1757"/>
      <c r="AO638" s="1757"/>
      <c r="AP638" s="1757"/>
      <c r="AQ638" s="1757"/>
      <c r="AR638" s="1757"/>
      <c r="AS638" s="1757"/>
      <c r="AT638" s="1757"/>
      <c r="AU638" s="1757"/>
      <c r="AV638" s="1757"/>
      <c r="AW638" s="1757"/>
      <c r="AX638" s="1757"/>
      <c r="AY638" s="1757"/>
      <c r="AZ638" s="1757"/>
      <c r="BA638" s="1757"/>
      <c r="BB638" s="1757"/>
      <c r="BC638" s="1757"/>
      <c r="BD638" s="1757"/>
      <c r="BE638" s="1757"/>
      <c r="BF638" s="1757"/>
      <c r="BG638" s="1757"/>
      <c r="BH638" s="1757"/>
      <c r="BI638" s="1757"/>
      <c r="BJ638" s="1757"/>
      <c r="BK638" s="1757"/>
      <c r="BL638" s="1757"/>
      <c r="BM638" s="1757"/>
      <c r="BN638" s="1757"/>
      <c r="BO638" s="1757"/>
      <c r="BP638" s="1757"/>
      <c r="BQ638" s="1757"/>
      <c r="BR638" s="1757"/>
      <c r="BS638" s="1757"/>
      <c r="BT638" s="1757"/>
      <c r="BU638" s="1757"/>
      <c r="BV638" s="1757"/>
      <c r="BW638" s="1757"/>
      <c r="BX638" s="1757"/>
      <c r="BY638" s="1757"/>
      <c r="BZ638" s="1757"/>
      <c r="CA638" s="1757"/>
      <c r="CB638" s="1757"/>
      <c r="CC638" s="1757"/>
      <c r="CD638" s="1757"/>
      <c r="CE638" s="1757"/>
      <c r="CF638" s="1757"/>
      <c r="CG638" s="1757"/>
      <c r="CH638" s="1757"/>
      <c r="CI638" s="1757"/>
      <c r="CJ638" s="1757"/>
      <c r="CK638" s="1757"/>
      <c r="CL638" s="1757"/>
      <c r="CM638" s="1757"/>
      <c r="CN638" s="1757"/>
      <c r="CO638" s="1757"/>
      <c r="CP638" s="1757"/>
      <c r="CQ638" s="1757"/>
      <c r="CR638" s="1757"/>
      <c r="CS638" s="1757"/>
      <c r="CT638" s="1757"/>
      <c r="CU638" s="1757"/>
      <c r="CV638" s="1757"/>
      <c r="CW638" s="1757"/>
      <c r="CX638" s="1757"/>
      <c r="CY638" s="1757"/>
      <c r="CZ638" s="1757"/>
      <c r="DA638" s="1757"/>
      <c r="DB638" s="1757"/>
      <c r="DC638" s="1757"/>
      <c r="DD638" s="1757"/>
      <c r="DE638" s="1757"/>
      <c r="DF638" s="1757"/>
      <c r="DG638" s="1757"/>
      <c r="DH638" s="1757"/>
      <c r="DI638" s="1757"/>
      <c r="DJ638" s="1757"/>
      <c r="DK638" s="1757"/>
      <c r="DL638" s="1757"/>
      <c r="DM638" s="1757"/>
      <c r="DN638" s="1757"/>
      <c r="DO638" s="1757"/>
      <c r="DP638" s="1757"/>
      <c r="DQ638" s="1757"/>
      <c r="DR638" s="1757"/>
      <c r="DS638" s="1757"/>
      <c r="DT638" s="1757"/>
      <c r="DU638" s="1757"/>
      <c r="DV638" s="1757"/>
      <c r="DW638" s="1757"/>
      <c r="DX638" s="1757"/>
      <c r="DY638" s="1757"/>
      <c r="DZ638" s="1757"/>
      <c r="EA638" s="1757"/>
      <c r="EB638" s="1757"/>
      <c r="EC638" s="1757"/>
      <c r="ED638" s="1757"/>
      <c r="EE638" s="1757"/>
      <c r="EF638" s="1757"/>
      <c r="EG638" s="1757"/>
      <c r="EH638" s="1757"/>
      <c r="EI638" s="1757"/>
      <c r="EJ638" s="1757"/>
      <c r="EK638" s="1757"/>
      <c r="EL638" s="1757"/>
      <c r="EM638" s="1757"/>
      <c r="EN638" s="1757"/>
      <c r="EO638" s="1757"/>
      <c r="EP638" s="1757"/>
      <c r="EQ638" s="1757"/>
      <c r="ER638" s="1757"/>
      <c r="ES638" s="1757"/>
      <c r="ET638" s="1757"/>
      <c r="EU638" s="1757"/>
      <c r="EV638" s="1757"/>
      <c r="EW638" s="1757"/>
      <c r="EX638" s="1757"/>
      <c r="EY638" s="1757"/>
      <c r="EZ638" s="1757"/>
      <c r="FA638" s="1757"/>
      <c r="FB638" s="1757"/>
      <c r="FC638" s="1757"/>
      <c r="FD638" s="1757"/>
      <c r="FE638" s="1757"/>
      <c r="FF638" s="1757"/>
      <c r="FG638" s="1757"/>
      <c r="FH638" s="1757"/>
      <c r="FI638" s="1757"/>
    </row>
    <row r="639" spans="1:165">
      <c r="A639" s="1757"/>
      <c r="B639" s="1757"/>
      <c r="C639" s="1757"/>
      <c r="D639" s="1757"/>
      <c r="E639" s="1757"/>
      <c r="F639" s="1757"/>
      <c r="G639" s="1757"/>
      <c r="H639" s="1757"/>
      <c r="I639" s="1757"/>
      <c r="J639" s="1757"/>
      <c r="K639" s="1757"/>
      <c r="L639" s="1757"/>
      <c r="M639" s="1757"/>
      <c r="N639" s="1757"/>
      <c r="O639" s="1757"/>
      <c r="P639" s="1757"/>
      <c r="Q639" s="1757"/>
      <c r="R639" s="1757"/>
      <c r="S639" s="1757"/>
      <c r="T639" s="1757"/>
      <c r="U639" s="1757"/>
      <c r="V639" s="1757"/>
      <c r="W639" s="1757"/>
      <c r="X639" s="1757"/>
      <c r="Y639" s="1757"/>
      <c r="Z639" s="1757"/>
      <c r="AA639" s="1757"/>
      <c r="AB639" s="1757"/>
      <c r="AC639" s="1757"/>
      <c r="AD639" s="1757"/>
      <c r="AE639" s="1757"/>
      <c r="AF639" s="1757"/>
      <c r="AG639" s="1757"/>
      <c r="AH639" s="1757"/>
      <c r="AI639" s="1757"/>
      <c r="AJ639" s="1757"/>
      <c r="AK639" s="1757"/>
      <c r="AL639" s="1757"/>
      <c r="AM639" s="1757"/>
      <c r="AN639" s="1757"/>
      <c r="AO639" s="1757"/>
      <c r="AP639" s="1757"/>
      <c r="AQ639" s="1757"/>
      <c r="AR639" s="1757"/>
      <c r="AS639" s="1757"/>
      <c r="AT639" s="1757"/>
      <c r="AU639" s="1757"/>
      <c r="AV639" s="1757"/>
      <c r="AW639" s="1757"/>
      <c r="AX639" s="1757"/>
      <c r="AY639" s="1757"/>
      <c r="AZ639" s="1757"/>
      <c r="BA639" s="1757"/>
      <c r="BB639" s="1757"/>
      <c r="BC639" s="1757"/>
      <c r="BD639" s="1757"/>
      <c r="BE639" s="1757"/>
      <c r="BF639" s="1757"/>
      <c r="BG639" s="1757"/>
      <c r="BH639" s="1757"/>
      <c r="BI639" s="1757"/>
      <c r="BJ639" s="1757"/>
      <c r="BK639" s="1757"/>
      <c r="BL639" s="1757"/>
      <c r="BM639" s="1757"/>
      <c r="BN639" s="1757"/>
      <c r="BO639" s="1757"/>
      <c r="BP639" s="1757"/>
      <c r="BQ639" s="1757"/>
      <c r="BR639" s="1757"/>
      <c r="BS639" s="1757"/>
      <c r="BT639" s="1757"/>
      <c r="BU639" s="1757"/>
      <c r="BV639" s="1757"/>
      <c r="BW639" s="1757"/>
      <c r="BX639" s="1757"/>
      <c r="BY639" s="1757"/>
      <c r="BZ639" s="1757"/>
      <c r="CA639" s="1757"/>
      <c r="CB639" s="1757"/>
      <c r="CC639" s="1757"/>
      <c r="CD639" s="1757"/>
      <c r="CE639" s="1757"/>
      <c r="CF639" s="1757"/>
      <c r="CG639" s="1757"/>
      <c r="CH639" s="1757"/>
      <c r="CI639" s="1757"/>
      <c r="CJ639" s="1757"/>
      <c r="CK639" s="1757"/>
      <c r="CL639" s="1757"/>
      <c r="CM639" s="1757"/>
      <c r="CN639" s="1757"/>
      <c r="CO639" s="1757"/>
      <c r="CP639" s="1757"/>
      <c r="CQ639" s="1757"/>
      <c r="CR639" s="1757"/>
      <c r="CS639" s="1757"/>
      <c r="CT639" s="1757"/>
      <c r="CU639" s="1757"/>
      <c r="CV639" s="1757"/>
      <c r="CW639" s="1757"/>
      <c r="CX639" s="1757"/>
      <c r="CY639" s="1757"/>
      <c r="CZ639" s="1757"/>
      <c r="DA639" s="1757"/>
      <c r="DB639" s="1757"/>
      <c r="DC639" s="1757"/>
      <c r="DD639" s="1757"/>
      <c r="DE639" s="1757"/>
      <c r="DF639" s="1757"/>
      <c r="DG639" s="1757"/>
      <c r="DH639" s="1757"/>
      <c r="DI639" s="1757"/>
      <c r="DJ639" s="1757"/>
      <c r="DK639" s="1757"/>
      <c r="DL639" s="1757"/>
      <c r="DM639" s="1757"/>
      <c r="DN639" s="1757"/>
      <c r="DO639" s="1757"/>
      <c r="DP639" s="1757"/>
      <c r="DQ639" s="1757"/>
      <c r="DR639" s="1757"/>
      <c r="DS639" s="1757"/>
      <c r="DT639" s="1757"/>
      <c r="DU639" s="1757"/>
      <c r="DV639" s="1757"/>
      <c r="DW639" s="1757"/>
      <c r="DX639" s="1757"/>
      <c r="DY639" s="1757"/>
      <c r="DZ639" s="1757"/>
      <c r="EA639" s="1757"/>
      <c r="EB639" s="1757"/>
      <c r="EC639" s="1757"/>
      <c r="ED639" s="1757"/>
      <c r="EE639" s="1757"/>
      <c r="EF639" s="1757"/>
      <c r="EG639" s="1757"/>
      <c r="EH639" s="1757"/>
      <c r="EI639" s="1757"/>
      <c r="EJ639" s="1757"/>
      <c r="EK639" s="1757"/>
      <c r="EL639" s="1757"/>
      <c r="EM639" s="1757"/>
      <c r="EN639" s="1757"/>
      <c r="EO639" s="1757"/>
      <c r="EP639" s="1757"/>
      <c r="EQ639" s="1757"/>
      <c r="ER639" s="1757"/>
      <c r="ES639" s="1757"/>
      <c r="ET639" s="1757"/>
      <c r="EU639" s="1757"/>
      <c r="EV639" s="1757"/>
      <c r="EW639" s="1757"/>
      <c r="EX639" s="1757"/>
      <c r="EY639" s="1757"/>
      <c r="EZ639" s="1757"/>
      <c r="FA639" s="1757"/>
      <c r="FB639" s="1757"/>
      <c r="FC639" s="1757"/>
      <c r="FD639" s="1757"/>
      <c r="FE639" s="1757"/>
      <c r="FF639" s="1757"/>
      <c r="FG639" s="1757"/>
      <c r="FH639" s="1757"/>
      <c r="FI639" s="1757"/>
    </row>
    <row r="640" spans="1:165">
      <c r="A640" s="1757"/>
      <c r="B640" s="1757"/>
      <c r="C640" s="1757"/>
      <c r="D640" s="1757"/>
      <c r="E640" s="1757"/>
      <c r="F640" s="1757"/>
      <c r="G640" s="1757"/>
      <c r="H640" s="1757"/>
      <c r="I640" s="1757"/>
      <c r="J640" s="1757"/>
      <c r="K640" s="1757"/>
      <c r="L640" s="1757"/>
      <c r="M640" s="1757"/>
      <c r="N640" s="1757"/>
      <c r="O640" s="1757"/>
      <c r="P640" s="1757"/>
      <c r="Q640" s="1757"/>
      <c r="R640" s="1757"/>
      <c r="S640" s="1757"/>
      <c r="T640" s="1757"/>
      <c r="U640" s="1757"/>
      <c r="V640" s="1757"/>
      <c r="W640" s="1757"/>
      <c r="X640" s="1757"/>
      <c r="Y640" s="1757"/>
      <c r="Z640" s="1757"/>
      <c r="AA640" s="1757"/>
      <c r="AB640" s="1757"/>
      <c r="AC640" s="1757"/>
      <c r="AD640" s="1757"/>
      <c r="AE640" s="1757"/>
      <c r="AF640" s="1757"/>
      <c r="AG640" s="1757"/>
      <c r="AH640" s="1757"/>
      <c r="AI640" s="1757"/>
      <c r="AJ640" s="1757"/>
      <c r="AK640" s="1757"/>
      <c r="AL640" s="1757"/>
      <c r="AM640" s="1757"/>
      <c r="AN640" s="1757"/>
      <c r="AO640" s="1757"/>
      <c r="AP640" s="1757"/>
      <c r="AQ640" s="1757"/>
      <c r="AR640" s="1757"/>
      <c r="AS640" s="1757"/>
      <c r="AT640" s="1757"/>
      <c r="AU640" s="1757"/>
      <c r="AV640" s="1757"/>
      <c r="AW640" s="1757"/>
      <c r="AX640" s="1757"/>
      <c r="AY640" s="1757"/>
      <c r="AZ640" s="1757"/>
      <c r="BA640" s="1757"/>
      <c r="BB640" s="1757"/>
      <c r="BC640" s="1757"/>
      <c r="BD640" s="1757"/>
      <c r="BE640" s="1757"/>
      <c r="BF640" s="1757"/>
      <c r="BG640" s="1757"/>
      <c r="BH640" s="1757"/>
      <c r="BI640" s="1757"/>
      <c r="BJ640" s="1757"/>
      <c r="BK640" s="1757"/>
      <c r="BL640" s="1757"/>
      <c r="BM640" s="1757"/>
      <c r="BN640" s="1757"/>
      <c r="BO640" s="1757"/>
      <c r="BP640" s="1757"/>
      <c r="BQ640" s="1757"/>
      <c r="BR640" s="1757"/>
      <c r="BS640" s="1757"/>
      <c r="BT640" s="1757"/>
      <c r="BU640" s="1757"/>
      <c r="BV640" s="1757"/>
      <c r="BW640" s="1757"/>
      <c r="BX640" s="1757"/>
      <c r="BY640" s="1757"/>
      <c r="BZ640" s="1757"/>
      <c r="CA640" s="1757"/>
      <c r="CB640" s="1757"/>
      <c r="CC640" s="1757"/>
      <c r="CD640" s="1757"/>
      <c r="CE640" s="1757"/>
      <c r="CF640" s="1757"/>
      <c r="CG640" s="1757"/>
      <c r="CH640" s="1757"/>
      <c r="CI640" s="1757"/>
      <c r="CJ640" s="1757"/>
      <c r="CK640" s="1757"/>
      <c r="CL640" s="1757"/>
      <c r="CM640" s="1757"/>
      <c r="CN640" s="1757"/>
      <c r="CO640" s="1757"/>
      <c r="CP640" s="1757"/>
      <c r="CQ640" s="1757"/>
      <c r="CR640" s="1757"/>
      <c r="CS640" s="1757"/>
      <c r="CT640" s="1757"/>
      <c r="CU640" s="1757"/>
      <c r="CV640" s="1757"/>
      <c r="CW640" s="1757"/>
      <c r="CX640" s="1757"/>
      <c r="CY640" s="1757"/>
      <c r="CZ640" s="1757"/>
      <c r="DA640" s="1757"/>
      <c r="DB640" s="1757"/>
      <c r="DC640" s="1757"/>
      <c r="DD640" s="1757"/>
      <c r="DE640" s="1757"/>
      <c r="DF640" s="1757"/>
      <c r="DG640" s="1757"/>
      <c r="DH640" s="1757"/>
      <c r="DI640" s="1757"/>
      <c r="DJ640" s="1757"/>
      <c r="DK640" s="1757"/>
      <c r="DL640" s="1757"/>
      <c r="DM640" s="1757"/>
      <c r="DN640" s="1757"/>
      <c r="DO640" s="1757"/>
      <c r="DP640" s="1757"/>
      <c r="DQ640" s="1757"/>
      <c r="DR640" s="1757"/>
      <c r="DS640" s="1757"/>
      <c r="DT640" s="1757"/>
      <c r="DU640" s="1757"/>
      <c r="DV640" s="1757"/>
      <c r="DW640" s="1757"/>
      <c r="DX640" s="1757"/>
      <c r="DY640" s="1757"/>
      <c r="DZ640" s="1757"/>
      <c r="EA640" s="1757"/>
      <c r="EB640" s="1757"/>
      <c r="EC640" s="1757"/>
      <c r="ED640" s="1757"/>
      <c r="EE640" s="1757"/>
      <c r="EF640" s="1757"/>
      <c r="EG640" s="1757"/>
      <c r="EH640" s="1757"/>
      <c r="EI640" s="1757"/>
      <c r="EJ640" s="1757"/>
      <c r="EK640" s="1757"/>
      <c r="EL640" s="1757"/>
      <c r="EM640" s="1757"/>
      <c r="EN640" s="1757"/>
      <c r="EO640" s="1757"/>
      <c r="EP640" s="1757"/>
      <c r="EQ640" s="1757"/>
      <c r="ER640" s="1757"/>
      <c r="ES640" s="1757"/>
      <c r="ET640" s="1757"/>
      <c r="EU640" s="1757"/>
      <c r="EV640" s="1757"/>
      <c r="EW640" s="1757"/>
      <c r="EX640" s="1757"/>
      <c r="EY640" s="1757"/>
      <c r="EZ640" s="1757"/>
      <c r="FA640" s="1757"/>
      <c r="FB640" s="1757"/>
      <c r="FC640" s="1757"/>
      <c r="FD640" s="1757"/>
      <c r="FE640" s="1757"/>
      <c r="FF640" s="1757"/>
      <c r="FG640" s="1757"/>
      <c r="FH640" s="1757"/>
      <c r="FI640" s="1757"/>
    </row>
    <row r="641" spans="1:165">
      <c r="A641" s="1757"/>
      <c r="B641" s="1757"/>
      <c r="C641" s="1757"/>
      <c r="D641" s="1757"/>
      <c r="E641" s="1757"/>
      <c r="F641" s="1757"/>
      <c r="G641" s="1757"/>
      <c r="H641" s="1757"/>
      <c r="I641" s="1757"/>
      <c r="J641" s="1757"/>
      <c r="K641" s="1757"/>
      <c r="L641" s="1757"/>
      <c r="M641" s="1757"/>
      <c r="N641" s="1757"/>
      <c r="O641" s="1757"/>
      <c r="P641" s="1757"/>
      <c r="Q641" s="1757"/>
      <c r="R641" s="1757"/>
      <c r="S641" s="1757"/>
      <c r="T641" s="1757"/>
      <c r="U641" s="1757"/>
      <c r="V641" s="1757"/>
      <c r="W641" s="1757"/>
      <c r="X641" s="1757"/>
      <c r="Y641" s="1757"/>
      <c r="Z641" s="1757"/>
      <c r="AA641" s="1757"/>
      <c r="AB641" s="1757"/>
      <c r="AC641" s="1757"/>
      <c r="AD641" s="1757"/>
      <c r="AE641" s="1757"/>
      <c r="AF641" s="1757"/>
      <c r="AG641" s="1757"/>
      <c r="AH641" s="1757"/>
      <c r="AI641" s="1757"/>
      <c r="AJ641" s="1757"/>
      <c r="AK641" s="1757"/>
      <c r="AL641" s="1757"/>
      <c r="AM641" s="1757"/>
      <c r="AN641" s="1757"/>
      <c r="AO641" s="1757"/>
      <c r="AP641" s="1757"/>
      <c r="AQ641" s="1757"/>
      <c r="AR641" s="1757"/>
      <c r="AS641" s="1757"/>
      <c r="AT641" s="1757"/>
      <c r="AU641" s="1757"/>
      <c r="AV641" s="1757"/>
      <c r="AW641" s="1757"/>
      <c r="AX641" s="1757"/>
      <c r="AY641" s="1757"/>
      <c r="AZ641" s="1757"/>
      <c r="BA641" s="1757"/>
      <c r="BB641" s="1757"/>
      <c r="BC641" s="1757"/>
      <c r="BD641" s="1757"/>
      <c r="BE641" s="1757"/>
      <c r="BF641" s="1757"/>
      <c r="BG641" s="1757"/>
      <c r="BH641" s="1757"/>
      <c r="BI641" s="1757"/>
      <c r="BJ641" s="1757"/>
      <c r="BK641" s="1757"/>
      <c r="BL641" s="1757"/>
      <c r="BM641" s="1757"/>
      <c r="BN641" s="1757"/>
      <c r="BO641" s="1757"/>
      <c r="BP641" s="1757"/>
      <c r="BQ641" s="1757"/>
      <c r="BR641" s="1757"/>
      <c r="BS641" s="1757"/>
      <c r="BT641" s="1757"/>
      <c r="BU641" s="1757"/>
      <c r="BV641" s="1757"/>
      <c r="BW641" s="1757"/>
      <c r="BX641" s="1757"/>
      <c r="BY641" s="1757"/>
      <c r="BZ641" s="1757"/>
      <c r="CA641" s="1757"/>
      <c r="CB641" s="1757"/>
      <c r="CC641" s="1757"/>
      <c r="CD641" s="1757"/>
      <c r="CE641" s="1757"/>
      <c r="CF641" s="1757"/>
      <c r="CG641" s="1757"/>
      <c r="CH641" s="1757"/>
      <c r="CI641" s="1757"/>
      <c r="CJ641" s="1757"/>
      <c r="CK641" s="1757"/>
      <c r="CL641" s="1757"/>
      <c r="CM641" s="1757"/>
      <c r="CN641" s="1757"/>
      <c r="CO641" s="1757"/>
      <c r="CP641" s="1757"/>
      <c r="CQ641" s="1757"/>
      <c r="CR641" s="1757"/>
      <c r="CS641" s="1757"/>
      <c r="CT641" s="1757"/>
      <c r="CU641" s="1757"/>
      <c r="CV641" s="1757"/>
      <c r="CW641" s="1757"/>
      <c r="CX641" s="1757"/>
      <c r="CY641" s="1757"/>
      <c r="CZ641" s="1757"/>
      <c r="DA641" s="1757"/>
      <c r="DB641" s="1757"/>
      <c r="DC641" s="1757"/>
      <c r="DD641" s="1757"/>
      <c r="DE641" s="1757"/>
      <c r="DF641" s="1757"/>
      <c r="DG641" s="1757"/>
      <c r="DH641" s="1757"/>
      <c r="DI641" s="1757"/>
      <c r="DJ641" s="1757"/>
      <c r="DK641" s="1757"/>
      <c r="DL641" s="1757"/>
      <c r="DM641" s="1757"/>
      <c r="DN641" s="1757"/>
      <c r="DO641" s="1757"/>
      <c r="DP641" s="1757"/>
      <c r="DQ641" s="1757"/>
      <c r="DR641" s="1757"/>
      <c r="DS641" s="1757"/>
      <c r="DT641" s="1757"/>
      <c r="DU641" s="1757"/>
      <c r="DV641" s="1757"/>
      <c r="DW641" s="1757"/>
      <c r="DX641" s="1757"/>
      <c r="DY641" s="1757"/>
      <c r="DZ641" s="1757"/>
      <c r="EA641" s="1757"/>
      <c r="EB641" s="1757"/>
      <c r="EC641" s="1757"/>
      <c r="ED641" s="1757"/>
      <c r="EE641" s="1757"/>
      <c r="EF641" s="1757"/>
      <c r="EG641" s="1757"/>
      <c r="EH641" s="1757"/>
      <c r="EI641" s="1757"/>
      <c r="EJ641" s="1757"/>
      <c r="EK641" s="1757"/>
      <c r="EL641" s="1757"/>
      <c r="EM641" s="1757"/>
      <c r="EN641" s="1757"/>
      <c r="EO641" s="1757"/>
      <c r="EP641" s="1757"/>
      <c r="EQ641" s="1757"/>
      <c r="ER641" s="1757"/>
      <c r="ES641" s="1757"/>
      <c r="ET641" s="1757"/>
      <c r="EU641" s="1757"/>
      <c r="EV641" s="1757"/>
      <c r="EW641" s="1757"/>
      <c r="EX641" s="1757"/>
      <c r="EY641" s="1757"/>
      <c r="EZ641" s="1757"/>
      <c r="FA641" s="1757"/>
      <c r="FB641" s="1757"/>
      <c r="FC641" s="1757"/>
      <c r="FD641" s="1757"/>
      <c r="FE641" s="1757"/>
      <c r="FF641" s="1757"/>
      <c r="FG641" s="1757"/>
      <c r="FH641" s="1757"/>
      <c r="FI641" s="1757"/>
    </row>
    <row r="642" spans="1:165">
      <c r="A642" s="1757"/>
      <c r="B642" s="1757"/>
      <c r="C642" s="1757"/>
      <c r="D642" s="1757"/>
      <c r="E642" s="1757"/>
      <c r="F642" s="1757"/>
      <c r="G642" s="1757"/>
      <c r="H642" s="1757"/>
      <c r="I642" s="1757"/>
      <c r="J642" s="1757"/>
      <c r="K642" s="1757"/>
      <c r="L642" s="1757"/>
      <c r="M642" s="1757"/>
      <c r="N642" s="1757"/>
      <c r="O642" s="1757"/>
      <c r="P642" s="1757"/>
      <c r="Q642" s="1757"/>
      <c r="R642" s="1757"/>
      <c r="S642" s="1757"/>
      <c r="T642" s="1757"/>
      <c r="U642" s="1757"/>
      <c r="V642" s="1757"/>
      <c r="W642" s="1757"/>
      <c r="X642" s="1757"/>
      <c r="Y642" s="1757"/>
      <c r="Z642" s="1757"/>
      <c r="AA642" s="1757"/>
      <c r="AB642" s="1757"/>
      <c r="AC642" s="1757"/>
      <c r="AD642" s="1757"/>
      <c r="AE642" s="1757"/>
      <c r="AF642" s="1757"/>
      <c r="AG642" s="1757"/>
      <c r="AH642" s="1757"/>
      <c r="AI642" s="1757"/>
      <c r="AJ642" s="1757"/>
      <c r="AK642" s="1757"/>
      <c r="AL642" s="1757"/>
      <c r="AM642" s="1757"/>
      <c r="AN642" s="1757"/>
      <c r="AO642" s="1757"/>
      <c r="AP642" s="1757"/>
      <c r="AQ642" s="1757"/>
      <c r="AR642" s="1757"/>
      <c r="AS642" s="1757"/>
      <c r="AT642" s="1757"/>
      <c r="AU642" s="1757"/>
      <c r="AV642" s="1757"/>
      <c r="AW642" s="1757"/>
      <c r="AX642" s="1757"/>
      <c r="AY642" s="1757"/>
      <c r="AZ642" s="1757"/>
      <c r="BA642" s="1757"/>
      <c r="BB642" s="1757"/>
      <c r="BC642" s="1757"/>
      <c r="BD642" s="1757"/>
      <c r="BE642" s="1757"/>
      <c r="BF642" s="1757"/>
      <c r="BG642" s="1757"/>
      <c r="BH642" s="1757"/>
      <c r="BI642" s="1757"/>
      <c r="BJ642" s="1757"/>
      <c r="BK642" s="1757"/>
      <c r="BL642" s="1757"/>
      <c r="BM642" s="1757"/>
      <c r="BN642" s="1757"/>
      <c r="BO642" s="1757"/>
      <c r="BP642" s="1757"/>
      <c r="BQ642" s="1757"/>
      <c r="BR642" s="1757"/>
      <c r="BS642" s="1757"/>
      <c r="BT642" s="1757"/>
      <c r="BU642" s="1757"/>
      <c r="BV642" s="1757"/>
      <c r="BW642" s="1757"/>
      <c r="BX642" s="1757"/>
      <c r="BY642" s="1757"/>
      <c r="BZ642" s="1757"/>
      <c r="CA642" s="1757"/>
      <c r="CB642" s="1757"/>
      <c r="CC642" s="1757"/>
      <c r="CD642" s="1757"/>
      <c r="CE642" s="1757"/>
      <c r="CF642" s="1757"/>
      <c r="CG642" s="1757"/>
      <c r="CH642" s="1757"/>
      <c r="CI642" s="1757"/>
      <c r="CJ642" s="1757"/>
      <c r="CK642" s="1757"/>
      <c r="CL642" s="1757"/>
      <c r="CM642" s="1757"/>
      <c r="CN642" s="1757"/>
      <c r="CO642" s="1757"/>
      <c r="CP642" s="1757"/>
      <c r="CQ642" s="1757"/>
      <c r="CR642" s="1757"/>
      <c r="CS642" s="1757"/>
      <c r="CT642" s="1757"/>
      <c r="CU642" s="1757"/>
      <c r="CV642" s="1757"/>
      <c r="CW642" s="1757"/>
      <c r="CX642" s="1757"/>
      <c r="CY642" s="1757"/>
      <c r="CZ642" s="1757"/>
      <c r="DA642" s="1757"/>
      <c r="DB642" s="1757"/>
      <c r="DC642" s="1757"/>
      <c r="DD642" s="1757"/>
      <c r="DE642" s="1757"/>
      <c r="DF642" s="1757"/>
      <c r="DG642" s="1757"/>
      <c r="DH642" s="1757"/>
      <c r="DI642" s="1757"/>
      <c r="DJ642" s="1757"/>
      <c r="DK642" s="1757"/>
      <c r="DL642" s="1757"/>
      <c r="DM642" s="1757"/>
      <c r="DN642" s="1757"/>
      <c r="DO642" s="1757"/>
      <c r="DP642" s="1757"/>
      <c r="DQ642" s="1757"/>
      <c r="DR642" s="1757"/>
      <c r="DS642" s="1757"/>
      <c r="DT642" s="1757"/>
      <c r="DU642" s="1757"/>
      <c r="DV642" s="1757"/>
      <c r="DW642" s="1757"/>
      <c r="DX642" s="1757"/>
      <c r="DY642" s="1757"/>
      <c r="DZ642" s="1757"/>
      <c r="EA642" s="1757"/>
      <c r="EB642" s="1757"/>
      <c r="EC642" s="1757"/>
      <c r="ED642" s="1757"/>
      <c r="EE642" s="1757"/>
      <c r="EF642" s="1757"/>
      <c r="EG642" s="1757"/>
      <c r="EH642" s="1757"/>
      <c r="EI642" s="1757"/>
      <c r="EJ642" s="1757"/>
      <c r="EK642" s="1757"/>
      <c r="EL642" s="1757"/>
      <c r="EM642" s="1757"/>
      <c r="EN642" s="1757"/>
      <c r="EO642" s="1757"/>
      <c r="EP642" s="1757"/>
      <c r="EQ642" s="1757"/>
      <c r="ER642" s="1757"/>
      <c r="ES642" s="1757"/>
      <c r="ET642" s="1757"/>
      <c r="EU642" s="1757"/>
      <c r="EV642" s="1757"/>
      <c r="EW642" s="1757"/>
      <c r="EX642" s="1757"/>
      <c r="EY642" s="1757"/>
      <c r="EZ642" s="1757"/>
      <c r="FA642" s="1757"/>
      <c r="FB642" s="1757"/>
      <c r="FC642" s="1757"/>
      <c r="FD642" s="1757"/>
      <c r="FE642" s="1757"/>
      <c r="FF642" s="1757"/>
      <c r="FG642" s="1757"/>
      <c r="FH642" s="1757"/>
      <c r="FI642" s="1757"/>
    </row>
    <row r="643" spans="1:165">
      <c r="A643" s="1757"/>
      <c r="B643" s="1757"/>
      <c r="C643" s="1757"/>
      <c r="D643" s="1757"/>
      <c r="E643" s="1757"/>
      <c r="F643" s="1757"/>
      <c r="G643" s="1757"/>
      <c r="H643" s="1757"/>
      <c r="I643" s="1757"/>
      <c r="J643" s="1757"/>
      <c r="K643" s="1757"/>
      <c r="L643" s="1757"/>
      <c r="M643" s="1757"/>
      <c r="N643" s="1757"/>
      <c r="O643" s="1757"/>
      <c r="P643" s="1757"/>
      <c r="Q643" s="1757"/>
      <c r="R643" s="1757"/>
      <c r="S643" s="1757"/>
      <c r="T643" s="1757"/>
      <c r="U643" s="1757"/>
      <c r="V643" s="1757"/>
      <c r="W643" s="1757"/>
      <c r="X643" s="1757"/>
      <c r="Y643" s="1757"/>
      <c r="Z643" s="1757"/>
      <c r="AA643" s="1757"/>
      <c r="AB643" s="1757"/>
      <c r="AC643" s="1757"/>
      <c r="AD643" s="1757"/>
      <c r="AE643" s="1757"/>
      <c r="AF643" s="1757"/>
      <c r="AG643" s="1757"/>
      <c r="AH643" s="1757"/>
      <c r="AI643" s="1757"/>
      <c r="AJ643" s="1757"/>
      <c r="AK643" s="1757"/>
      <c r="AL643" s="1757"/>
      <c r="AM643" s="1757"/>
      <c r="AN643" s="1757"/>
      <c r="AO643" s="1757"/>
      <c r="AP643" s="1757"/>
      <c r="AQ643" s="1757"/>
      <c r="AR643" s="1757"/>
      <c r="AS643" s="1757"/>
      <c r="AT643" s="1757"/>
      <c r="AU643" s="1757"/>
      <c r="AV643" s="1757"/>
      <c r="AW643" s="1757"/>
      <c r="AX643" s="1757"/>
      <c r="AY643" s="1757"/>
      <c r="AZ643" s="1757"/>
      <c r="BA643" s="1757"/>
      <c r="BB643" s="1757"/>
      <c r="BC643" s="1757"/>
      <c r="BD643" s="1757"/>
      <c r="BE643" s="1757"/>
      <c r="BF643" s="1757"/>
      <c r="BG643" s="1757"/>
      <c r="BH643" s="1757"/>
      <c r="BI643" s="1757"/>
      <c r="BJ643" s="1757"/>
      <c r="BK643" s="1757"/>
      <c r="BL643" s="1757"/>
      <c r="BM643" s="1757"/>
      <c r="BN643" s="1757"/>
      <c r="BO643" s="1757"/>
      <c r="BP643" s="1757"/>
      <c r="BQ643" s="1757"/>
      <c r="BR643" s="1757"/>
      <c r="BS643" s="1757"/>
      <c r="BT643" s="1757"/>
      <c r="BU643" s="1757"/>
      <c r="BV643" s="1757"/>
      <c r="BW643" s="1757"/>
      <c r="BX643" s="1757"/>
      <c r="BY643" s="1757"/>
      <c r="BZ643" s="1757"/>
      <c r="CA643" s="1757"/>
      <c r="CB643" s="1757"/>
      <c r="CC643" s="1757"/>
      <c r="CD643" s="1757"/>
      <c r="CE643" s="1757"/>
      <c r="CF643" s="1757"/>
      <c r="CG643" s="1757"/>
      <c r="CH643" s="1757"/>
      <c r="CI643" s="1757"/>
      <c r="CJ643" s="1757"/>
      <c r="CK643" s="1757"/>
      <c r="CL643" s="1757"/>
      <c r="CM643" s="1757"/>
      <c r="CN643" s="1757"/>
      <c r="CO643" s="1757"/>
      <c r="CP643" s="1757"/>
      <c r="CQ643" s="1757"/>
      <c r="CR643" s="1757"/>
      <c r="CS643" s="1757"/>
      <c r="CT643" s="1757"/>
      <c r="CU643" s="1757"/>
      <c r="CV643" s="1757"/>
      <c r="CW643" s="1757"/>
      <c r="CX643" s="1757"/>
      <c r="CY643" s="1757"/>
      <c r="CZ643" s="1757"/>
      <c r="DA643" s="1757"/>
      <c r="DB643" s="1757"/>
      <c r="DC643" s="1757"/>
      <c r="DD643" s="1757"/>
      <c r="DE643" s="1757"/>
      <c r="DF643" s="1757"/>
      <c r="DG643" s="1757"/>
      <c r="DH643" s="1757"/>
      <c r="DI643" s="1757"/>
      <c r="DJ643" s="1757"/>
      <c r="DK643" s="1757"/>
      <c r="DL643" s="1757"/>
      <c r="DM643" s="1757"/>
      <c r="DN643" s="1757"/>
      <c r="DO643" s="1757"/>
      <c r="DP643" s="1757"/>
      <c r="DQ643" s="1757"/>
      <c r="DR643" s="1757"/>
      <c r="DS643" s="1757"/>
      <c r="DT643" s="1757"/>
      <c r="DU643" s="1757"/>
      <c r="DV643" s="1757"/>
      <c r="DW643" s="1757"/>
      <c r="DX643" s="1757"/>
      <c r="DY643" s="1757"/>
      <c r="DZ643" s="1757"/>
      <c r="EA643" s="1757"/>
      <c r="EB643" s="1757"/>
      <c r="EC643" s="1757"/>
      <c r="ED643" s="1757"/>
      <c r="EE643" s="1757"/>
      <c r="EF643" s="1757"/>
      <c r="EG643" s="1757"/>
      <c r="EH643" s="1757"/>
      <c r="EI643" s="1757"/>
      <c r="EJ643" s="1757"/>
      <c r="EK643" s="1757"/>
      <c r="EL643" s="1757"/>
      <c r="EM643" s="1757"/>
      <c r="EN643" s="1757"/>
      <c r="EO643" s="1757"/>
      <c r="EP643" s="1757"/>
      <c r="EQ643" s="1757"/>
      <c r="ER643" s="1757"/>
      <c r="ES643" s="1757"/>
      <c r="ET643" s="1757"/>
      <c r="EU643" s="1757"/>
      <c r="EV643" s="1757"/>
      <c r="EW643" s="1757"/>
      <c r="EX643" s="1757"/>
      <c r="EY643" s="1757"/>
      <c r="EZ643" s="1757"/>
      <c r="FA643" s="1757"/>
      <c r="FB643" s="1757"/>
      <c r="FC643" s="1757"/>
      <c r="FD643" s="1757"/>
      <c r="FE643" s="1757"/>
      <c r="FF643" s="1757"/>
      <c r="FG643" s="1757"/>
      <c r="FH643" s="1757"/>
      <c r="FI643" s="1757"/>
    </row>
    <row r="644" spans="1:165">
      <c r="A644" s="1757"/>
      <c r="B644" s="1757"/>
      <c r="C644" s="1757"/>
      <c r="D644" s="1757"/>
      <c r="E644" s="1757"/>
      <c r="F644" s="1757"/>
      <c r="G644" s="1757"/>
      <c r="H644" s="1757"/>
      <c r="I644" s="1757"/>
      <c r="J644" s="1757"/>
      <c r="K644" s="1757"/>
      <c r="L644" s="1757"/>
      <c r="M644" s="1757"/>
      <c r="N644" s="1757"/>
      <c r="O644" s="1757"/>
      <c r="P644" s="1757"/>
      <c r="Q644" s="1757"/>
      <c r="R644" s="1757"/>
      <c r="S644" s="1757"/>
      <c r="T644" s="1757"/>
      <c r="U644" s="1757"/>
      <c r="V644" s="1757"/>
      <c r="W644" s="1757"/>
      <c r="X644" s="1757"/>
      <c r="Y644" s="1757"/>
      <c r="Z644" s="1757"/>
      <c r="AA644" s="1757"/>
      <c r="AB644" s="1757"/>
      <c r="AC644" s="1757"/>
      <c r="AD644" s="1757"/>
      <c r="AE644" s="1757"/>
      <c r="AF644" s="1757"/>
      <c r="AG644" s="1757"/>
      <c r="AH644" s="1757"/>
      <c r="AI644" s="1757"/>
      <c r="AJ644" s="1757"/>
      <c r="AK644" s="1757"/>
      <c r="AL644" s="1757"/>
      <c r="AM644" s="1757"/>
      <c r="AN644" s="1757"/>
      <c r="AO644" s="1757"/>
      <c r="AP644" s="1757"/>
      <c r="AQ644" s="1757"/>
      <c r="AR644" s="1757"/>
      <c r="AS644" s="1757"/>
      <c r="AT644" s="1757"/>
      <c r="AU644" s="1757"/>
      <c r="AV644" s="1757"/>
      <c r="AW644" s="1757"/>
      <c r="AX644" s="1757"/>
      <c r="AY644" s="1757"/>
      <c r="AZ644" s="1757"/>
      <c r="BA644" s="1757"/>
      <c r="BB644" s="1757"/>
      <c r="BC644" s="1757"/>
      <c r="BD644" s="1757"/>
      <c r="BE644" s="1757"/>
      <c r="BF644" s="1757"/>
      <c r="BG644" s="1757"/>
      <c r="BH644" s="1757"/>
      <c r="BI644" s="1757"/>
      <c r="BJ644" s="1757"/>
      <c r="BK644" s="1757"/>
      <c r="BL644" s="1757"/>
      <c r="BM644" s="1757"/>
      <c r="BN644" s="1757"/>
      <c r="BO644" s="1757"/>
      <c r="BP644" s="1757"/>
      <c r="BQ644" s="1757"/>
      <c r="BR644" s="1757"/>
      <c r="BS644" s="1757"/>
      <c r="BT644" s="1757"/>
      <c r="BU644" s="1757"/>
      <c r="BV644" s="1757"/>
      <c r="BW644" s="1757"/>
      <c r="BX644" s="1757"/>
      <c r="BY644" s="1757"/>
      <c r="BZ644" s="1757"/>
      <c r="CA644" s="1757"/>
      <c r="CB644" s="1757"/>
      <c r="CC644" s="1757"/>
      <c r="CD644" s="1757"/>
      <c r="CE644" s="1757"/>
      <c r="CF644" s="1757"/>
      <c r="CG644" s="1757"/>
      <c r="CH644" s="1757"/>
      <c r="CI644" s="1757"/>
      <c r="CJ644" s="1757"/>
      <c r="CK644" s="1757"/>
      <c r="CL644" s="1757"/>
      <c r="CM644" s="1757"/>
      <c r="CN644" s="1757"/>
      <c r="CO644" s="1757"/>
      <c r="CP644" s="1757"/>
      <c r="CQ644" s="1757"/>
      <c r="CR644" s="1757"/>
      <c r="CS644" s="1757"/>
      <c r="CT644" s="1757"/>
      <c r="CU644" s="1757"/>
      <c r="CV644" s="1757"/>
      <c r="CW644" s="1757"/>
      <c r="CX644" s="1757"/>
      <c r="CY644" s="1757"/>
      <c r="CZ644" s="1757"/>
      <c r="DA644" s="1757"/>
      <c r="DB644" s="1757"/>
      <c r="DC644" s="1757"/>
      <c r="DD644" s="1757"/>
      <c r="DE644" s="1757"/>
      <c r="DF644" s="1757"/>
      <c r="DG644" s="1757"/>
      <c r="DH644" s="1757"/>
      <c r="DI644" s="1757"/>
      <c r="DJ644" s="1757"/>
      <c r="DK644" s="1757"/>
      <c r="DL644" s="1757"/>
      <c r="DM644" s="1757"/>
      <c r="DN644" s="1757"/>
      <c r="DO644" s="1757"/>
      <c r="DP644" s="1757"/>
      <c r="DQ644" s="1757"/>
      <c r="DR644" s="1757"/>
      <c r="DS644" s="1757"/>
      <c r="DT644" s="1757"/>
      <c r="DU644" s="1757"/>
      <c r="DV644" s="1757"/>
      <c r="DW644" s="1757"/>
      <c r="DX644" s="1757"/>
      <c r="DY644" s="1757"/>
      <c r="DZ644" s="1757"/>
      <c r="EA644" s="1757"/>
      <c r="EB644" s="1757"/>
      <c r="EC644" s="1757"/>
      <c r="ED644" s="1757"/>
      <c r="EE644" s="1757"/>
      <c r="EF644" s="1757"/>
      <c r="EG644" s="1757"/>
      <c r="EH644" s="1757"/>
      <c r="EI644" s="1757"/>
      <c r="EJ644" s="1757"/>
      <c r="EK644" s="1757"/>
      <c r="EL644" s="1757"/>
      <c r="EM644" s="1757"/>
      <c r="EN644" s="1757"/>
      <c r="EO644" s="1757"/>
      <c r="EP644" s="1757"/>
      <c r="EQ644" s="1757"/>
      <c r="ER644" s="1757"/>
      <c r="ES644" s="1757"/>
      <c r="ET644" s="1757"/>
      <c r="EU644" s="1757"/>
      <c r="EV644" s="1757"/>
      <c r="EW644" s="1757"/>
      <c r="EX644" s="1757"/>
      <c r="EY644" s="1757"/>
      <c r="EZ644" s="1757"/>
      <c r="FA644" s="1757"/>
      <c r="FB644" s="1757"/>
      <c r="FC644" s="1757"/>
      <c r="FD644" s="1757"/>
      <c r="FE644" s="1757"/>
      <c r="FF644" s="1757"/>
      <c r="FG644" s="1757"/>
      <c r="FH644" s="1757"/>
      <c r="FI644" s="1757"/>
    </row>
    <row r="645" spans="1:165">
      <c r="A645" s="1757"/>
      <c r="B645" s="1757"/>
      <c r="C645" s="1757"/>
      <c r="D645" s="1757"/>
      <c r="E645" s="1757"/>
      <c r="F645" s="1757"/>
      <c r="G645" s="1757"/>
      <c r="H645" s="1757"/>
      <c r="I645" s="1757"/>
      <c r="J645" s="1757"/>
      <c r="K645" s="1757"/>
      <c r="L645" s="1757"/>
      <c r="M645" s="1757"/>
      <c r="N645" s="1757"/>
      <c r="O645" s="1757"/>
      <c r="P645" s="1757"/>
      <c r="Q645" s="1757"/>
      <c r="R645" s="1757"/>
      <c r="S645" s="1757"/>
      <c r="T645" s="1757"/>
      <c r="U645" s="1757"/>
      <c r="V645" s="1757"/>
      <c r="W645" s="1757"/>
      <c r="X645" s="1757"/>
      <c r="Y645" s="1757"/>
      <c r="Z645" s="1757"/>
      <c r="AA645" s="1757"/>
      <c r="AB645" s="1757"/>
      <c r="AC645" s="1757"/>
      <c r="AD645" s="1757"/>
      <c r="AE645" s="1757"/>
      <c r="AF645" s="1757"/>
      <c r="AG645" s="1757"/>
      <c r="AH645" s="1757"/>
      <c r="AI645" s="1757"/>
      <c r="AJ645" s="1757"/>
      <c r="AK645" s="1757"/>
      <c r="AL645" s="1757"/>
      <c r="AM645" s="1757"/>
      <c r="AN645" s="1757"/>
      <c r="AO645" s="1757"/>
      <c r="AP645" s="1757"/>
      <c r="AQ645" s="1757"/>
      <c r="AR645" s="1757"/>
      <c r="AS645" s="1757"/>
      <c r="AT645" s="1757"/>
      <c r="AU645" s="1757"/>
      <c r="AV645" s="1757"/>
      <c r="AW645" s="1757"/>
      <c r="AX645" s="1757"/>
      <c r="AY645" s="1757"/>
      <c r="AZ645" s="1757"/>
      <c r="BA645" s="1757"/>
      <c r="BB645" s="1757"/>
      <c r="BC645" s="1757"/>
      <c r="BD645" s="1757"/>
      <c r="BE645" s="1757"/>
      <c r="BF645" s="1757"/>
      <c r="BG645" s="1757"/>
      <c r="BH645" s="1757"/>
      <c r="BI645" s="1757"/>
      <c r="BJ645" s="1757"/>
      <c r="BK645" s="1757"/>
      <c r="BL645" s="1757"/>
      <c r="BM645" s="1757"/>
      <c r="BN645" s="1757"/>
      <c r="BO645" s="1757"/>
      <c r="BP645" s="1757"/>
      <c r="BQ645" s="1757"/>
      <c r="BR645" s="1757"/>
      <c r="BS645" s="1757"/>
      <c r="BT645" s="1757"/>
      <c r="BU645" s="1757"/>
      <c r="BV645" s="1757"/>
      <c r="BW645" s="1757"/>
      <c r="BX645" s="1757"/>
      <c r="BY645" s="1757"/>
      <c r="BZ645" s="1757"/>
      <c r="CA645" s="1757"/>
      <c r="CB645" s="1757"/>
      <c r="CC645" s="1757"/>
      <c r="CD645" s="1757"/>
      <c r="CE645" s="1757"/>
      <c r="CF645" s="1757"/>
      <c r="CG645" s="1757"/>
      <c r="CH645" s="1757"/>
      <c r="CI645" s="1757"/>
      <c r="CJ645" s="1757"/>
      <c r="CK645" s="1757"/>
      <c r="CL645" s="1757"/>
      <c r="CM645" s="1757"/>
      <c r="CN645" s="1757"/>
      <c r="CO645" s="1757"/>
      <c r="CP645" s="1757"/>
      <c r="CQ645" s="1757"/>
      <c r="CR645" s="1757"/>
      <c r="CS645" s="1757"/>
      <c r="CT645" s="1757"/>
      <c r="CU645" s="1757"/>
      <c r="CV645" s="1757"/>
      <c r="CW645" s="1757"/>
      <c r="CX645" s="1757"/>
      <c r="CY645" s="1757"/>
      <c r="CZ645" s="1757"/>
      <c r="DA645" s="1757"/>
      <c r="DB645" s="1757"/>
      <c r="DC645" s="1757"/>
      <c r="DD645" s="1757"/>
      <c r="DE645" s="1757"/>
      <c r="DF645" s="1757"/>
      <c r="DG645" s="1757"/>
      <c r="DH645" s="1757"/>
      <c r="DI645" s="1757"/>
      <c r="DJ645" s="1757"/>
      <c r="DK645" s="1757"/>
      <c r="DL645" s="1757"/>
      <c r="DM645" s="1757"/>
      <c r="DN645" s="1757"/>
      <c r="DO645" s="1757"/>
      <c r="DP645" s="1757"/>
      <c r="DQ645" s="1757"/>
      <c r="DR645" s="1757"/>
      <c r="DS645" s="1757"/>
      <c r="DT645" s="1757"/>
      <c r="DU645" s="1757"/>
      <c r="DV645" s="1757"/>
      <c r="DW645" s="1757"/>
      <c r="DX645" s="1757"/>
      <c r="DY645" s="1757"/>
      <c r="DZ645" s="1757"/>
      <c r="EA645" s="1757"/>
      <c r="EB645" s="1757"/>
      <c r="EC645" s="1757"/>
      <c r="ED645" s="1757"/>
      <c r="EE645" s="1757"/>
      <c r="EF645" s="1757"/>
      <c r="EG645" s="1757"/>
      <c r="EH645" s="1757"/>
      <c r="EI645" s="1757"/>
      <c r="EJ645" s="1757"/>
      <c r="EK645" s="1757"/>
      <c r="EL645" s="1757"/>
      <c r="EM645" s="1757"/>
      <c r="EN645" s="1757"/>
      <c r="EO645" s="1757"/>
      <c r="EP645" s="1757"/>
      <c r="EQ645" s="1757"/>
      <c r="ER645" s="1757"/>
      <c r="ES645" s="1757"/>
      <c r="ET645" s="1757"/>
      <c r="EU645" s="1757"/>
      <c r="EV645" s="1757"/>
      <c r="EW645" s="1757"/>
      <c r="EX645" s="1757"/>
      <c r="EY645" s="1757"/>
      <c r="EZ645" s="1757"/>
      <c r="FA645" s="1757"/>
      <c r="FB645" s="1757"/>
      <c r="FC645" s="1757"/>
      <c r="FD645" s="1757"/>
      <c r="FE645" s="1757"/>
      <c r="FF645" s="1757"/>
      <c r="FG645" s="1757"/>
      <c r="FH645" s="1757"/>
      <c r="FI645" s="1757"/>
    </row>
    <row r="646" spans="1:165">
      <c r="A646" s="1757"/>
      <c r="B646" s="1757"/>
      <c r="C646" s="1757"/>
      <c r="D646" s="1757"/>
      <c r="E646" s="1757"/>
      <c r="F646" s="1757"/>
      <c r="G646" s="1757"/>
      <c r="H646" s="1757"/>
      <c r="I646" s="1757"/>
      <c r="J646" s="1757"/>
      <c r="K646" s="1757"/>
      <c r="L646" s="1757"/>
      <c r="M646" s="1757"/>
      <c r="N646" s="1757"/>
      <c r="O646" s="1757"/>
      <c r="P646" s="1757"/>
      <c r="Q646" s="1757"/>
      <c r="R646" s="1757"/>
      <c r="S646" s="1757"/>
      <c r="T646" s="1757"/>
      <c r="U646" s="1757"/>
      <c r="V646" s="1757"/>
      <c r="W646" s="1757"/>
      <c r="X646" s="1757"/>
      <c r="Y646" s="1757"/>
      <c r="Z646" s="1757"/>
      <c r="AA646" s="1757"/>
      <c r="AB646" s="1757"/>
      <c r="AC646" s="1757"/>
      <c r="AD646" s="1757"/>
      <c r="AE646" s="1757"/>
      <c r="AF646" s="1757"/>
      <c r="AG646" s="1757"/>
      <c r="AH646" s="1757"/>
      <c r="AI646" s="1757"/>
      <c r="AJ646" s="1757"/>
      <c r="AK646" s="1757"/>
      <c r="AL646" s="1757"/>
      <c r="AM646" s="1757"/>
      <c r="AN646" s="1757"/>
      <c r="AO646" s="1757"/>
      <c r="AP646" s="1757"/>
      <c r="AQ646" s="1757"/>
      <c r="AR646" s="1757"/>
      <c r="AS646" s="1757"/>
      <c r="AT646" s="1757"/>
      <c r="AU646" s="1757"/>
      <c r="AV646" s="1757"/>
      <c r="AW646" s="1757"/>
      <c r="AX646" s="1757"/>
      <c r="AY646" s="1757"/>
      <c r="AZ646" s="1757"/>
      <c r="BA646" s="1757"/>
      <c r="BB646" s="1757"/>
      <c r="BC646" s="1757"/>
      <c r="BD646" s="1757"/>
      <c r="BE646" s="1757"/>
      <c r="BF646" s="1757"/>
      <c r="BG646" s="1757"/>
      <c r="BH646" s="1757"/>
      <c r="BI646" s="1757"/>
      <c r="BJ646" s="1757"/>
      <c r="BK646" s="1757"/>
      <c r="BL646" s="1757"/>
      <c r="BM646" s="1757"/>
      <c r="BN646" s="1757"/>
      <c r="BO646" s="1757"/>
      <c r="BP646" s="1757"/>
      <c r="BQ646" s="1757"/>
      <c r="BR646" s="1757"/>
      <c r="BS646" s="1757"/>
      <c r="BT646" s="1757"/>
      <c r="BU646" s="1757"/>
      <c r="BV646" s="1757"/>
      <c r="BW646" s="1757"/>
      <c r="BX646" s="1757"/>
      <c r="BY646" s="1757"/>
      <c r="BZ646" s="1757"/>
      <c r="CA646" s="1757"/>
      <c r="CB646" s="1757"/>
      <c r="CC646" s="1757"/>
      <c r="CD646" s="1757"/>
      <c r="CE646" s="1757"/>
      <c r="CF646" s="1757"/>
      <c r="CG646" s="1757"/>
      <c r="CH646" s="1757"/>
      <c r="CI646" s="1757"/>
      <c r="CJ646" s="1757"/>
      <c r="CK646" s="1757"/>
      <c r="CL646" s="1757"/>
      <c r="CM646" s="1757"/>
      <c r="CN646" s="1757"/>
      <c r="CO646" s="1757"/>
      <c r="CP646" s="1757"/>
      <c r="CQ646" s="1757"/>
      <c r="CR646" s="1757"/>
      <c r="CS646" s="1757"/>
      <c r="CT646" s="1757"/>
      <c r="CU646" s="1757"/>
      <c r="CV646" s="1757"/>
      <c r="CW646" s="1757"/>
      <c r="CX646" s="1757"/>
      <c r="CY646" s="1757"/>
      <c r="CZ646" s="1757"/>
      <c r="DA646" s="1757"/>
      <c r="DB646" s="1757"/>
      <c r="DC646" s="1757"/>
      <c r="DD646" s="1757"/>
      <c r="DE646" s="1757"/>
      <c r="DF646" s="1757"/>
      <c r="DG646" s="1757"/>
      <c r="DH646" s="1757"/>
      <c r="DI646" s="1757"/>
      <c r="DJ646" s="1757"/>
      <c r="DK646" s="1757"/>
      <c r="DL646" s="1757"/>
      <c r="DM646" s="1757"/>
      <c r="DN646" s="1757"/>
      <c r="DO646" s="1757"/>
      <c r="DP646" s="1757"/>
      <c r="DQ646" s="1757"/>
      <c r="DR646" s="1757"/>
      <c r="DS646" s="1757"/>
      <c r="DT646" s="1757"/>
      <c r="DU646" s="1757"/>
      <c r="DV646" s="1757"/>
      <c r="DW646" s="1757"/>
      <c r="DX646" s="1757"/>
      <c r="DY646" s="1757"/>
      <c r="DZ646" s="1757"/>
      <c r="EA646" s="1757"/>
      <c r="EB646" s="1757"/>
      <c r="EC646" s="1757"/>
      <c r="ED646" s="1757"/>
      <c r="EE646" s="1757"/>
      <c r="EF646" s="1757"/>
      <c r="EG646" s="1757"/>
      <c r="EH646" s="1757"/>
      <c r="EI646" s="1757"/>
      <c r="EJ646" s="1757"/>
      <c r="EK646" s="1757"/>
      <c r="EL646" s="1757"/>
      <c r="EM646" s="1757"/>
      <c r="EN646" s="1757"/>
      <c r="EO646" s="1757"/>
      <c r="EP646" s="1757"/>
      <c r="EQ646" s="1757"/>
      <c r="ER646" s="1757"/>
      <c r="ES646" s="1757"/>
      <c r="ET646" s="1757"/>
      <c r="EU646" s="1757"/>
      <c r="EV646" s="1757"/>
      <c r="EW646" s="1757"/>
      <c r="EX646" s="1757"/>
      <c r="EY646" s="1757"/>
      <c r="EZ646" s="1757"/>
      <c r="FA646" s="1757"/>
      <c r="FB646" s="1757"/>
      <c r="FC646" s="1757"/>
      <c r="FD646" s="1757"/>
      <c r="FE646" s="1757"/>
      <c r="FF646" s="1757"/>
      <c r="FG646" s="1757"/>
      <c r="FH646" s="1757"/>
      <c r="FI646" s="1757"/>
    </row>
    <row r="647" spans="1:165">
      <c r="A647" s="1757"/>
      <c r="B647" s="1757"/>
      <c r="C647" s="1757"/>
      <c r="D647" s="1757"/>
      <c r="E647" s="1757"/>
      <c r="F647" s="1757"/>
      <c r="G647" s="1757"/>
      <c r="H647" s="1757"/>
      <c r="I647" s="1757"/>
      <c r="J647" s="1757"/>
      <c r="K647" s="1757"/>
      <c r="L647" s="1757"/>
      <c r="M647" s="1757"/>
      <c r="N647" s="1757"/>
      <c r="O647" s="1757"/>
      <c r="P647" s="1757"/>
      <c r="Q647" s="1757"/>
      <c r="R647" s="1757"/>
      <c r="S647" s="1757"/>
      <c r="T647" s="1757"/>
      <c r="U647" s="1757"/>
      <c r="V647" s="1757"/>
      <c r="W647" s="1757"/>
      <c r="X647" s="1757"/>
      <c r="Y647" s="1757"/>
      <c r="Z647" s="1757"/>
      <c r="AA647" s="1757"/>
      <c r="AB647" s="1757"/>
      <c r="AC647" s="1757"/>
      <c r="AD647" s="1757"/>
      <c r="AE647" s="1757"/>
      <c r="AF647" s="1757"/>
      <c r="AG647" s="1757"/>
      <c r="AH647" s="1757"/>
      <c r="AI647" s="1757"/>
      <c r="AJ647" s="1757"/>
      <c r="AK647" s="1757"/>
      <c r="AL647" s="1757"/>
      <c r="AM647" s="1757"/>
      <c r="AN647" s="1757"/>
      <c r="AO647" s="1757"/>
      <c r="AP647" s="1757"/>
      <c r="AQ647" s="1757"/>
      <c r="AR647" s="1757"/>
      <c r="AS647" s="1757"/>
      <c r="AT647" s="1757"/>
      <c r="AU647" s="1757"/>
      <c r="AV647" s="1757"/>
      <c r="AW647" s="1757"/>
      <c r="AX647" s="1757"/>
      <c r="AY647" s="1757"/>
      <c r="AZ647" s="1757"/>
      <c r="BA647" s="1757"/>
      <c r="BB647" s="1757"/>
      <c r="BC647" s="1757"/>
      <c r="BD647" s="1757"/>
      <c r="BE647" s="1757"/>
      <c r="BF647" s="1757"/>
      <c r="BG647" s="1757"/>
      <c r="BH647" s="1757"/>
      <c r="BI647" s="1757"/>
      <c r="BJ647" s="1757"/>
      <c r="BK647" s="1757"/>
      <c r="BL647" s="1757"/>
      <c r="BM647" s="1757"/>
      <c r="BN647" s="1757"/>
      <c r="BO647" s="1757"/>
      <c r="BP647" s="1757"/>
      <c r="BQ647" s="1757"/>
      <c r="BR647" s="1757"/>
      <c r="BS647" s="1757"/>
      <c r="BT647" s="1757"/>
      <c r="BU647" s="1757"/>
      <c r="BV647" s="1757"/>
      <c r="BW647" s="1757"/>
      <c r="BX647" s="1757"/>
      <c r="BY647" s="1757"/>
      <c r="BZ647" s="1757"/>
      <c r="CA647" s="1757"/>
      <c r="CB647" s="1757"/>
      <c r="CC647" s="1757"/>
      <c r="CD647" s="1757"/>
      <c r="CE647" s="1757"/>
      <c r="CF647" s="1757"/>
      <c r="CG647" s="1757"/>
      <c r="CH647" s="1757"/>
      <c r="CI647" s="1757"/>
      <c r="CJ647" s="1757"/>
      <c r="CK647" s="1757"/>
      <c r="CL647" s="1757"/>
      <c r="CM647" s="1757"/>
      <c r="CN647" s="1757"/>
      <c r="CO647" s="1757"/>
      <c r="CP647" s="1757"/>
      <c r="CQ647" s="1757"/>
      <c r="CR647" s="1757"/>
      <c r="CS647" s="1757"/>
      <c r="CT647" s="1757"/>
      <c r="CU647" s="1757"/>
      <c r="CV647" s="1757"/>
      <c r="CW647" s="1757"/>
      <c r="CX647" s="1757"/>
      <c r="CY647" s="1757"/>
      <c r="CZ647" s="1757"/>
      <c r="DA647" s="1757"/>
      <c r="DB647" s="1757"/>
      <c r="DC647" s="1757"/>
      <c r="DD647" s="1757"/>
      <c r="DE647" s="1757"/>
      <c r="DF647" s="1757"/>
      <c r="DG647" s="1757"/>
      <c r="DH647" s="1757"/>
      <c r="DI647" s="1757"/>
      <c r="DJ647" s="1757"/>
      <c r="DK647" s="1757"/>
      <c r="DL647" s="1757"/>
      <c r="DM647" s="1757"/>
      <c r="DN647" s="1757"/>
      <c r="DO647" s="1757"/>
      <c r="DP647" s="1757"/>
      <c r="DQ647" s="1757"/>
      <c r="DR647" s="1757"/>
      <c r="DS647" s="1757"/>
      <c r="DT647" s="1757"/>
      <c r="DU647" s="1757"/>
      <c r="DV647" s="1757"/>
      <c r="DW647" s="1757"/>
      <c r="DX647" s="1757"/>
      <c r="DY647" s="1757"/>
      <c r="DZ647" s="1757"/>
      <c r="EA647" s="1757"/>
      <c r="EB647" s="1757"/>
      <c r="EC647" s="1757"/>
      <c r="ED647" s="1757"/>
      <c r="EE647" s="1757"/>
      <c r="EF647" s="1757"/>
      <c r="EG647" s="1757"/>
      <c r="EH647" s="1757"/>
      <c r="EI647" s="1757"/>
      <c r="EJ647" s="1757"/>
      <c r="EK647" s="1757"/>
      <c r="EL647" s="1757"/>
      <c r="EM647" s="1757"/>
      <c r="EN647" s="1757"/>
      <c r="EO647" s="1757"/>
      <c r="EP647" s="1757"/>
      <c r="EQ647" s="1757"/>
      <c r="ER647" s="1757"/>
      <c r="ES647" s="1757"/>
      <c r="ET647" s="1757"/>
      <c r="EU647" s="1757"/>
      <c r="EV647" s="1757"/>
      <c r="EW647" s="1757"/>
      <c r="EX647" s="1757"/>
      <c r="EY647" s="1757"/>
      <c r="EZ647" s="1757"/>
      <c r="FA647" s="1757"/>
      <c r="FB647" s="1757"/>
      <c r="FC647" s="1757"/>
      <c r="FD647" s="1757"/>
      <c r="FE647" s="1757"/>
      <c r="FF647" s="1757"/>
      <c r="FG647" s="1757"/>
      <c r="FH647" s="1757"/>
      <c r="FI647" s="1757"/>
    </row>
    <row r="648" spans="1:165">
      <c r="A648" s="1757"/>
      <c r="B648" s="1757"/>
      <c r="C648" s="1757"/>
      <c r="D648" s="1757"/>
      <c r="E648" s="1757"/>
      <c r="F648" s="1757"/>
      <c r="G648" s="1757"/>
      <c r="H648" s="1757"/>
      <c r="I648" s="1757"/>
      <c r="J648" s="1757"/>
      <c r="K648" s="1757"/>
      <c r="L648" s="1757"/>
      <c r="M648" s="1757"/>
      <c r="N648" s="1757"/>
      <c r="O648" s="1757"/>
      <c r="P648" s="1757"/>
      <c r="Q648" s="1757"/>
      <c r="R648" s="1757"/>
      <c r="S648" s="1757"/>
      <c r="T648" s="1757"/>
      <c r="U648" s="1757"/>
      <c r="V648" s="1757"/>
      <c r="W648" s="1757"/>
      <c r="X648" s="1757"/>
      <c r="Y648" s="1757"/>
      <c r="Z648" s="1757"/>
      <c r="AA648" s="1757"/>
      <c r="AB648" s="1757"/>
      <c r="AC648" s="1757"/>
      <c r="AD648" s="1757"/>
      <c r="AE648" s="1757"/>
      <c r="AF648" s="1757"/>
      <c r="AG648" s="1757"/>
      <c r="AH648" s="1757"/>
      <c r="AI648" s="1757"/>
      <c r="AJ648" s="1757"/>
      <c r="AK648" s="1757"/>
      <c r="AL648" s="1757"/>
      <c r="AM648" s="1757"/>
      <c r="AN648" s="1757"/>
      <c r="AO648" s="1757"/>
      <c r="AP648" s="1757"/>
      <c r="AQ648" s="1757"/>
      <c r="AR648" s="1757"/>
      <c r="AS648" s="1757"/>
      <c r="AT648" s="1757"/>
      <c r="AU648" s="1757"/>
      <c r="AV648" s="1757"/>
      <c r="AW648" s="1757"/>
      <c r="AX648" s="1757"/>
      <c r="AY648" s="1757"/>
      <c r="AZ648" s="1757"/>
      <c r="BA648" s="1757"/>
      <c r="BB648" s="1757"/>
      <c r="BC648" s="1757"/>
      <c r="BD648" s="1757"/>
      <c r="BE648" s="1757"/>
      <c r="BF648" s="1757"/>
      <c r="BG648" s="1757"/>
      <c r="BH648" s="1757"/>
      <c r="BI648" s="1757"/>
      <c r="BJ648" s="1757"/>
      <c r="BK648" s="1757"/>
      <c r="BL648" s="1757"/>
      <c r="BM648" s="1757"/>
      <c r="BN648" s="1757"/>
      <c r="BO648" s="1757"/>
      <c r="BP648" s="1757"/>
      <c r="BQ648" s="1757"/>
      <c r="BR648" s="1757"/>
      <c r="BS648" s="1757"/>
      <c r="BT648" s="1757"/>
      <c r="BU648" s="1757"/>
      <c r="BV648" s="1757"/>
      <c r="BW648" s="1757"/>
      <c r="BX648" s="1757"/>
      <c r="BY648" s="1757"/>
      <c r="BZ648" s="1757"/>
      <c r="CA648" s="1757"/>
      <c r="CB648" s="1757"/>
      <c r="CC648" s="1757"/>
      <c r="CD648" s="1757"/>
      <c r="CE648" s="1757"/>
      <c r="CF648" s="1757"/>
      <c r="CG648" s="1757"/>
      <c r="CH648" s="1757"/>
      <c r="CI648" s="1757"/>
      <c r="CJ648" s="1757"/>
      <c r="CK648" s="1757"/>
      <c r="CL648" s="1757"/>
      <c r="CM648" s="1757"/>
      <c r="CN648" s="1757"/>
      <c r="CO648" s="1757"/>
      <c r="CP648" s="1757"/>
      <c r="CQ648" s="1757"/>
      <c r="CR648" s="1757"/>
      <c r="CS648" s="1757"/>
      <c r="CT648" s="1757"/>
      <c r="CU648" s="1757"/>
      <c r="CV648" s="1757"/>
      <c r="CW648" s="1757"/>
      <c r="CX648" s="1757"/>
      <c r="CY648" s="1757"/>
      <c r="CZ648" s="1757"/>
      <c r="DA648" s="1757"/>
      <c r="DB648" s="1757"/>
      <c r="DC648" s="1757"/>
      <c r="DD648" s="1757"/>
      <c r="DE648" s="1757"/>
      <c r="DF648" s="1757"/>
      <c r="DG648" s="1757"/>
      <c r="DH648" s="1757"/>
      <c r="DI648" s="1757"/>
      <c r="DJ648" s="1757"/>
      <c r="DK648" s="1757"/>
      <c r="DL648" s="1757"/>
      <c r="DM648" s="1757"/>
      <c r="DN648" s="1757"/>
      <c r="DO648" s="1757"/>
      <c r="DP648" s="1757"/>
      <c r="DQ648" s="1757"/>
      <c r="DR648" s="1757"/>
      <c r="DS648" s="1757"/>
      <c r="DT648" s="1757"/>
      <c r="DU648" s="1757"/>
      <c r="DV648" s="1757"/>
      <c r="DW648" s="1757"/>
      <c r="DX648" s="1757"/>
      <c r="DY648" s="1757"/>
      <c r="DZ648" s="1757"/>
      <c r="EA648" s="1757"/>
      <c r="EB648" s="1757"/>
      <c r="EC648" s="1757"/>
      <c r="ED648" s="1757"/>
      <c r="EE648" s="1757"/>
      <c r="EF648" s="1757"/>
      <c r="EG648" s="1757"/>
      <c r="EH648" s="1757"/>
      <c r="EI648" s="1757"/>
      <c r="EJ648" s="1757"/>
      <c r="EK648" s="1757"/>
      <c r="EL648" s="1757"/>
      <c r="EM648" s="1757"/>
      <c r="EN648" s="1757"/>
      <c r="EO648" s="1757"/>
      <c r="EP648" s="1757"/>
      <c r="EQ648" s="1757"/>
      <c r="ER648" s="1757"/>
      <c r="ES648" s="1757"/>
      <c r="ET648" s="1757"/>
      <c r="EU648" s="1757"/>
      <c r="EV648" s="1757"/>
      <c r="EW648" s="1757"/>
      <c r="EX648" s="1757"/>
      <c r="EY648" s="1757"/>
      <c r="EZ648" s="1757"/>
      <c r="FA648" s="1757"/>
      <c r="FB648" s="1757"/>
      <c r="FC648" s="1757"/>
      <c r="FD648" s="1757"/>
      <c r="FE648" s="1757"/>
      <c r="FF648" s="1757"/>
      <c r="FG648" s="1757"/>
      <c r="FH648" s="1757"/>
      <c r="FI648" s="1757"/>
    </row>
    <row r="649" spans="1:165">
      <c r="A649" s="1757"/>
      <c r="B649" s="1757"/>
      <c r="C649" s="1757"/>
      <c r="D649" s="1757"/>
      <c r="E649" s="1757"/>
      <c r="F649" s="1757"/>
      <c r="G649" s="1757"/>
      <c r="H649" s="1757"/>
      <c r="I649" s="1757"/>
      <c r="J649" s="1757"/>
      <c r="K649" s="1757"/>
      <c r="L649" s="1757"/>
      <c r="M649" s="1757"/>
      <c r="N649" s="1757"/>
      <c r="O649" s="1757"/>
      <c r="P649" s="1757"/>
      <c r="Q649" s="1757"/>
      <c r="R649" s="1757"/>
      <c r="S649" s="1757"/>
      <c r="T649" s="1757"/>
      <c r="U649" s="1757"/>
      <c r="V649" s="1757"/>
      <c r="W649" s="1757"/>
      <c r="X649" s="1757"/>
      <c r="Y649" s="1757"/>
      <c r="Z649" s="1757"/>
      <c r="AA649" s="1757"/>
      <c r="AB649" s="1757"/>
      <c r="AC649" s="1757"/>
      <c r="AD649" s="1757"/>
      <c r="AE649" s="1757"/>
      <c r="AF649" s="1757"/>
      <c r="AG649" s="1757"/>
      <c r="AH649" s="1757"/>
      <c r="AI649" s="1757"/>
      <c r="AJ649" s="1757"/>
      <c r="AK649" s="1757"/>
      <c r="AL649" s="1757"/>
      <c r="AM649" s="1757"/>
      <c r="AN649" s="1757"/>
      <c r="AO649" s="1757"/>
      <c r="AP649" s="1757"/>
      <c r="AQ649" s="1757"/>
      <c r="AR649" s="1757"/>
      <c r="AS649" s="1757"/>
      <c r="AT649" s="1757"/>
      <c r="AU649" s="1757"/>
      <c r="AV649" s="1757"/>
      <c r="AW649" s="1757"/>
      <c r="AX649" s="1757"/>
      <c r="AY649" s="1757"/>
      <c r="AZ649" s="1757"/>
      <c r="BA649" s="1757"/>
      <c r="BB649" s="1757"/>
      <c r="BC649" s="1757"/>
      <c r="BD649" s="1757"/>
      <c r="BE649" s="1757"/>
      <c r="BF649" s="1757"/>
      <c r="BG649" s="1757"/>
      <c r="BH649" s="1757"/>
      <c r="BI649" s="1757"/>
      <c r="BJ649" s="1757"/>
      <c r="BK649" s="1757"/>
      <c r="BL649" s="1757"/>
      <c r="BM649" s="1757"/>
      <c r="BN649" s="1757"/>
      <c r="BO649" s="1757"/>
      <c r="BP649" s="1757"/>
      <c r="BQ649" s="1757"/>
      <c r="BR649" s="1757"/>
      <c r="BS649" s="1757"/>
      <c r="BT649" s="1757"/>
      <c r="BU649" s="1757"/>
      <c r="BV649" s="1757"/>
      <c r="BW649" s="1757"/>
      <c r="BX649" s="1757"/>
      <c r="BY649" s="1757"/>
      <c r="BZ649" s="1757"/>
      <c r="CA649" s="1757"/>
      <c r="CB649" s="1757"/>
      <c r="CC649" s="1757"/>
      <c r="CD649" s="1757"/>
      <c r="CE649" s="1757"/>
      <c r="CF649" s="1757"/>
      <c r="CG649" s="1757"/>
      <c r="CH649" s="1757"/>
      <c r="CI649" s="1757"/>
      <c r="CJ649" s="1757"/>
      <c r="CK649" s="1757"/>
      <c r="CL649" s="1757"/>
      <c r="CM649" s="1757"/>
      <c r="CN649" s="1757"/>
      <c r="CO649" s="1757"/>
      <c r="CP649" s="1757"/>
      <c r="CQ649" s="1757"/>
      <c r="CR649" s="1757"/>
      <c r="CS649" s="1757"/>
      <c r="CT649" s="1757"/>
      <c r="CU649" s="1757"/>
      <c r="CV649" s="1757"/>
      <c r="CW649" s="1757"/>
      <c r="CX649" s="1757"/>
      <c r="CY649" s="1757"/>
      <c r="CZ649" s="1757"/>
      <c r="DA649" s="1757"/>
      <c r="DB649" s="1757"/>
      <c r="DC649" s="1757"/>
      <c r="DD649" s="1757"/>
      <c r="DE649" s="1757"/>
      <c r="DF649" s="1757"/>
      <c r="DG649" s="1757"/>
      <c r="DH649" s="1757"/>
      <c r="DI649" s="1757"/>
      <c r="DJ649" s="1757"/>
      <c r="DK649" s="1757"/>
      <c r="DL649" s="1757"/>
      <c r="DM649" s="1757"/>
      <c r="DN649" s="1757"/>
      <c r="DO649" s="1757"/>
      <c r="DP649" s="1757"/>
      <c r="DQ649" s="1757"/>
      <c r="DR649" s="1757"/>
      <c r="DS649" s="1757"/>
      <c r="DT649" s="1757"/>
      <c r="DU649" s="1757"/>
      <c r="DV649" s="1757"/>
      <c r="DW649" s="1757"/>
      <c r="DX649" s="1757"/>
      <c r="DY649" s="1757"/>
      <c r="DZ649" s="1757"/>
      <c r="EA649" s="1757"/>
      <c r="EB649" s="1757"/>
      <c r="EC649" s="1757"/>
      <c r="ED649" s="1757"/>
      <c r="EE649" s="1757"/>
      <c r="EF649" s="1757"/>
      <c r="EG649" s="1757"/>
      <c r="EH649" s="1757"/>
      <c r="EI649" s="1757"/>
      <c r="EJ649" s="1757"/>
      <c r="EK649" s="1757"/>
      <c r="EL649" s="1757"/>
      <c r="EM649" s="1757"/>
      <c r="EN649" s="1757"/>
      <c r="EO649" s="1757"/>
      <c r="EP649" s="1757"/>
      <c r="EQ649" s="1757"/>
      <c r="ER649" s="1757"/>
      <c r="ES649" s="1757"/>
      <c r="ET649" s="1757"/>
      <c r="EU649" s="1757"/>
      <c r="EV649" s="1757"/>
      <c r="EW649" s="1757"/>
      <c r="EX649" s="1757"/>
      <c r="EY649" s="1757"/>
      <c r="EZ649" s="1757"/>
      <c r="FA649" s="1757"/>
      <c r="FB649" s="1757"/>
      <c r="FC649" s="1757"/>
      <c r="FD649" s="1757"/>
      <c r="FE649" s="1757"/>
      <c r="FF649" s="1757"/>
      <c r="FG649" s="1757"/>
      <c r="FH649" s="1757"/>
      <c r="FI649" s="1757"/>
    </row>
    <row r="650" spans="1:165">
      <c r="A650" s="1757"/>
      <c r="B650" s="1757"/>
      <c r="C650" s="1757"/>
      <c r="D650" s="1757"/>
      <c r="E650" s="1757"/>
      <c r="F650" s="1757"/>
      <c r="G650" s="1757"/>
      <c r="H650" s="1757"/>
      <c r="I650" s="1757"/>
      <c r="J650" s="1757"/>
      <c r="K650" s="1757"/>
      <c r="L650" s="1757"/>
      <c r="M650" s="1757"/>
      <c r="N650" s="1757"/>
      <c r="O650" s="1757"/>
      <c r="P650" s="1757"/>
      <c r="Q650" s="1757"/>
      <c r="R650" s="1757"/>
      <c r="S650" s="1757"/>
      <c r="T650" s="1757"/>
      <c r="U650" s="1757"/>
      <c r="V650" s="1757"/>
      <c r="W650" s="1757"/>
      <c r="X650" s="1757"/>
      <c r="Y650" s="1757"/>
      <c r="Z650" s="1757"/>
      <c r="AA650" s="1757"/>
      <c r="AB650" s="1757"/>
      <c r="AC650" s="1757"/>
      <c r="AD650" s="1757"/>
      <c r="AE650" s="1757"/>
      <c r="AF650" s="1757"/>
      <c r="AG650" s="1757"/>
      <c r="AH650" s="1757"/>
      <c r="AI650" s="1757"/>
      <c r="AJ650" s="1757"/>
      <c r="AK650" s="1757"/>
      <c r="AL650" s="1757"/>
      <c r="AM650" s="1757"/>
      <c r="AN650" s="1757"/>
      <c r="AO650" s="1757"/>
      <c r="AP650" s="1757"/>
      <c r="AQ650" s="1757"/>
      <c r="AR650" s="1757"/>
      <c r="AS650" s="1757"/>
      <c r="AT650" s="1757"/>
      <c r="AU650" s="1757"/>
      <c r="AV650" s="1757"/>
      <c r="AW650" s="1757"/>
      <c r="AX650" s="1757"/>
      <c r="AY650" s="1757"/>
      <c r="AZ650" s="1757"/>
      <c r="BA650" s="1757"/>
      <c r="BB650" s="1757"/>
      <c r="BC650" s="1757"/>
      <c r="BD650" s="1757"/>
      <c r="BE650" s="1757"/>
      <c r="BF650" s="1757"/>
      <c r="BG650" s="1757"/>
      <c r="BH650" s="1757"/>
      <c r="BI650" s="1757"/>
      <c r="BJ650" s="1757"/>
      <c r="BK650" s="1757"/>
      <c r="BL650" s="1757"/>
      <c r="BM650" s="1757"/>
      <c r="BN650" s="1757"/>
      <c r="BO650" s="1757"/>
      <c r="BP650" s="1757"/>
      <c r="BQ650" s="1757"/>
      <c r="BR650" s="1757"/>
      <c r="BS650" s="1757"/>
      <c r="BT650" s="1757"/>
      <c r="BU650" s="1757"/>
      <c r="BV650" s="1757"/>
      <c r="BW650" s="1757"/>
      <c r="BX650" s="1757"/>
      <c r="BY650" s="1757"/>
      <c r="BZ650" s="1757"/>
      <c r="CA650" s="1757"/>
      <c r="CB650" s="1757"/>
      <c r="CC650" s="1757"/>
      <c r="CD650" s="1757"/>
      <c r="CE650" s="1757"/>
      <c r="CF650" s="1757"/>
      <c r="CG650" s="1757"/>
      <c r="CH650" s="1757"/>
      <c r="CI650" s="1757"/>
      <c r="CJ650" s="1757"/>
      <c r="CK650" s="1757"/>
      <c r="CL650" s="1757"/>
      <c r="CM650" s="1757"/>
      <c r="CN650" s="1757"/>
      <c r="CO650" s="1757"/>
      <c r="CP650" s="1757"/>
      <c r="CQ650" s="1757"/>
      <c r="CR650" s="1757"/>
      <c r="CS650" s="1757"/>
      <c r="CT650" s="1757"/>
      <c r="CU650" s="1757"/>
      <c r="CV650" s="1757"/>
      <c r="CW650" s="1757"/>
      <c r="CX650" s="1757"/>
      <c r="CY650" s="1757"/>
      <c r="CZ650" s="1757"/>
      <c r="DA650" s="1757"/>
      <c r="DB650" s="1757"/>
      <c r="DC650" s="1757"/>
      <c r="DD650" s="1757"/>
      <c r="DE650" s="1757"/>
      <c r="DF650" s="1757"/>
      <c r="DG650" s="1757"/>
      <c r="DH650" s="1757"/>
      <c r="DI650" s="1757"/>
      <c r="DJ650" s="1757"/>
      <c r="DK650" s="1757"/>
      <c r="DL650" s="1757"/>
      <c r="DM650" s="1757"/>
      <c r="DN650" s="1757"/>
      <c r="DO650" s="1757"/>
      <c r="DP650" s="1757"/>
      <c r="DQ650" s="1757"/>
      <c r="DR650" s="1757"/>
      <c r="DS650" s="1757"/>
      <c r="DT650" s="1757"/>
      <c r="DU650" s="1757"/>
      <c r="DV650" s="1757"/>
      <c r="DW650" s="1757"/>
      <c r="DX650" s="1757"/>
      <c r="DY650" s="1757"/>
      <c r="DZ650" s="1757"/>
      <c r="EA650" s="1757"/>
      <c r="EB650" s="1757"/>
      <c r="EC650" s="1757"/>
      <c r="ED650" s="1757"/>
      <c r="EE650" s="1757"/>
      <c r="EF650" s="1757"/>
      <c r="EG650" s="1757"/>
      <c r="EH650" s="1757"/>
      <c r="EI650" s="1757"/>
      <c r="EJ650" s="1757"/>
      <c r="EK650" s="1757"/>
      <c r="EL650" s="1757"/>
      <c r="EM650" s="1757"/>
      <c r="EN650" s="1757"/>
      <c r="EO650" s="1757"/>
      <c r="EP650" s="1757"/>
      <c r="EQ650" s="1757"/>
      <c r="ER650" s="1757"/>
      <c r="ES650" s="1757"/>
      <c r="ET650" s="1757"/>
      <c r="EU650" s="1757"/>
      <c r="EV650" s="1757"/>
      <c r="EW650" s="1757"/>
      <c r="EX650" s="1757"/>
      <c r="EY650" s="1757"/>
      <c r="EZ650" s="1757"/>
      <c r="FA650" s="1757"/>
      <c r="FB650" s="1757"/>
      <c r="FC650" s="1757"/>
      <c r="FD650" s="1757"/>
      <c r="FE650" s="1757"/>
      <c r="FF650" s="1757"/>
      <c r="FG650" s="1757"/>
      <c r="FH650" s="1757"/>
      <c r="FI650" s="1757"/>
    </row>
    <row r="651" spans="1:165">
      <c r="A651" s="1757"/>
      <c r="B651" s="1757"/>
      <c r="C651" s="1757"/>
      <c r="D651" s="1757"/>
      <c r="E651" s="1757"/>
      <c r="F651" s="1757"/>
      <c r="G651" s="1757"/>
      <c r="H651" s="1757"/>
      <c r="I651" s="1757"/>
      <c r="J651" s="1757"/>
      <c r="K651" s="1757"/>
      <c r="L651" s="1757"/>
      <c r="M651" s="1757"/>
      <c r="N651" s="1757"/>
      <c r="O651" s="1757"/>
      <c r="P651" s="1757"/>
      <c r="Q651" s="1757"/>
      <c r="R651" s="1757"/>
      <c r="S651" s="1757"/>
      <c r="T651" s="1757"/>
      <c r="U651" s="1757"/>
      <c r="V651" s="1757"/>
      <c r="W651" s="1757"/>
      <c r="X651" s="1757"/>
      <c r="Y651" s="1757"/>
      <c r="Z651" s="1757"/>
      <c r="AA651" s="1757"/>
      <c r="AB651" s="1757"/>
      <c r="AC651" s="1757"/>
      <c r="AD651" s="1757"/>
      <c r="AE651" s="1757"/>
      <c r="AF651" s="1757"/>
      <c r="AG651" s="1757"/>
      <c r="AH651" s="1757"/>
      <c r="AI651" s="1757"/>
      <c r="AJ651" s="1757"/>
      <c r="AK651" s="1757"/>
      <c r="AL651" s="1757"/>
      <c r="AM651" s="1757"/>
      <c r="AN651" s="1757"/>
      <c r="AO651" s="1757"/>
      <c r="AP651" s="1757"/>
      <c r="AQ651" s="1757"/>
      <c r="AR651" s="1757"/>
      <c r="AS651" s="1757"/>
      <c r="AT651" s="1757"/>
      <c r="AU651" s="1757"/>
      <c r="AV651" s="1757"/>
      <c r="AW651" s="1757"/>
      <c r="AX651" s="1757"/>
      <c r="AY651" s="1757"/>
      <c r="AZ651" s="1757"/>
      <c r="BA651" s="1757"/>
      <c r="BB651" s="1757"/>
      <c r="BC651" s="1757"/>
      <c r="BD651" s="1757"/>
      <c r="BE651" s="1757"/>
      <c r="BF651" s="1757"/>
      <c r="BG651" s="1757"/>
      <c r="BH651" s="1757"/>
      <c r="BI651" s="1757"/>
      <c r="BJ651" s="1757"/>
      <c r="BK651" s="1757"/>
      <c r="BL651" s="1757"/>
      <c r="BM651" s="1757"/>
      <c r="BN651" s="1757"/>
      <c r="BO651" s="1757"/>
      <c r="BP651" s="1757"/>
      <c r="BQ651" s="1757"/>
      <c r="BR651" s="1757"/>
      <c r="BS651" s="1757"/>
      <c r="BT651" s="1757"/>
      <c r="BU651" s="1757"/>
      <c r="BV651" s="1757"/>
      <c r="BW651" s="1757"/>
      <c r="BX651" s="1757"/>
      <c r="BY651" s="1757"/>
      <c r="BZ651" s="1757"/>
      <c r="CA651" s="1757"/>
      <c r="CB651" s="1757"/>
      <c r="CC651" s="1757"/>
      <c r="CD651" s="1757"/>
      <c r="CE651" s="1757"/>
      <c r="CF651" s="1757"/>
      <c r="CG651" s="1757"/>
      <c r="CH651" s="1757"/>
      <c r="CI651" s="1757"/>
      <c r="CJ651" s="1757"/>
      <c r="CK651" s="1757"/>
      <c r="CL651" s="1757"/>
      <c r="CM651" s="1757"/>
      <c r="CN651" s="1757"/>
      <c r="CO651" s="1757"/>
      <c r="CP651" s="1757"/>
      <c r="CQ651" s="1757"/>
      <c r="CR651" s="1757"/>
      <c r="CS651" s="1757"/>
      <c r="CT651" s="1757"/>
      <c r="CU651" s="1757"/>
      <c r="CV651" s="1757"/>
      <c r="CW651" s="1757"/>
      <c r="CX651" s="1757"/>
      <c r="CY651" s="1757"/>
      <c r="CZ651" s="1757"/>
      <c r="DA651" s="1757"/>
      <c r="DB651" s="1757"/>
      <c r="DC651" s="1757"/>
      <c r="DD651" s="1757"/>
      <c r="DE651" s="1757"/>
      <c r="DF651" s="1757"/>
      <c r="DG651" s="1757"/>
      <c r="DH651" s="1757"/>
      <c r="DI651" s="1757"/>
      <c r="DJ651" s="1757"/>
      <c r="DK651" s="1757"/>
      <c r="DL651" s="1757"/>
      <c r="DM651" s="1757"/>
      <c r="DN651" s="1757"/>
      <c r="DO651" s="1757"/>
      <c r="DP651" s="1757"/>
      <c r="DQ651" s="1757"/>
      <c r="DR651" s="1757"/>
      <c r="DS651" s="1757"/>
      <c r="DT651" s="1757"/>
      <c r="DU651" s="1757"/>
      <c r="DV651" s="1757"/>
      <c r="DW651" s="1757"/>
      <c r="DX651" s="1757"/>
      <c r="DY651" s="1757"/>
      <c r="DZ651" s="1757"/>
      <c r="EA651" s="1757"/>
      <c r="EB651" s="1757"/>
      <c r="EC651" s="1757"/>
      <c r="ED651" s="1757"/>
      <c r="EE651" s="1757"/>
      <c r="EF651" s="1757"/>
      <c r="EG651" s="1757"/>
      <c r="EH651" s="1757"/>
      <c r="EI651" s="1757"/>
      <c r="EJ651" s="1757"/>
      <c r="EK651" s="1757"/>
      <c r="EL651" s="1757"/>
      <c r="EM651" s="1757"/>
      <c r="EN651" s="1757"/>
      <c r="EO651" s="1757"/>
      <c r="EP651" s="1757"/>
      <c r="EQ651" s="1757"/>
      <c r="ER651" s="1757"/>
      <c r="ES651" s="1757"/>
      <c r="ET651" s="1757"/>
      <c r="EU651" s="1757"/>
      <c r="EV651" s="1757"/>
      <c r="EW651" s="1757"/>
      <c r="EX651" s="1757"/>
      <c r="EY651" s="1757"/>
      <c r="EZ651" s="1757"/>
      <c r="FA651" s="1757"/>
      <c r="FB651" s="1757"/>
      <c r="FC651" s="1757"/>
      <c r="FD651" s="1757"/>
      <c r="FE651" s="1757"/>
      <c r="FF651" s="1757"/>
      <c r="FG651" s="1757"/>
      <c r="FH651" s="1757"/>
      <c r="FI651" s="1757"/>
    </row>
    <row r="652" spans="1:165">
      <c r="A652" s="1757"/>
      <c r="B652" s="1757"/>
      <c r="C652" s="1757"/>
      <c r="D652" s="1757"/>
      <c r="E652" s="1757"/>
      <c r="F652" s="1757"/>
      <c r="G652" s="1757"/>
      <c r="H652" s="1757"/>
      <c r="I652" s="1757"/>
      <c r="J652" s="1757"/>
      <c r="K652" s="1757"/>
      <c r="L652" s="1757"/>
      <c r="M652" s="1757"/>
      <c r="N652" s="1757"/>
      <c r="O652" s="1757"/>
      <c r="P652" s="1757"/>
      <c r="Q652" s="1757"/>
      <c r="R652" s="1757"/>
      <c r="S652" s="1757"/>
      <c r="T652" s="1757"/>
      <c r="U652" s="1757"/>
      <c r="V652" s="1757"/>
      <c r="W652" s="1757"/>
      <c r="X652" s="1757"/>
      <c r="Y652" s="1757"/>
      <c r="Z652" s="1757"/>
      <c r="AA652" s="1757"/>
      <c r="AB652" s="1757"/>
      <c r="AC652" s="1757"/>
      <c r="AD652" s="1757"/>
      <c r="AE652" s="1757"/>
      <c r="AF652" s="1757"/>
      <c r="AG652" s="1757"/>
      <c r="AH652" s="1757"/>
      <c r="AI652" s="1757"/>
      <c r="AJ652" s="1757"/>
      <c r="AK652" s="1757"/>
      <c r="AL652" s="1757"/>
      <c r="AM652" s="1757"/>
      <c r="AN652" s="1757"/>
      <c r="AO652" s="1757"/>
      <c r="AP652" s="1757"/>
      <c r="AQ652" s="1757"/>
      <c r="AR652" s="1757"/>
      <c r="AS652" s="1757"/>
      <c r="AT652" s="1757"/>
      <c r="AU652" s="1757"/>
      <c r="AV652" s="1757"/>
      <c r="AW652" s="1757"/>
      <c r="AX652" s="1757"/>
      <c r="AY652" s="1757"/>
      <c r="AZ652" s="1757"/>
      <c r="BA652" s="1757"/>
      <c r="BB652" s="1757"/>
      <c r="BC652" s="1757"/>
      <c r="BD652" s="1757"/>
      <c r="BE652" s="1757"/>
      <c r="BF652" s="1757"/>
      <c r="BG652" s="1757"/>
      <c r="BH652" s="1757"/>
      <c r="BI652" s="1757"/>
      <c r="BJ652" s="1757"/>
      <c r="BK652" s="1757"/>
      <c r="BL652" s="1757"/>
      <c r="BM652" s="1757"/>
      <c r="BN652" s="1757"/>
      <c r="BO652" s="1757"/>
      <c r="BP652" s="1757"/>
      <c r="BQ652" s="1757"/>
      <c r="BR652" s="1757"/>
      <c r="BS652" s="1757"/>
      <c r="BT652" s="1757"/>
      <c r="BU652" s="1757"/>
      <c r="BV652" s="1757"/>
      <c r="BW652" s="1757"/>
      <c r="BX652" s="1757"/>
      <c r="BY652" s="1757"/>
      <c r="BZ652" s="1757"/>
      <c r="CA652" s="1757"/>
      <c r="CB652" s="1757"/>
      <c r="CC652" s="1757"/>
      <c r="CD652" s="1757"/>
      <c r="CE652" s="1757"/>
      <c r="CF652" s="1757"/>
      <c r="CG652" s="1757"/>
      <c r="CH652" s="1757"/>
      <c r="CI652" s="1757"/>
      <c r="CJ652" s="1757"/>
      <c r="CK652" s="1757"/>
      <c r="CL652" s="1757"/>
      <c r="CM652" s="1757"/>
      <c r="CN652" s="1757"/>
      <c r="CO652" s="1757"/>
      <c r="CP652" s="1757"/>
      <c r="CQ652" s="1757"/>
      <c r="CR652" s="1757"/>
      <c r="CS652" s="1757"/>
      <c r="CT652" s="1757"/>
      <c r="CU652" s="1757"/>
      <c r="CV652" s="1757"/>
      <c r="CW652" s="1757"/>
      <c r="CX652" s="1757"/>
      <c r="CY652" s="1757"/>
      <c r="CZ652" s="1757"/>
      <c r="DA652" s="1757"/>
      <c r="DB652" s="1757"/>
      <c r="DC652" s="1757"/>
      <c r="DD652" s="1757"/>
      <c r="DE652" s="1757"/>
      <c r="DF652" s="1757"/>
      <c r="DG652" s="1757"/>
      <c r="DH652" s="1757"/>
      <c r="DI652" s="1757"/>
      <c r="DJ652" s="1757"/>
      <c r="DK652" s="1757"/>
      <c r="DL652" s="1757"/>
      <c r="DM652" s="1757"/>
      <c r="DN652" s="1757"/>
      <c r="DO652" s="1757"/>
      <c r="DP652" s="1757"/>
      <c r="DQ652" s="1757"/>
      <c r="DR652" s="1757"/>
      <c r="DS652" s="1757"/>
      <c r="DT652" s="1757"/>
      <c r="DU652" s="1757"/>
      <c r="DV652" s="1757"/>
      <c r="DW652" s="1757"/>
      <c r="DX652" s="1757"/>
      <c r="DY652" s="1757"/>
      <c r="DZ652" s="1757"/>
      <c r="EA652" s="1757"/>
      <c r="EB652" s="1757"/>
      <c r="EC652" s="1757"/>
      <c r="ED652" s="1757"/>
      <c r="EE652" s="1757"/>
      <c r="EF652" s="1757"/>
      <c r="EG652" s="1757"/>
      <c r="EH652" s="1757"/>
      <c r="EI652" s="1757"/>
      <c r="EJ652" s="1757"/>
      <c r="EK652" s="1757"/>
      <c r="EL652" s="1757"/>
      <c r="EM652" s="1757"/>
      <c r="EN652" s="1757"/>
      <c r="EO652" s="1757"/>
      <c r="EP652" s="1757"/>
      <c r="EQ652" s="1757"/>
      <c r="ER652" s="1757"/>
      <c r="ES652" s="1757"/>
      <c r="ET652" s="1757"/>
      <c r="EU652" s="1757"/>
      <c r="EV652" s="1757"/>
      <c r="EW652" s="1757"/>
      <c r="EX652" s="1757"/>
      <c r="EY652" s="1757"/>
      <c r="EZ652" s="1757"/>
      <c r="FA652" s="1757"/>
      <c r="FB652" s="1757"/>
      <c r="FC652" s="1757"/>
      <c r="FD652" s="1757"/>
      <c r="FE652" s="1757"/>
      <c r="FF652" s="1757"/>
      <c r="FG652" s="1757"/>
      <c r="FH652" s="1757"/>
      <c r="FI652" s="1757"/>
    </row>
    <row r="653" spans="1:165">
      <c r="A653" s="1757"/>
      <c r="B653" s="1757"/>
      <c r="C653" s="1757"/>
      <c r="D653" s="1757"/>
      <c r="E653" s="1757"/>
      <c r="F653" s="1757"/>
      <c r="G653" s="1757"/>
      <c r="H653" s="1757"/>
      <c r="I653" s="1757"/>
      <c r="J653" s="1757"/>
      <c r="K653" s="1757"/>
      <c r="L653" s="1757"/>
      <c r="M653" s="1757"/>
      <c r="N653" s="1757"/>
      <c r="O653" s="1757"/>
      <c r="P653" s="1757"/>
      <c r="Q653" s="1757"/>
      <c r="R653" s="1757"/>
      <c r="S653" s="1757"/>
      <c r="T653" s="1757"/>
      <c r="U653" s="1757"/>
      <c r="V653" s="1757"/>
      <c r="W653" s="1757"/>
      <c r="X653" s="1757"/>
      <c r="Y653" s="1757"/>
      <c r="Z653" s="1757"/>
      <c r="AA653" s="1757"/>
      <c r="AB653" s="1757"/>
      <c r="AC653" s="1757"/>
      <c r="AD653" s="1757"/>
      <c r="AE653" s="1757"/>
      <c r="AF653" s="1757"/>
      <c r="AG653" s="1757"/>
      <c r="AH653" s="1757"/>
      <c r="AI653" s="1757"/>
      <c r="AJ653" s="1757"/>
      <c r="AK653" s="1757"/>
      <c r="AL653" s="1757"/>
      <c r="AM653" s="1757"/>
      <c r="AN653" s="1757"/>
      <c r="AO653" s="1757"/>
      <c r="AP653" s="1757"/>
      <c r="AQ653" s="1757"/>
      <c r="AR653" s="1757"/>
      <c r="AS653" s="1757"/>
      <c r="AT653" s="1757"/>
      <c r="AU653" s="1757"/>
      <c r="AV653" s="1757"/>
      <c r="AW653" s="1757"/>
      <c r="AX653" s="1757"/>
      <c r="AY653" s="1757"/>
      <c r="AZ653" s="1757"/>
      <c r="BA653" s="1757"/>
      <c r="BB653" s="1757"/>
      <c r="BC653" s="1757"/>
      <c r="BD653" s="1757"/>
      <c r="BE653" s="1757"/>
      <c r="BF653" s="1757"/>
      <c r="BG653" s="1757"/>
      <c r="BH653" s="1757"/>
      <c r="BI653" s="1757"/>
      <c r="BJ653" s="1757"/>
      <c r="BK653" s="1757"/>
      <c r="BL653" s="1757"/>
      <c r="BM653" s="1757"/>
      <c r="BN653" s="1757"/>
      <c r="BO653" s="1757"/>
      <c r="BP653" s="1757"/>
      <c r="BQ653" s="1757"/>
      <c r="BR653" s="1757"/>
      <c r="BS653" s="1757"/>
      <c r="BT653" s="1757"/>
      <c r="BU653" s="1757"/>
      <c r="BV653" s="1757"/>
      <c r="BW653" s="1757"/>
      <c r="BX653" s="1757"/>
      <c r="BY653" s="1757"/>
      <c r="BZ653" s="1757"/>
      <c r="CA653" s="1757"/>
      <c r="CB653" s="1757"/>
      <c r="CC653" s="1757"/>
      <c r="CD653" s="1757"/>
      <c r="CE653" s="1757"/>
      <c r="CF653" s="1757"/>
      <c r="CG653" s="1757"/>
      <c r="CH653" s="1757"/>
      <c r="CI653" s="1757"/>
      <c r="CJ653" s="1757"/>
      <c r="CK653" s="1757"/>
      <c r="CL653" s="1757"/>
      <c r="CM653" s="1757"/>
      <c r="CN653" s="1757"/>
      <c r="CO653" s="1757"/>
      <c r="CP653" s="1757"/>
      <c r="CQ653" s="1757"/>
      <c r="CR653" s="1757"/>
      <c r="CS653" s="1757"/>
      <c r="CT653" s="1757"/>
      <c r="CU653" s="1757"/>
      <c r="CV653" s="1757"/>
      <c r="CW653" s="1757"/>
      <c r="CX653" s="1757"/>
      <c r="CY653" s="1757"/>
      <c r="CZ653" s="1757"/>
      <c r="DA653" s="1757"/>
      <c r="DB653" s="1757"/>
      <c r="DC653" s="1757"/>
      <c r="DD653" s="1757"/>
      <c r="DE653" s="1757"/>
      <c r="DF653" s="1757"/>
      <c r="DG653" s="1757"/>
      <c r="DH653" s="1757"/>
      <c r="DI653" s="1757"/>
      <c r="DJ653" s="1757"/>
      <c r="DK653" s="1757"/>
      <c r="DL653" s="1757"/>
      <c r="DM653" s="1757"/>
      <c r="DN653" s="1757"/>
      <c r="DO653" s="1757"/>
      <c r="DP653" s="1757"/>
      <c r="DQ653" s="1757"/>
      <c r="DR653" s="1757"/>
      <c r="DS653" s="1757"/>
      <c r="DT653" s="1757"/>
      <c r="DU653" s="1757"/>
      <c r="DV653" s="1757"/>
      <c r="DW653" s="1757"/>
      <c r="DX653" s="1757"/>
      <c r="DY653" s="1757"/>
      <c r="DZ653" s="1757"/>
      <c r="EA653" s="1757"/>
      <c r="EB653" s="1757"/>
      <c r="EC653" s="1757"/>
      <c r="ED653" s="1757"/>
      <c r="EE653" s="1757"/>
      <c r="EF653" s="1757"/>
      <c r="EG653" s="1757"/>
      <c r="EH653" s="1757"/>
      <c r="EI653" s="1757"/>
      <c r="EJ653" s="1757"/>
      <c r="EK653" s="1757"/>
      <c r="EL653" s="1757"/>
      <c r="EM653" s="1757"/>
      <c r="EN653" s="1757"/>
      <c r="EO653" s="1757"/>
      <c r="EP653" s="1757"/>
      <c r="EQ653" s="1757"/>
      <c r="ER653" s="1757"/>
      <c r="ES653" s="1757"/>
      <c r="ET653" s="1757"/>
      <c r="EU653" s="1757"/>
      <c r="EV653" s="1757"/>
      <c r="EW653" s="1757"/>
      <c r="EX653" s="1757"/>
      <c r="EY653" s="1757"/>
      <c r="EZ653" s="1757"/>
      <c r="FA653" s="1757"/>
      <c r="FB653" s="1757"/>
      <c r="FC653" s="1757"/>
      <c r="FD653" s="1757"/>
      <c r="FE653" s="1757"/>
      <c r="FF653" s="1757"/>
      <c r="FG653" s="1757"/>
      <c r="FH653" s="1757"/>
      <c r="FI653" s="1757"/>
    </row>
    <row r="654" spans="1:165">
      <c r="A654" s="1757"/>
      <c r="B654" s="1757"/>
      <c r="C654" s="1757"/>
      <c r="D654" s="1757"/>
      <c r="E654" s="1757"/>
      <c r="F654" s="1757"/>
      <c r="G654" s="1757"/>
      <c r="H654" s="1757"/>
      <c r="I654" s="1757"/>
      <c r="J654" s="1757"/>
      <c r="K654" s="1757"/>
      <c r="L654" s="1757"/>
      <c r="M654" s="1757"/>
      <c r="N654" s="1757"/>
      <c r="O654" s="1757"/>
      <c r="P654" s="1757"/>
      <c r="Q654" s="1757"/>
      <c r="R654" s="1757"/>
      <c r="S654" s="1757"/>
      <c r="T654" s="1757"/>
      <c r="U654" s="1757"/>
      <c r="V654" s="1757"/>
      <c r="W654" s="1757"/>
      <c r="X654" s="1757"/>
      <c r="Y654" s="1757"/>
      <c r="Z654" s="1757"/>
      <c r="AA654" s="1757"/>
      <c r="AB654" s="1757"/>
      <c r="AC654" s="1757"/>
      <c r="AD654" s="1757"/>
      <c r="AE654" s="1757"/>
      <c r="AF654" s="1757"/>
      <c r="AG654" s="1757"/>
      <c r="AH654" s="1757"/>
      <c r="AI654" s="1757"/>
      <c r="AJ654" s="1757"/>
      <c r="AK654" s="1757"/>
      <c r="AL654" s="1757"/>
      <c r="AM654" s="1757"/>
      <c r="AN654" s="1757"/>
      <c r="AO654" s="1757"/>
      <c r="AP654" s="1757"/>
      <c r="AQ654" s="1757"/>
      <c r="AR654" s="1757"/>
      <c r="AS654" s="1757"/>
      <c r="AT654" s="1757"/>
      <c r="AU654" s="1757"/>
      <c r="AV654" s="1757"/>
      <c r="AW654" s="1757"/>
      <c r="AX654" s="1757"/>
      <c r="AY654" s="1757"/>
      <c r="AZ654" s="1757"/>
      <c r="BA654" s="1757"/>
      <c r="BB654" s="1757"/>
      <c r="BC654" s="1757"/>
      <c r="BD654" s="1757"/>
      <c r="BE654" s="1757"/>
      <c r="BF654" s="1757"/>
      <c r="BG654" s="1757"/>
      <c r="BH654" s="1757"/>
      <c r="BI654" s="1757"/>
      <c r="BJ654" s="1757"/>
      <c r="BK654" s="1757"/>
      <c r="BL654" s="1757"/>
      <c r="BM654" s="1757"/>
      <c r="BN654" s="1757"/>
      <c r="BO654" s="1757"/>
      <c r="BP654" s="1757"/>
      <c r="BQ654" s="1757"/>
      <c r="BR654" s="1757"/>
      <c r="BS654" s="1757"/>
      <c r="BT654" s="1757"/>
      <c r="BU654" s="1757"/>
      <c r="BV654" s="1757"/>
      <c r="BW654" s="1757"/>
      <c r="BX654" s="1757"/>
      <c r="BY654" s="1757"/>
      <c r="BZ654" s="1757"/>
      <c r="CA654" s="1757"/>
      <c r="CB654" s="1757"/>
      <c r="CC654" s="1757"/>
      <c r="CD654" s="1757"/>
      <c r="CE654" s="1757"/>
      <c r="CF654" s="1757"/>
      <c r="CG654" s="1757"/>
      <c r="CH654" s="1757"/>
      <c r="CI654" s="1757"/>
      <c r="CJ654" s="1757"/>
      <c r="CK654" s="1757"/>
      <c r="CL654" s="1757"/>
      <c r="CM654" s="1757"/>
      <c r="CN654" s="1757"/>
      <c r="CO654" s="1757"/>
      <c r="CP654" s="1757"/>
      <c r="CQ654" s="1757"/>
      <c r="CR654" s="1757"/>
      <c r="CS654" s="1757"/>
      <c r="CT654" s="1757"/>
      <c r="CU654" s="1757"/>
      <c r="CV654" s="1757"/>
      <c r="CW654" s="1757"/>
      <c r="CX654" s="1757"/>
      <c r="CY654" s="1757"/>
      <c r="CZ654" s="1757"/>
      <c r="DA654" s="1757"/>
      <c r="DB654" s="1757"/>
      <c r="DC654" s="1757"/>
      <c r="DD654" s="1757"/>
      <c r="DE654" s="1757"/>
      <c r="DF654" s="1757"/>
      <c r="DG654" s="1757"/>
      <c r="DH654" s="1757"/>
      <c r="DI654" s="1757"/>
      <c r="DJ654" s="1757"/>
      <c r="DK654" s="1757"/>
      <c r="DL654" s="1757"/>
      <c r="DM654" s="1757"/>
      <c r="DN654" s="1757"/>
      <c r="DO654" s="1757"/>
      <c r="DP654" s="1757"/>
      <c r="DQ654" s="1757"/>
      <c r="DR654" s="1757"/>
      <c r="DS654" s="1757"/>
      <c r="DT654" s="1757"/>
      <c r="DU654" s="1757"/>
      <c r="DV654" s="1757"/>
      <c r="DW654" s="1757"/>
      <c r="DX654" s="1757"/>
      <c r="DY654" s="1757"/>
      <c r="DZ654" s="1757"/>
      <c r="EA654" s="1757"/>
      <c r="EB654" s="1757"/>
      <c r="EC654" s="1757"/>
      <c r="ED654" s="1757"/>
      <c r="EE654" s="1757"/>
      <c r="EF654" s="1757"/>
      <c r="EG654" s="1757"/>
      <c r="EH654" s="1757"/>
      <c r="EI654" s="1757"/>
      <c r="EJ654" s="1757"/>
      <c r="EK654" s="1757"/>
      <c r="EL654" s="1757"/>
      <c r="EM654" s="1757"/>
      <c r="EN654" s="1757"/>
      <c r="EO654" s="1757"/>
      <c r="EP654" s="1757"/>
      <c r="EQ654" s="1757"/>
      <c r="ER654" s="1757"/>
      <c r="ES654" s="1757"/>
      <c r="ET654" s="1757"/>
      <c r="EU654" s="1757"/>
      <c r="EV654" s="1757"/>
      <c r="EW654" s="1757"/>
      <c r="EX654" s="1757"/>
      <c r="EY654" s="1757"/>
      <c r="EZ654" s="1757"/>
      <c r="FA654" s="1757"/>
      <c r="FB654" s="1757"/>
      <c r="FC654" s="1757"/>
      <c r="FD654" s="1757"/>
      <c r="FE654" s="1757"/>
      <c r="FF654" s="1757"/>
      <c r="FG654" s="1757"/>
      <c r="FH654" s="1757"/>
      <c r="FI654" s="1757"/>
    </row>
    <row r="655" spans="1:165">
      <c r="A655" s="1757"/>
      <c r="B655" s="1757"/>
      <c r="C655" s="1757"/>
      <c r="D655" s="1757"/>
      <c r="E655" s="1757"/>
      <c r="F655" s="1757"/>
      <c r="G655" s="1757"/>
      <c r="H655" s="1757"/>
      <c r="I655" s="1757"/>
      <c r="J655" s="1757"/>
      <c r="K655" s="1757"/>
      <c r="L655" s="1757"/>
      <c r="M655" s="1757"/>
      <c r="N655" s="1757"/>
      <c r="O655" s="1757"/>
      <c r="P655" s="1757"/>
      <c r="Q655" s="1757"/>
      <c r="R655" s="1757"/>
      <c r="S655" s="1757"/>
      <c r="T655" s="1757"/>
      <c r="U655" s="1757"/>
      <c r="V655" s="1757"/>
      <c r="W655" s="1757"/>
      <c r="X655" s="1757"/>
      <c r="Y655" s="1757"/>
      <c r="Z655" s="1757"/>
      <c r="AA655" s="1757"/>
      <c r="AB655" s="1757"/>
      <c r="AC655" s="1757"/>
      <c r="AD655" s="1757"/>
      <c r="AE655" s="1757"/>
      <c r="AF655" s="1757"/>
      <c r="AG655" s="1757"/>
      <c r="AH655" s="1757"/>
      <c r="AI655" s="1757"/>
      <c r="AJ655" s="1757"/>
      <c r="AK655" s="1757"/>
      <c r="AL655" s="1757"/>
      <c r="AM655" s="1757"/>
      <c r="AN655" s="1757"/>
      <c r="AO655" s="1757"/>
      <c r="AP655" s="1757"/>
      <c r="AQ655" s="1757"/>
      <c r="AR655" s="1757"/>
      <c r="AS655" s="1757"/>
      <c r="AT655" s="1757"/>
      <c r="AU655" s="1757"/>
      <c r="AV655" s="1757"/>
      <c r="AW655" s="1757"/>
      <c r="AX655" s="1757"/>
      <c r="AY655" s="1757"/>
      <c r="AZ655" s="1757"/>
      <c r="BA655" s="1757"/>
      <c r="BB655" s="1757"/>
      <c r="BC655" s="1757"/>
      <c r="BD655" s="1757"/>
      <c r="BE655" s="1757"/>
      <c r="BF655" s="1757"/>
      <c r="BG655" s="1757"/>
      <c r="BH655" s="1757"/>
      <c r="BI655" s="1757"/>
      <c r="BJ655" s="1757"/>
      <c r="BK655" s="1757"/>
      <c r="BL655" s="1757"/>
      <c r="BM655" s="1757"/>
      <c r="BN655" s="1757"/>
      <c r="BO655" s="1757"/>
      <c r="BP655" s="1757"/>
      <c r="BQ655" s="1757"/>
      <c r="BR655" s="1757"/>
      <c r="BS655" s="1757"/>
      <c r="BT655" s="1757"/>
      <c r="BU655" s="1757"/>
      <c r="BV655" s="1757"/>
      <c r="BW655" s="1757"/>
      <c r="BX655" s="1757"/>
      <c r="BY655" s="1757"/>
      <c r="BZ655" s="1757"/>
      <c r="CA655" s="1757"/>
      <c r="CB655" s="1757"/>
      <c r="CC655" s="1757"/>
      <c r="CD655" s="1757"/>
      <c r="CE655" s="1757"/>
      <c r="CF655" s="1757"/>
      <c r="CG655" s="1757"/>
      <c r="CH655" s="1757"/>
      <c r="CI655" s="1757"/>
      <c r="CJ655" s="1757"/>
      <c r="CK655" s="1757"/>
      <c r="CL655" s="1757"/>
      <c r="CM655" s="1757"/>
      <c r="CN655" s="1757"/>
      <c r="CO655" s="1757"/>
      <c r="CP655" s="1757"/>
      <c r="CQ655" s="1757"/>
      <c r="CR655" s="1757"/>
      <c r="CS655" s="1757"/>
      <c r="CT655" s="1757"/>
      <c r="CU655" s="1757"/>
      <c r="CV655" s="1757"/>
      <c r="CW655" s="1757"/>
      <c r="CX655" s="1757"/>
      <c r="CY655" s="1757"/>
      <c r="CZ655" s="1757"/>
      <c r="DA655" s="1757"/>
      <c r="DB655" s="1757"/>
      <c r="DC655" s="1757"/>
      <c r="DD655" s="1757"/>
      <c r="DE655" s="1757"/>
      <c r="DF655" s="1757"/>
      <c r="DG655" s="1757"/>
      <c r="DH655" s="1757"/>
      <c r="DI655" s="1757"/>
      <c r="DJ655" s="1757"/>
      <c r="DK655" s="1757"/>
      <c r="DL655" s="1757"/>
      <c r="DM655" s="1757"/>
      <c r="DN655" s="1757"/>
      <c r="DO655" s="1757"/>
      <c r="DP655" s="1757"/>
      <c r="DQ655" s="1757"/>
      <c r="DR655" s="1757"/>
      <c r="DS655" s="1757"/>
      <c r="DT655" s="1757"/>
      <c r="DU655" s="1757"/>
      <c r="DV655" s="1757"/>
      <c r="DW655" s="1757"/>
      <c r="DX655" s="1757"/>
      <c r="DY655" s="1757"/>
      <c r="DZ655" s="1757"/>
      <c r="EA655" s="1757"/>
      <c r="EB655" s="1757"/>
      <c r="EC655" s="1757"/>
      <c r="ED655" s="1757"/>
      <c r="EE655" s="1757"/>
      <c r="EF655" s="1757"/>
      <c r="EG655" s="1757"/>
      <c r="EH655" s="1757"/>
      <c r="EI655" s="1757"/>
      <c r="EJ655" s="1757"/>
      <c r="EK655" s="1757"/>
      <c r="EL655" s="1757"/>
      <c r="EM655" s="1757"/>
      <c r="EN655" s="1757"/>
      <c r="EO655" s="1757"/>
      <c r="EP655" s="1757"/>
      <c r="EQ655" s="1757"/>
      <c r="ER655" s="1757"/>
      <c r="ES655" s="1757"/>
      <c r="ET655" s="1757"/>
      <c r="EU655" s="1757"/>
      <c r="EV655" s="1757"/>
      <c r="EW655" s="1757"/>
      <c r="EX655" s="1757"/>
      <c r="EY655" s="1757"/>
      <c r="EZ655" s="1757"/>
      <c r="FA655" s="1757"/>
      <c r="FB655" s="1757"/>
      <c r="FC655" s="1757"/>
      <c r="FD655" s="1757"/>
      <c r="FE655" s="1757"/>
      <c r="FF655" s="1757"/>
      <c r="FG655" s="1757"/>
      <c r="FH655" s="1757"/>
      <c r="FI655" s="1757"/>
    </row>
    <row r="656" spans="1:165">
      <c r="A656" s="1757"/>
      <c r="B656" s="1757"/>
      <c r="C656" s="1757"/>
      <c r="D656" s="1757"/>
      <c r="E656" s="1757"/>
      <c r="F656" s="1757"/>
      <c r="G656" s="1757"/>
      <c r="H656" s="1757"/>
      <c r="I656" s="1757"/>
      <c r="J656" s="1757"/>
      <c r="K656" s="1757"/>
      <c r="L656" s="1757"/>
      <c r="M656" s="1757"/>
      <c r="N656" s="1757"/>
      <c r="O656" s="1757"/>
      <c r="P656" s="1757"/>
      <c r="Q656" s="1757"/>
      <c r="R656" s="1757"/>
      <c r="S656" s="1757"/>
      <c r="T656" s="1757"/>
      <c r="U656" s="1757"/>
      <c r="V656" s="1757"/>
      <c r="W656" s="1757"/>
      <c r="X656" s="1757"/>
      <c r="Y656" s="1757"/>
      <c r="Z656" s="1757"/>
      <c r="AA656" s="1757"/>
      <c r="AB656" s="1757"/>
      <c r="AC656" s="1757"/>
      <c r="AD656" s="1757"/>
      <c r="AE656" s="1757"/>
      <c r="AF656" s="1757"/>
      <c r="AG656" s="1757"/>
      <c r="AH656" s="1757"/>
      <c r="AI656" s="1757"/>
      <c r="AJ656" s="1757"/>
      <c r="AK656" s="1757"/>
      <c r="AL656" s="1757"/>
      <c r="AM656" s="1757"/>
      <c r="AN656" s="1757"/>
      <c r="AO656" s="1757"/>
      <c r="AP656" s="1757"/>
      <c r="AQ656" s="1757"/>
      <c r="AR656" s="1757"/>
      <c r="AS656" s="1757"/>
      <c r="AT656" s="1757"/>
      <c r="AU656" s="1757"/>
      <c r="AV656" s="1757"/>
      <c r="AW656" s="1757"/>
      <c r="AX656" s="1757"/>
      <c r="AY656" s="1757"/>
      <c r="AZ656" s="1757"/>
      <c r="BA656" s="1757"/>
      <c r="BB656" s="1757"/>
      <c r="BC656" s="1757"/>
      <c r="BD656" s="1757"/>
      <c r="BE656" s="1757"/>
      <c r="BF656" s="1757"/>
      <c r="BG656" s="1757"/>
      <c r="BH656" s="1757"/>
      <c r="BI656" s="1757"/>
      <c r="BJ656" s="1757"/>
      <c r="BK656" s="1757"/>
      <c r="BL656" s="1757"/>
      <c r="BM656" s="1757"/>
      <c r="BN656" s="1757"/>
      <c r="BO656" s="1757"/>
      <c r="BP656" s="1757"/>
      <c r="BQ656" s="1757"/>
      <c r="BR656" s="1757"/>
      <c r="BS656" s="1757"/>
      <c r="BT656" s="1757"/>
      <c r="BU656" s="1757"/>
      <c r="BV656" s="1757"/>
      <c r="BW656" s="1757"/>
      <c r="BX656" s="1757"/>
      <c r="BY656" s="1757"/>
      <c r="BZ656" s="1757"/>
      <c r="CA656" s="1757"/>
      <c r="CB656" s="1757"/>
      <c r="CC656" s="1757"/>
      <c r="CD656" s="1757"/>
      <c r="CE656" s="1757"/>
      <c r="CF656" s="1757"/>
      <c r="CG656" s="1757"/>
      <c r="CH656" s="1757"/>
      <c r="CI656" s="1757"/>
      <c r="CJ656" s="1757"/>
      <c r="CK656" s="1757"/>
      <c r="CL656" s="1757"/>
      <c r="CM656" s="1757"/>
      <c r="CN656" s="1757"/>
      <c r="CO656" s="1757"/>
      <c r="CP656" s="1757"/>
      <c r="CQ656" s="1757"/>
      <c r="CR656" s="1757"/>
      <c r="CS656" s="1757"/>
      <c r="CT656" s="1757"/>
      <c r="CU656" s="1757"/>
      <c r="CV656" s="1757"/>
      <c r="CW656" s="1757"/>
      <c r="CX656" s="1757"/>
      <c r="CY656" s="1757"/>
      <c r="CZ656" s="1757"/>
      <c r="DA656" s="1757"/>
      <c r="DB656" s="1757"/>
      <c r="DC656" s="1757"/>
      <c r="DD656" s="1757"/>
      <c r="DE656" s="1757"/>
      <c r="DF656" s="1757"/>
      <c r="DG656" s="1757"/>
      <c r="DH656" s="1757"/>
      <c r="DI656" s="1757"/>
      <c r="DJ656" s="1757"/>
      <c r="DK656" s="1757"/>
      <c r="DL656" s="1757"/>
      <c r="DM656" s="1757"/>
      <c r="DN656" s="1757"/>
      <c r="DO656" s="1757"/>
      <c r="DP656" s="1757"/>
      <c r="DQ656" s="1757"/>
      <c r="DR656" s="1757"/>
      <c r="DS656" s="1757"/>
      <c r="DT656" s="1757"/>
      <c r="DU656" s="1757"/>
      <c r="DV656" s="1757"/>
      <c r="DW656" s="1757"/>
      <c r="DX656" s="1757"/>
      <c r="DY656" s="1757"/>
      <c r="DZ656" s="1757"/>
      <c r="EA656" s="1757"/>
      <c r="EB656" s="1757"/>
      <c r="EC656" s="1757"/>
      <c r="ED656" s="1757"/>
      <c r="EE656" s="1757"/>
      <c r="EF656" s="1757"/>
      <c r="EG656" s="1757"/>
      <c r="EH656" s="1757"/>
      <c r="EI656" s="1757"/>
      <c r="EJ656" s="1757"/>
      <c r="EK656" s="1757"/>
      <c r="EL656" s="1757"/>
      <c r="EM656" s="1757"/>
      <c r="EN656" s="1757"/>
      <c r="EO656" s="1757"/>
      <c r="EP656" s="1757"/>
      <c r="EQ656" s="1757"/>
      <c r="ER656" s="1757"/>
      <c r="ES656" s="1757"/>
      <c r="ET656" s="1757"/>
      <c r="EU656" s="1757"/>
      <c r="EV656" s="1757"/>
      <c r="EW656" s="1757"/>
      <c r="EX656" s="1757"/>
      <c r="EY656" s="1757"/>
      <c r="EZ656" s="1757"/>
      <c r="FA656" s="1757"/>
      <c r="FB656" s="1757"/>
      <c r="FC656" s="1757"/>
      <c r="FD656" s="1757"/>
      <c r="FE656" s="1757"/>
      <c r="FF656" s="1757"/>
      <c r="FG656" s="1757"/>
      <c r="FH656" s="1757"/>
      <c r="FI656" s="1757"/>
    </row>
    <row r="657" spans="1:165">
      <c r="A657" s="1757"/>
      <c r="B657" s="1757"/>
      <c r="C657" s="1757"/>
      <c r="D657" s="1757"/>
      <c r="E657" s="1757"/>
      <c r="F657" s="1757"/>
      <c r="G657" s="1757"/>
      <c r="H657" s="1757"/>
      <c r="I657" s="1757"/>
      <c r="J657" s="1757"/>
      <c r="K657" s="1757"/>
      <c r="L657" s="1757"/>
      <c r="M657" s="1757"/>
      <c r="N657" s="1757"/>
      <c r="O657" s="1757"/>
      <c r="P657" s="1757"/>
      <c r="Q657" s="1757"/>
      <c r="R657" s="1757"/>
      <c r="S657" s="1757"/>
      <c r="T657" s="1757"/>
      <c r="U657" s="1757"/>
      <c r="V657" s="1757"/>
      <c r="W657" s="1757"/>
      <c r="X657" s="1757"/>
      <c r="Y657" s="1757"/>
      <c r="Z657" s="1757"/>
      <c r="AA657" s="1757"/>
      <c r="AB657" s="1757"/>
      <c r="AC657" s="1757"/>
      <c r="AD657" s="1757"/>
      <c r="AE657" s="1757"/>
      <c r="AF657" s="1757"/>
      <c r="AG657" s="1757"/>
      <c r="AH657" s="1757"/>
      <c r="AI657" s="1757"/>
      <c r="AJ657" s="1757"/>
      <c r="AK657" s="1757"/>
      <c r="AL657" s="1757"/>
      <c r="AM657" s="1757"/>
      <c r="AN657" s="1757"/>
      <c r="AO657" s="1757"/>
      <c r="AP657" s="1757"/>
      <c r="AQ657" s="1757"/>
      <c r="AR657" s="1757"/>
      <c r="AS657" s="1757"/>
      <c r="AT657" s="1757"/>
      <c r="AU657" s="1757"/>
      <c r="AV657" s="1757"/>
      <c r="AW657" s="1757"/>
      <c r="AX657" s="1757"/>
      <c r="AY657" s="1757"/>
      <c r="AZ657" s="1757"/>
      <c r="BA657" s="1757"/>
      <c r="BB657" s="1757"/>
      <c r="BC657" s="1757"/>
      <c r="BD657" s="1757"/>
      <c r="BE657" s="1757"/>
      <c r="BF657" s="1757"/>
      <c r="BG657" s="1757"/>
      <c r="BH657" s="1757"/>
      <c r="BI657" s="1757"/>
      <c r="BJ657" s="1757"/>
      <c r="BK657" s="1757"/>
      <c r="BL657" s="1757"/>
      <c r="BM657" s="1757"/>
      <c r="BN657" s="1757"/>
      <c r="BO657" s="1757"/>
      <c r="BP657" s="1757"/>
      <c r="BQ657" s="1757"/>
      <c r="BR657" s="1757"/>
      <c r="BS657" s="1757"/>
      <c r="BT657" s="1757"/>
      <c r="BU657" s="1757"/>
      <c r="BV657" s="1757"/>
      <c r="BW657" s="1757"/>
      <c r="BX657" s="1757"/>
      <c r="BY657" s="1757"/>
      <c r="BZ657" s="1757"/>
      <c r="CA657" s="1757"/>
      <c r="CB657" s="1757"/>
      <c r="CC657" s="1757"/>
      <c r="CD657" s="1757"/>
      <c r="CE657" s="1757"/>
      <c r="CF657" s="1757"/>
      <c r="CG657" s="1757"/>
      <c r="CH657" s="1757"/>
      <c r="CI657" s="1757"/>
      <c r="CJ657" s="1757"/>
      <c r="CK657" s="1757"/>
      <c r="CL657" s="1757"/>
      <c r="CM657" s="1757"/>
      <c r="CN657" s="1757"/>
      <c r="CO657" s="1757"/>
      <c r="CP657" s="1757"/>
      <c r="CQ657" s="1757"/>
      <c r="CR657" s="1757"/>
      <c r="CS657" s="1757"/>
      <c r="CT657" s="1757"/>
      <c r="CU657" s="1757"/>
      <c r="CV657" s="1757"/>
      <c r="CW657" s="1757"/>
      <c r="CX657" s="1757"/>
      <c r="CY657" s="1757"/>
      <c r="CZ657" s="1757"/>
      <c r="DA657" s="1757"/>
      <c r="DB657" s="1757"/>
      <c r="DC657" s="1757"/>
      <c r="DD657" s="1757"/>
      <c r="DE657" s="1757"/>
      <c r="DF657" s="1757"/>
      <c r="DG657" s="1757"/>
      <c r="DH657" s="1757"/>
      <c r="DI657" s="1757"/>
      <c r="DJ657" s="1757"/>
      <c r="DK657" s="1757"/>
      <c r="DL657" s="1757"/>
      <c r="DM657" s="1757"/>
      <c r="DN657" s="1757"/>
      <c r="DO657" s="1757"/>
      <c r="DP657" s="1757"/>
      <c r="DQ657" s="1757"/>
      <c r="DR657" s="1757"/>
      <c r="DS657" s="1757"/>
      <c r="DT657" s="1757"/>
      <c r="DU657" s="1757"/>
      <c r="DV657" s="1757"/>
      <c r="DW657" s="1757"/>
      <c r="DX657" s="1757"/>
      <c r="DY657" s="1757"/>
      <c r="DZ657" s="1757"/>
      <c r="EA657" s="1757"/>
      <c r="EB657" s="1757"/>
      <c r="EC657" s="1757"/>
      <c r="ED657" s="1757"/>
      <c r="EE657" s="1757"/>
      <c r="EF657" s="1757"/>
      <c r="EG657" s="1757"/>
      <c r="EH657" s="1757"/>
      <c r="EI657" s="1757"/>
      <c r="EJ657" s="1757"/>
      <c r="EK657" s="1757"/>
      <c r="EL657" s="1757"/>
      <c r="EM657" s="1757"/>
      <c r="EN657" s="1757"/>
      <c r="EO657" s="1757"/>
      <c r="EP657" s="1757"/>
      <c r="EQ657" s="1757"/>
      <c r="ER657" s="1757"/>
      <c r="ES657" s="1757"/>
      <c r="ET657" s="1757"/>
      <c r="EU657" s="1757"/>
      <c r="EV657" s="1757"/>
      <c r="EW657" s="1757"/>
      <c r="EX657" s="1757"/>
      <c r="EY657" s="1757"/>
      <c r="EZ657" s="1757"/>
      <c r="FA657" s="1757"/>
      <c r="FB657" s="1757"/>
      <c r="FC657" s="1757"/>
      <c r="FD657" s="1757"/>
      <c r="FE657" s="1757"/>
      <c r="FF657" s="1757"/>
      <c r="FG657" s="1757"/>
      <c r="FH657" s="1757"/>
      <c r="FI657" s="1757"/>
    </row>
    <row r="658" spans="1:165">
      <c r="A658" s="1757"/>
      <c r="B658" s="1757"/>
      <c r="C658" s="1757"/>
      <c r="D658" s="1757"/>
      <c r="E658" s="1757"/>
      <c r="F658" s="1757"/>
      <c r="G658" s="1757"/>
      <c r="H658" s="1757"/>
      <c r="I658" s="1757"/>
      <c r="J658" s="1757"/>
      <c r="K658" s="1757"/>
      <c r="L658" s="1757"/>
      <c r="M658" s="1757"/>
      <c r="N658" s="1757"/>
      <c r="O658" s="1757"/>
      <c r="P658" s="1757"/>
      <c r="Q658" s="1757"/>
      <c r="R658" s="1757"/>
      <c r="S658" s="1757"/>
      <c r="T658" s="1757"/>
      <c r="U658" s="1757"/>
      <c r="V658" s="1757"/>
      <c r="W658" s="1757"/>
      <c r="X658" s="1757"/>
      <c r="Y658" s="1757"/>
      <c r="Z658" s="1757"/>
      <c r="AA658" s="1757"/>
      <c r="AB658" s="1757"/>
      <c r="AC658" s="1757"/>
      <c r="AD658" s="1757"/>
      <c r="AE658" s="1757"/>
      <c r="AF658" s="1757"/>
      <c r="AG658" s="1757"/>
      <c r="AH658" s="1757"/>
      <c r="AI658" s="1757"/>
      <c r="AJ658" s="1757"/>
      <c r="AK658" s="1757"/>
      <c r="AL658" s="1757"/>
      <c r="AM658" s="1757"/>
      <c r="AN658" s="1757"/>
      <c r="AO658" s="1757"/>
      <c r="AP658" s="1757"/>
      <c r="AQ658" s="1757"/>
      <c r="AR658" s="1757"/>
      <c r="AS658" s="1757"/>
      <c r="AT658" s="1757"/>
      <c r="AU658" s="1757"/>
      <c r="AV658" s="1757"/>
      <c r="AW658" s="1757"/>
      <c r="AX658" s="1757"/>
      <c r="AY658" s="1757"/>
      <c r="AZ658" s="1757"/>
      <c r="BA658" s="1757"/>
      <c r="BB658" s="1757"/>
      <c r="BC658" s="1757"/>
      <c r="BD658" s="1757"/>
      <c r="BE658" s="1757"/>
      <c r="BF658" s="1757"/>
      <c r="BG658" s="1757"/>
      <c r="BH658" s="1757"/>
      <c r="BI658" s="1757"/>
      <c r="BJ658" s="1757"/>
      <c r="BK658" s="1757"/>
      <c r="BL658" s="1757"/>
      <c r="BM658" s="1757"/>
      <c r="BN658" s="1757"/>
      <c r="BO658" s="1757"/>
      <c r="BP658" s="1757"/>
      <c r="BQ658" s="1757"/>
      <c r="BR658" s="1757"/>
      <c r="BS658" s="1757"/>
      <c r="BT658" s="1757"/>
      <c r="BU658" s="1757"/>
      <c r="BV658" s="1757"/>
      <c r="BW658" s="1757"/>
      <c r="BX658" s="1757"/>
      <c r="BY658" s="1757"/>
      <c r="BZ658" s="1757"/>
      <c r="CA658" s="1757"/>
      <c r="CB658" s="1757"/>
      <c r="CC658" s="1757"/>
      <c r="CD658" s="1757"/>
      <c r="CE658" s="1757"/>
      <c r="CF658" s="1757"/>
      <c r="CG658" s="1757"/>
      <c r="CH658" s="1757"/>
      <c r="CI658" s="1757"/>
      <c r="CJ658" s="1757"/>
      <c r="CK658" s="1757"/>
      <c r="CL658" s="1757"/>
      <c r="CM658" s="1757"/>
      <c r="CN658" s="1757"/>
      <c r="CO658" s="1757"/>
      <c r="CP658" s="1757"/>
      <c r="CQ658" s="1757"/>
      <c r="CR658" s="1757"/>
      <c r="CS658" s="1757"/>
      <c r="CT658" s="1757"/>
      <c r="CU658" s="1757"/>
      <c r="CV658" s="1757"/>
      <c r="CW658" s="1757"/>
      <c r="CX658" s="1757"/>
      <c r="CY658" s="1757"/>
      <c r="CZ658" s="1757"/>
      <c r="DA658" s="1757"/>
      <c r="DB658" s="1757"/>
      <c r="DC658" s="1757"/>
      <c r="DD658" s="1757"/>
      <c r="DE658" s="1757"/>
      <c r="DF658" s="1757"/>
      <c r="DG658" s="1757"/>
      <c r="DH658" s="1757"/>
      <c r="DI658" s="1757"/>
      <c r="DJ658" s="1757"/>
      <c r="DK658" s="1757"/>
      <c r="DL658" s="1757"/>
      <c r="DM658" s="1757"/>
      <c r="DN658" s="1757"/>
      <c r="DO658" s="1757"/>
      <c r="DP658" s="1757"/>
      <c r="DQ658" s="1757"/>
      <c r="DR658" s="1757"/>
      <c r="DS658" s="1757"/>
      <c r="DT658" s="1757"/>
      <c r="DU658" s="1757"/>
      <c r="DV658" s="1757"/>
      <c r="DW658" s="1757"/>
      <c r="DX658" s="1757"/>
      <c r="DY658" s="1757"/>
      <c r="DZ658" s="1757"/>
      <c r="EA658" s="1757"/>
      <c r="EB658" s="1757"/>
      <c r="EC658" s="1757"/>
      <c r="ED658" s="1757"/>
      <c r="EE658" s="1757"/>
      <c r="EF658" s="1757"/>
      <c r="EG658" s="1757"/>
      <c r="EH658" s="1757"/>
      <c r="EI658" s="1757"/>
      <c r="EJ658" s="1757"/>
      <c r="EK658" s="1757"/>
      <c r="EL658" s="1757"/>
      <c r="EM658" s="1757"/>
      <c r="EN658" s="1757"/>
      <c r="EO658" s="1757"/>
      <c r="EP658" s="1757"/>
      <c r="EQ658" s="1757"/>
      <c r="ER658" s="1757"/>
      <c r="ES658" s="1757"/>
      <c r="ET658" s="1757"/>
      <c r="EU658" s="1757"/>
      <c r="EV658" s="1757"/>
      <c r="EW658" s="1757"/>
      <c r="EX658" s="1757"/>
      <c r="EY658" s="1757"/>
      <c r="EZ658" s="1757"/>
      <c r="FA658" s="1757"/>
      <c r="FB658" s="1757"/>
      <c r="FC658" s="1757"/>
      <c r="FD658" s="1757"/>
      <c r="FE658" s="1757"/>
      <c r="FF658" s="1757"/>
      <c r="FG658" s="1757"/>
      <c r="FH658" s="1757"/>
      <c r="FI658" s="1757"/>
    </row>
    <row r="659" spans="1:165">
      <c r="A659" s="1757"/>
      <c r="B659" s="1757"/>
      <c r="C659" s="1757"/>
      <c r="D659" s="1757"/>
      <c r="E659" s="1757"/>
      <c r="F659" s="1757"/>
      <c r="G659" s="1757"/>
      <c r="H659" s="1757"/>
      <c r="I659" s="1757"/>
      <c r="J659" s="1757"/>
      <c r="K659" s="1757"/>
      <c r="L659" s="1757"/>
      <c r="M659" s="1757"/>
      <c r="N659" s="1757"/>
      <c r="O659" s="1757"/>
      <c r="P659" s="1757"/>
      <c r="Q659" s="1757"/>
      <c r="R659" s="1757"/>
      <c r="S659" s="1757"/>
      <c r="T659" s="1757"/>
      <c r="U659" s="1757"/>
      <c r="V659" s="1757"/>
      <c r="W659" s="1757"/>
      <c r="X659" s="1757"/>
      <c r="Y659" s="1757"/>
      <c r="Z659" s="1757"/>
      <c r="AA659" s="1757"/>
      <c r="AB659" s="1757"/>
      <c r="AC659" s="1757"/>
      <c r="AD659" s="1757"/>
      <c r="AE659" s="1757"/>
      <c r="AF659" s="1757"/>
      <c r="AG659" s="1757"/>
      <c r="AH659" s="1757"/>
      <c r="AI659" s="1757"/>
      <c r="AJ659" s="1757"/>
      <c r="AK659" s="1757"/>
      <c r="AL659" s="1757"/>
      <c r="AM659" s="1757"/>
      <c r="AN659" s="1757"/>
      <c r="AO659" s="1757"/>
      <c r="AP659" s="1757"/>
      <c r="AQ659" s="1757"/>
      <c r="AR659" s="1757"/>
      <c r="AS659" s="1757"/>
      <c r="AT659" s="1757"/>
      <c r="AU659" s="1757"/>
      <c r="AV659" s="1757"/>
      <c r="AW659" s="1757"/>
      <c r="AX659" s="1757"/>
      <c r="AY659" s="1757"/>
      <c r="AZ659" s="1757"/>
      <c r="BA659" s="1757"/>
      <c r="BB659" s="1757"/>
      <c r="BC659" s="1757"/>
      <c r="BD659" s="1757"/>
      <c r="BE659" s="1757"/>
      <c r="BF659" s="1757"/>
      <c r="BG659" s="1757"/>
      <c r="BH659" s="1757"/>
      <c r="BI659" s="1757"/>
      <c r="BJ659" s="1757"/>
      <c r="BK659" s="1757"/>
      <c r="BL659" s="1757"/>
      <c r="BM659" s="1757"/>
      <c r="BN659" s="1757"/>
      <c r="BO659" s="1757"/>
      <c r="BP659" s="1757"/>
      <c r="BQ659" s="1757"/>
      <c r="BR659" s="1757"/>
      <c r="BS659" s="1757"/>
      <c r="BT659" s="1757"/>
      <c r="BU659" s="1757"/>
      <c r="BV659" s="1757"/>
      <c r="BW659" s="1757"/>
      <c r="BX659" s="1757"/>
      <c r="BY659" s="1757"/>
      <c r="BZ659" s="1757"/>
      <c r="CA659" s="1757"/>
      <c r="CB659" s="1757"/>
      <c r="CC659" s="1757"/>
      <c r="CD659" s="1757"/>
      <c r="CE659" s="1757"/>
      <c r="CF659" s="1757"/>
      <c r="CG659" s="1757"/>
      <c r="CH659" s="1757"/>
      <c r="CI659" s="1757"/>
      <c r="CJ659" s="1757"/>
      <c r="CK659" s="1757"/>
      <c r="CL659" s="1757"/>
      <c r="CM659" s="1757"/>
      <c r="CN659" s="1757"/>
      <c r="CO659" s="1757"/>
      <c r="CP659" s="1757"/>
      <c r="CQ659" s="1757"/>
      <c r="CR659" s="1757"/>
      <c r="CS659" s="1757"/>
      <c r="CT659" s="1757"/>
      <c r="CU659" s="1757"/>
      <c r="CV659" s="1757"/>
      <c r="CW659" s="1757"/>
      <c r="CX659" s="1757"/>
      <c r="CY659" s="1757"/>
      <c r="CZ659" s="1757"/>
      <c r="DA659" s="1757"/>
      <c r="DB659" s="1757"/>
      <c r="DC659" s="1757"/>
      <c r="DD659" s="1757"/>
      <c r="DE659" s="1757"/>
      <c r="DF659" s="1757"/>
      <c r="DG659" s="1757"/>
      <c r="DH659" s="1757"/>
      <c r="DI659" s="1757"/>
      <c r="DJ659" s="1757"/>
      <c r="DK659" s="1757"/>
      <c r="DL659" s="1757"/>
      <c r="DM659" s="1757"/>
      <c r="DN659" s="1757"/>
      <c r="DO659" s="1757"/>
      <c r="DP659" s="1757"/>
      <c r="DQ659" s="1757"/>
      <c r="DR659" s="1757"/>
      <c r="DS659" s="1757"/>
      <c r="DT659" s="1757"/>
      <c r="DU659" s="1757"/>
      <c r="DV659" s="1757"/>
      <c r="DW659" s="1757"/>
      <c r="DX659" s="1757"/>
      <c r="DY659" s="1757"/>
      <c r="DZ659" s="1757"/>
      <c r="EA659" s="1757"/>
      <c r="EB659" s="1757"/>
      <c r="EC659" s="1757"/>
      <c r="ED659" s="1757"/>
      <c r="EE659" s="1757"/>
      <c r="EF659" s="1757"/>
      <c r="EG659" s="1757"/>
      <c r="EH659" s="1757"/>
      <c r="EI659" s="1757"/>
      <c r="EJ659" s="1757"/>
      <c r="EK659" s="1757"/>
      <c r="EL659" s="1757"/>
      <c r="EM659" s="1757"/>
      <c r="EN659" s="1757"/>
      <c r="EO659" s="1757"/>
      <c r="EP659" s="1757"/>
      <c r="EQ659" s="1757"/>
      <c r="ER659" s="1757"/>
      <c r="ES659" s="1757"/>
      <c r="ET659" s="1757"/>
      <c r="EU659" s="1757"/>
      <c r="EV659" s="1757"/>
      <c r="EW659" s="1757"/>
      <c r="EX659" s="1757"/>
      <c r="EY659" s="1757"/>
      <c r="EZ659" s="1757"/>
      <c r="FA659" s="1757"/>
      <c r="FB659" s="1757"/>
      <c r="FC659" s="1757"/>
      <c r="FD659" s="1757"/>
      <c r="FE659" s="1757"/>
      <c r="FF659" s="1757"/>
      <c r="FG659" s="1757"/>
      <c r="FH659" s="1757"/>
      <c r="FI659" s="1757"/>
    </row>
    <row r="660" spans="1:165">
      <c r="A660" s="1757"/>
      <c r="B660" s="1757"/>
      <c r="C660" s="1757"/>
      <c r="D660" s="1757"/>
      <c r="E660" s="1757"/>
      <c r="F660" s="1757"/>
      <c r="G660" s="1757"/>
      <c r="H660" s="1757"/>
      <c r="I660" s="1757"/>
      <c r="J660" s="1757"/>
      <c r="K660" s="1757"/>
      <c r="L660" s="1757"/>
      <c r="M660" s="1757"/>
      <c r="N660" s="1757"/>
      <c r="O660" s="1757"/>
      <c r="P660" s="1757"/>
      <c r="Q660" s="1757"/>
      <c r="R660" s="1757"/>
      <c r="S660" s="1757"/>
      <c r="T660" s="1757"/>
      <c r="U660" s="1757"/>
      <c r="V660" s="1757"/>
      <c r="W660" s="1757"/>
      <c r="X660" s="1757"/>
      <c r="Y660" s="1757"/>
      <c r="Z660" s="1757"/>
      <c r="AA660" s="1757"/>
      <c r="AB660" s="1757"/>
      <c r="AC660" s="1757"/>
      <c r="AD660" s="1757"/>
      <c r="AE660" s="1757"/>
      <c r="AF660" s="1757"/>
      <c r="AG660" s="1757"/>
      <c r="AH660" s="1757"/>
      <c r="AI660" s="1757"/>
      <c r="AJ660" s="1757"/>
      <c r="AK660" s="1757"/>
      <c r="AL660" s="1757"/>
      <c r="AM660" s="1757"/>
      <c r="AN660" s="1757"/>
      <c r="AO660" s="1757"/>
      <c r="AP660" s="1757"/>
      <c r="AQ660" s="1757"/>
      <c r="AR660" s="1757"/>
      <c r="AS660" s="1757"/>
      <c r="AT660" s="1757"/>
      <c r="AU660" s="1757"/>
      <c r="AV660" s="1757"/>
      <c r="AW660" s="1757"/>
      <c r="AX660" s="1757"/>
      <c r="AY660" s="1757"/>
      <c r="AZ660" s="1757"/>
      <c r="BA660" s="1757"/>
      <c r="BB660" s="1757"/>
      <c r="BC660" s="1757"/>
      <c r="BD660" s="1757"/>
      <c r="BE660" s="1757"/>
      <c r="BF660" s="1757"/>
      <c r="BG660" s="1757"/>
      <c r="BH660" s="1757"/>
      <c r="BI660" s="1757"/>
      <c r="BJ660" s="1757"/>
      <c r="BK660" s="1757"/>
      <c r="BL660" s="1757"/>
      <c r="BM660" s="1757"/>
      <c r="BN660" s="1757"/>
      <c r="BO660" s="1757"/>
      <c r="BP660" s="1757"/>
      <c r="BQ660" s="1757"/>
      <c r="BR660" s="1757"/>
      <c r="BS660" s="1757"/>
      <c r="BT660" s="1757"/>
      <c r="BU660" s="1757"/>
      <c r="BV660" s="1757"/>
      <c r="BW660" s="1757"/>
      <c r="BX660" s="1757"/>
      <c r="BY660" s="1757"/>
      <c r="BZ660" s="1757"/>
      <c r="CA660" s="1757"/>
      <c r="CB660" s="1757"/>
      <c r="CC660" s="1757"/>
      <c r="CD660" s="1757"/>
      <c r="CE660" s="1757"/>
      <c r="CF660" s="1757"/>
      <c r="CG660" s="1757"/>
      <c r="CH660" s="1757"/>
      <c r="CI660" s="1757"/>
      <c r="CJ660" s="1757"/>
      <c r="CK660" s="1757"/>
      <c r="CL660" s="1757"/>
      <c r="CM660" s="1757"/>
      <c r="CN660" s="1757"/>
      <c r="CO660" s="1757"/>
      <c r="CP660" s="1757"/>
      <c r="CQ660" s="1757"/>
      <c r="CR660" s="1757"/>
      <c r="CS660" s="1757"/>
      <c r="CT660" s="1757"/>
      <c r="CU660" s="1757"/>
      <c r="CV660" s="1757"/>
      <c r="CW660" s="1757"/>
      <c r="CX660" s="1757"/>
      <c r="CY660" s="1757"/>
      <c r="CZ660" s="1757"/>
      <c r="DA660" s="1757"/>
      <c r="DB660" s="1757"/>
      <c r="DC660" s="1757"/>
      <c r="DD660" s="1757"/>
      <c r="DE660" s="1757"/>
      <c r="DF660" s="1757"/>
      <c r="DG660" s="1757"/>
      <c r="DH660" s="1757"/>
      <c r="DI660" s="1757"/>
      <c r="DJ660" s="1757"/>
      <c r="DK660" s="1757"/>
      <c r="DL660" s="1757"/>
      <c r="DM660" s="1757"/>
      <c r="DN660" s="1757"/>
      <c r="DO660" s="1757"/>
      <c r="DP660" s="1757"/>
      <c r="DQ660" s="1757"/>
      <c r="DR660" s="1757"/>
      <c r="DS660" s="1757"/>
      <c r="DT660" s="1757"/>
      <c r="DU660" s="1757"/>
      <c r="DV660" s="1757"/>
      <c r="DW660" s="1757"/>
      <c r="DX660" s="1757"/>
      <c r="DY660" s="1757"/>
      <c r="DZ660" s="1757"/>
      <c r="EA660" s="1757"/>
      <c r="EB660" s="1757"/>
      <c r="EC660" s="1757"/>
      <c r="ED660" s="1757"/>
      <c r="EE660" s="1757"/>
      <c r="EF660" s="1757"/>
      <c r="EG660" s="1757"/>
      <c r="EH660" s="1757"/>
      <c r="EI660" s="1757"/>
      <c r="EJ660" s="1757"/>
      <c r="EK660" s="1757"/>
      <c r="EL660" s="1757"/>
      <c r="EM660" s="1757"/>
      <c r="EN660" s="1757"/>
      <c r="EO660" s="1757"/>
      <c r="EP660" s="1757"/>
      <c r="EQ660" s="1757"/>
      <c r="ER660" s="1757"/>
      <c r="ES660" s="1757"/>
      <c r="ET660" s="1757"/>
      <c r="EU660" s="1757"/>
      <c r="EV660" s="1757"/>
      <c r="EW660" s="1757"/>
      <c r="EX660" s="1757"/>
      <c r="EY660" s="1757"/>
      <c r="EZ660" s="1757"/>
      <c r="FA660" s="1757"/>
      <c r="FB660" s="1757"/>
      <c r="FC660" s="1757"/>
      <c r="FD660" s="1757"/>
      <c r="FE660" s="1757"/>
      <c r="FF660" s="1757"/>
      <c r="FG660" s="1757"/>
      <c r="FH660" s="1757"/>
      <c r="FI660" s="1757"/>
    </row>
    <row r="661" spans="1:165">
      <c r="A661" s="1757"/>
      <c r="B661" s="1757"/>
      <c r="C661" s="1757"/>
      <c r="D661" s="1757"/>
      <c r="E661" s="1757"/>
      <c r="F661" s="1757"/>
      <c r="G661" s="1757"/>
      <c r="H661" s="1757"/>
      <c r="I661" s="1757"/>
      <c r="J661" s="1757"/>
      <c r="K661" s="1757"/>
      <c r="L661" s="1757"/>
      <c r="M661" s="1757"/>
      <c r="N661" s="1757"/>
      <c r="O661" s="1757"/>
      <c r="P661" s="1757"/>
      <c r="Q661" s="1757"/>
      <c r="R661" s="1757"/>
      <c r="S661" s="1757"/>
      <c r="T661" s="1757"/>
      <c r="U661" s="1757"/>
      <c r="V661" s="1757"/>
      <c r="W661" s="1757"/>
      <c r="X661" s="1757"/>
      <c r="Y661" s="1757"/>
      <c r="Z661" s="1757"/>
      <c r="AA661" s="1757"/>
      <c r="AB661" s="1757"/>
      <c r="AC661" s="1757"/>
      <c r="AD661" s="1757"/>
      <c r="AE661" s="1757"/>
      <c r="AF661" s="1757"/>
      <c r="AG661" s="1757"/>
      <c r="AH661" s="1757"/>
      <c r="AI661" s="1757"/>
      <c r="AJ661" s="1757"/>
      <c r="AK661" s="1757"/>
      <c r="AL661" s="1757"/>
      <c r="AM661" s="1757"/>
      <c r="AN661" s="1757"/>
      <c r="AO661" s="1757"/>
      <c r="AP661" s="1757"/>
      <c r="AQ661" s="1757"/>
      <c r="AR661" s="1757"/>
      <c r="AS661" s="1757"/>
      <c r="AT661" s="1757"/>
      <c r="AU661" s="1757"/>
      <c r="AV661" s="1757"/>
      <c r="AW661" s="1757"/>
      <c r="AX661" s="1757"/>
      <c r="AY661" s="1757"/>
      <c r="AZ661" s="1757"/>
      <c r="BA661" s="1757"/>
      <c r="BB661" s="1757"/>
      <c r="BC661" s="1757"/>
      <c r="BD661" s="1757"/>
      <c r="BE661" s="1757"/>
      <c r="BF661" s="1757"/>
      <c r="BG661" s="1757"/>
      <c r="BH661" s="1757"/>
      <c r="BI661" s="1757"/>
      <c r="BJ661" s="1757"/>
      <c r="BK661" s="1757"/>
      <c r="BL661" s="1757"/>
      <c r="BM661" s="1757"/>
      <c r="BN661" s="1757"/>
      <c r="BO661" s="1757"/>
      <c r="BP661" s="1757"/>
      <c r="BQ661" s="1757"/>
      <c r="BR661" s="1757"/>
      <c r="BS661" s="1757"/>
      <c r="BT661" s="1757"/>
      <c r="BU661" s="1757"/>
      <c r="BV661" s="1757"/>
      <c r="BW661" s="1757"/>
      <c r="BX661" s="1757"/>
      <c r="BY661" s="1757"/>
      <c r="BZ661" s="1757"/>
      <c r="CA661" s="1757"/>
      <c r="CB661" s="1757"/>
      <c r="CC661" s="1757"/>
      <c r="CD661" s="1757"/>
      <c r="CE661" s="1757"/>
      <c r="CF661" s="1757"/>
      <c r="CG661" s="1757"/>
      <c r="CH661" s="1757"/>
      <c r="CI661" s="1757"/>
      <c r="CJ661" s="1757"/>
      <c r="CK661" s="1757"/>
      <c r="CL661" s="1757"/>
      <c r="CM661" s="1757"/>
      <c r="CN661" s="1757"/>
      <c r="CO661" s="1757"/>
      <c r="CP661" s="1757"/>
      <c r="CQ661" s="1757"/>
      <c r="CR661" s="1757"/>
      <c r="CS661" s="1757"/>
      <c r="CT661" s="1757"/>
      <c r="CU661" s="1757"/>
      <c r="CV661" s="1757"/>
      <c r="CW661" s="1757"/>
      <c r="CX661" s="1757"/>
      <c r="CY661" s="1757"/>
      <c r="CZ661" s="1757"/>
      <c r="DA661" s="1757"/>
      <c r="DB661" s="1757"/>
      <c r="DC661" s="1757"/>
      <c r="DD661" s="1757"/>
      <c r="DE661" s="1757"/>
      <c r="DF661" s="1757"/>
      <c r="DG661" s="1757"/>
      <c r="DH661" s="1757"/>
      <c r="DI661" s="1757"/>
      <c r="DJ661" s="1757"/>
      <c r="DK661" s="1757"/>
      <c r="DL661" s="1757"/>
      <c r="DM661" s="1757"/>
      <c r="DN661" s="1757"/>
      <c r="DO661" s="1757"/>
      <c r="DP661" s="1757"/>
      <c r="DQ661" s="1757"/>
      <c r="DR661" s="1757"/>
      <c r="DS661" s="1757"/>
      <c r="DT661" s="1757"/>
      <c r="DU661" s="1757"/>
      <c r="DV661" s="1757"/>
      <c r="DW661" s="1757"/>
      <c r="DX661" s="1757"/>
      <c r="DY661" s="1757"/>
      <c r="DZ661" s="1757"/>
      <c r="EA661" s="1757"/>
      <c r="EB661" s="1757"/>
      <c r="EC661" s="1757"/>
      <c r="ED661" s="1757"/>
      <c r="EE661" s="1757"/>
      <c r="EF661" s="1757"/>
      <c r="EG661" s="1757"/>
      <c r="EH661" s="1757"/>
      <c r="EI661" s="1757"/>
      <c r="EJ661" s="1757"/>
      <c r="EK661" s="1757"/>
      <c r="EL661" s="1757"/>
      <c r="EM661" s="1757"/>
      <c r="EN661" s="1757"/>
      <c r="EO661" s="1757"/>
      <c r="EP661" s="1757"/>
      <c r="EQ661" s="1757"/>
      <c r="ER661" s="1757"/>
      <c r="ES661" s="1757"/>
      <c r="ET661" s="1757"/>
      <c r="EU661" s="1757"/>
      <c r="EV661" s="1757"/>
      <c r="EW661" s="1757"/>
      <c r="EX661" s="1757"/>
      <c r="EY661" s="1757"/>
      <c r="EZ661" s="1757"/>
      <c r="FA661" s="1757"/>
      <c r="FB661" s="1757"/>
      <c r="FC661" s="1757"/>
      <c r="FD661" s="1757"/>
      <c r="FE661" s="1757"/>
      <c r="FF661" s="1757"/>
      <c r="FG661" s="1757"/>
      <c r="FH661" s="1757"/>
      <c r="FI661" s="1757"/>
    </row>
    <row r="662" spans="1:165">
      <c r="A662" s="1757"/>
      <c r="B662" s="1757"/>
      <c r="C662" s="1757"/>
      <c r="D662" s="1757"/>
      <c r="E662" s="1757"/>
      <c r="F662" s="1757"/>
      <c r="G662" s="1757"/>
      <c r="H662" s="1757"/>
      <c r="I662" s="1757"/>
      <c r="J662" s="1757"/>
      <c r="K662" s="1757"/>
      <c r="L662" s="1757"/>
      <c r="M662" s="1757"/>
      <c r="N662" s="1757"/>
      <c r="O662" s="1757"/>
      <c r="P662" s="1757"/>
      <c r="Q662" s="1757"/>
      <c r="R662" s="1757"/>
      <c r="S662" s="1757"/>
      <c r="T662" s="1757"/>
      <c r="U662" s="1757"/>
      <c r="V662" s="1757"/>
      <c r="W662" s="1757"/>
      <c r="X662" s="1757"/>
      <c r="Y662" s="1757"/>
      <c r="Z662" s="1757"/>
      <c r="AA662" s="1757"/>
      <c r="AB662" s="1757"/>
      <c r="AC662" s="1757"/>
      <c r="AD662" s="1757"/>
      <c r="AE662" s="1757"/>
      <c r="AF662" s="1757"/>
      <c r="AG662" s="1757"/>
      <c r="AH662" s="1757"/>
      <c r="AI662" s="1757"/>
      <c r="AJ662" s="1757"/>
      <c r="AK662" s="1757"/>
      <c r="AL662" s="1757"/>
      <c r="AM662" s="1757"/>
      <c r="AN662" s="1757"/>
      <c r="AO662" s="1757"/>
      <c r="AP662" s="1757"/>
      <c r="AQ662" s="1757"/>
      <c r="AR662" s="1757"/>
      <c r="AS662" s="1757"/>
      <c r="AT662" s="1757"/>
      <c r="AU662" s="1757"/>
      <c r="AV662" s="1757"/>
      <c r="AW662" s="1757"/>
      <c r="AX662" s="1757"/>
      <c r="AY662" s="1757"/>
      <c r="AZ662" s="1757"/>
      <c r="BA662" s="1757"/>
      <c r="BB662" s="1757"/>
      <c r="BC662" s="1757"/>
      <c r="BD662" s="1757"/>
      <c r="BE662" s="1757"/>
      <c r="BF662" s="1757"/>
      <c r="BG662" s="1757"/>
      <c r="BH662" s="1757"/>
      <c r="BI662" s="1757"/>
      <c r="BJ662" s="1757"/>
      <c r="BK662" s="1757"/>
      <c r="BL662" s="1757"/>
      <c r="BM662" s="1757"/>
      <c r="BN662" s="1757"/>
      <c r="BO662" s="1757"/>
      <c r="BP662" s="1757"/>
      <c r="BQ662" s="1757"/>
      <c r="BR662" s="1757"/>
      <c r="BS662" s="1757"/>
      <c r="BT662" s="1757"/>
      <c r="BU662" s="1757"/>
      <c r="BV662" s="1757"/>
      <c r="BW662" s="1757"/>
      <c r="BX662" s="1757"/>
      <c r="BY662" s="1757"/>
      <c r="BZ662" s="1757"/>
      <c r="CA662" s="1757"/>
      <c r="CB662" s="1757"/>
      <c r="CC662" s="1757"/>
      <c r="CD662" s="1757"/>
      <c r="CE662" s="1757"/>
      <c r="CF662" s="1757"/>
      <c r="CG662" s="1757"/>
      <c r="CH662" s="1757"/>
      <c r="CI662" s="1757"/>
      <c r="CJ662" s="1757"/>
      <c r="CK662" s="1757"/>
      <c r="CL662" s="1757"/>
      <c r="CM662" s="1757"/>
      <c r="CN662" s="1757"/>
      <c r="CO662" s="1757"/>
      <c r="CP662" s="1757"/>
      <c r="CQ662" s="1757"/>
      <c r="CR662" s="1757"/>
      <c r="CS662" s="1757"/>
      <c r="CT662" s="1757"/>
      <c r="CU662" s="1757"/>
      <c r="CV662" s="1757"/>
      <c r="CW662" s="1757"/>
      <c r="CX662" s="1757"/>
      <c r="CY662" s="1757"/>
      <c r="CZ662" s="1757"/>
      <c r="DA662" s="1757"/>
      <c r="DB662" s="1757"/>
      <c r="DC662" s="1757"/>
      <c r="DD662" s="1757"/>
      <c r="DE662" s="1757"/>
      <c r="DF662" s="1757"/>
      <c r="DG662" s="1757"/>
      <c r="DH662" s="1757"/>
      <c r="DI662" s="1757"/>
      <c r="DJ662" s="1757"/>
      <c r="DK662" s="1757"/>
      <c r="DL662" s="1757"/>
      <c r="DM662" s="1757"/>
      <c r="DN662" s="1757"/>
      <c r="DO662" s="1757"/>
      <c r="DP662" s="1757"/>
      <c r="DQ662" s="1757"/>
      <c r="DR662" s="1757"/>
      <c r="DS662" s="1757"/>
      <c r="DT662" s="1757"/>
      <c r="DU662" s="1757"/>
      <c r="DV662" s="1757"/>
      <c r="DW662" s="1757"/>
      <c r="DX662" s="1757"/>
      <c r="DY662" s="1757"/>
      <c r="DZ662" s="1757"/>
      <c r="EA662" s="1757"/>
      <c r="EB662" s="1757"/>
      <c r="EC662" s="1757"/>
      <c r="ED662" s="1757"/>
      <c r="EE662" s="1757"/>
      <c r="EF662" s="1757"/>
      <c r="EG662" s="1757"/>
      <c r="EH662" s="1757"/>
      <c r="EI662" s="1757"/>
      <c r="EJ662" s="1757"/>
      <c r="EK662" s="1757"/>
      <c r="EL662" s="1757"/>
      <c r="EM662" s="1757"/>
      <c r="EN662" s="1757"/>
      <c r="EO662" s="1757"/>
      <c r="EP662" s="1757"/>
      <c r="EQ662" s="1757"/>
      <c r="ER662" s="1757"/>
      <c r="ES662" s="1757"/>
      <c r="ET662" s="1757"/>
      <c r="EU662" s="1757"/>
      <c r="EV662" s="1757"/>
      <c r="EW662" s="1757"/>
      <c r="EX662" s="1757"/>
      <c r="EY662" s="1757"/>
      <c r="EZ662" s="1757"/>
      <c r="FA662" s="1757"/>
      <c r="FB662" s="1757"/>
      <c r="FC662" s="1757"/>
      <c r="FD662" s="1757"/>
      <c r="FE662" s="1757"/>
      <c r="FF662" s="1757"/>
      <c r="FG662" s="1757"/>
      <c r="FH662" s="1757"/>
      <c r="FI662" s="1757"/>
    </row>
    <row r="663" spans="1:165">
      <c r="A663" s="1757"/>
      <c r="B663" s="1757"/>
      <c r="C663" s="1757"/>
      <c r="D663" s="1757"/>
      <c r="E663" s="1757"/>
      <c r="F663" s="1757"/>
      <c r="G663" s="1757"/>
      <c r="H663" s="1757"/>
      <c r="I663" s="1757"/>
      <c r="J663" s="1757"/>
      <c r="K663" s="1757"/>
      <c r="L663" s="1757"/>
      <c r="M663" s="1757"/>
      <c r="N663" s="1757"/>
      <c r="O663" s="1757"/>
      <c r="P663" s="1757"/>
      <c r="Q663" s="1757"/>
      <c r="R663" s="1757"/>
      <c r="S663" s="1757"/>
      <c r="T663" s="1757"/>
      <c r="U663" s="1757"/>
      <c r="V663" s="1757"/>
      <c r="W663" s="1757"/>
      <c r="X663" s="1757"/>
      <c r="Y663" s="1757"/>
      <c r="Z663" s="1757"/>
      <c r="AA663" s="1757"/>
      <c r="AB663" s="1757"/>
      <c r="AC663" s="1757"/>
      <c r="AD663" s="1757"/>
      <c r="AE663" s="1757"/>
      <c r="AF663" s="1757"/>
      <c r="AG663" s="1757"/>
      <c r="AH663" s="1757"/>
      <c r="AI663" s="1757"/>
      <c r="AJ663" s="1757"/>
      <c r="AK663" s="1757"/>
      <c r="AL663" s="1757"/>
      <c r="AM663" s="1757"/>
      <c r="AN663" s="1757"/>
      <c r="AO663" s="1757"/>
      <c r="AP663" s="1757"/>
      <c r="AQ663" s="1757"/>
      <c r="AR663" s="1757"/>
      <c r="AS663" s="1757"/>
      <c r="AT663" s="1757"/>
      <c r="AU663" s="1757"/>
      <c r="AV663" s="1757"/>
      <c r="AW663" s="1757"/>
      <c r="AX663" s="1757"/>
      <c r="AY663" s="1757"/>
      <c r="AZ663" s="1757"/>
      <c r="BA663" s="1757"/>
      <c r="BB663" s="1757"/>
      <c r="BC663" s="1757"/>
      <c r="BD663" s="1757"/>
      <c r="BE663" s="1757"/>
      <c r="BF663" s="1757"/>
      <c r="BG663" s="1757"/>
      <c r="BH663" s="1757"/>
      <c r="BI663" s="1757"/>
      <c r="BJ663" s="1757"/>
      <c r="BK663" s="1757"/>
      <c r="BL663" s="1757"/>
      <c r="BM663" s="1757"/>
      <c r="BN663" s="1757"/>
      <c r="BO663" s="1757"/>
      <c r="BP663" s="1757"/>
      <c r="BQ663" s="1757"/>
      <c r="BR663" s="1757"/>
      <c r="BS663" s="1757"/>
      <c r="BT663" s="1757"/>
      <c r="BU663" s="1757"/>
      <c r="BV663" s="1757"/>
      <c r="BW663" s="1757"/>
      <c r="BX663" s="1757"/>
      <c r="BY663" s="1757"/>
      <c r="BZ663" s="1757"/>
      <c r="CA663" s="1757"/>
      <c r="CB663" s="1757"/>
      <c r="CC663" s="1757"/>
      <c r="CD663" s="1757"/>
      <c r="CE663" s="1757"/>
      <c r="CF663" s="1757"/>
      <c r="CG663" s="1757"/>
      <c r="CH663" s="1757"/>
      <c r="CI663" s="1757"/>
      <c r="CJ663" s="1757"/>
      <c r="CK663" s="1757"/>
      <c r="CL663" s="1757"/>
      <c r="CM663" s="1757"/>
      <c r="CN663" s="1757"/>
      <c r="CO663" s="1757"/>
      <c r="CP663" s="1757"/>
      <c r="CQ663" s="1757"/>
      <c r="CR663" s="1757"/>
      <c r="CS663" s="1757"/>
      <c r="CT663" s="1757"/>
      <c r="CU663" s="1757"/>
      <c r="CV663" s="1757"/>
      <c r="CW663" s="1757"/>
      <c r="CX663" s="1757"/>
      <c r="CY663" s="1757"/>
      <c r="CZ663" s="1757"/>
      <c r="DA663" s="1757"/>
      <c r="DB663" s="1757"/>
      <c r="DC663" s="1757"/>
      <c r="DD663" s="1757"/>
      <c r="DE663" s="1757"/>
      <c r="DF663" s="1757"/>
      <c r="DG663" s="1757"/>
      <c r="DH663" s="1757"/>
      <c r="DI663" s="1757"/>
      <c r="DJ663" s="1757"/>
      <c r="DK663" s="1757"/>
      <c r="DL663" s="1757"/>
      <c r="DM663" s="1757"/>
      <c r="DN663" s="1757"/>
      <c r="DO663" s="1757"/>
      <c r="DP663" s="1757"/>
      <c r="DQ663" s="1757"/>
      <c r="DR663" s="1757"/>
      <c r="DS663" s="1757"/>
      <c r="DT663" s="1757"/>
      <c r="DU663" s="1757"/>
      <c r="DV663" s="1757"/>
      <c r="DW663" s="1757"/>
      <c r="DX663" s="1757"/>
      <c r="DY663" s="1757"/>
      <c r="DZ663" s="1757"/>
      <c r="EA663" s="1757"/>
      <c r="EB663" s="1757"/>
      <c r="EC663" s="1757"/>
      <c r="ED663" s="1757"/>
      <c r="EE663" s="1757"/>
      <c r="EF663" s="1757"/>
      <c r="EG663" s="1757"/>
      <c r="EH663" s="1757"/>
      <c r="EI663" s="1757"/>
      <c r="EJ663" s="1757"/>
      <c r="EK663" s="1757"/>
      <c r="EL663" s="1757"/>
      <c r="EM663" s="1757"/>
      <c r="EN663" s="1757"/>
      <c r="EO663" s="1757"/>
      <c r="EP663" s="1757"/>
      <c r="EQ663" s="1757"/>
      <c r="ER663" s="1757"/>
      <c r="ES663" s="1757"/>
      <c r="ET663" s="1757"/>
      <c r="EU663" s="1757"/>
      <c r="EV663" s="1757"/>
      <c r="EW663" s="1757"/>
      <c r="EX663" s="1757"/>
      <c r="EY663" s="1757"/>
      <c r="EZ663" s="1757"/>
      <c r="FA663" s="1757"/>
      <c r="FB663" s="1757"/>
      <c r="FC663" s="1757"/>
      <c r="FD663" s="1757"/>
      <c r="FE663" s="1757"/>
      <c r="FF663" s="1757"/>
      <c r="FG663" s="1757"/>
      <c r="FH663" s="1757"/>
      <c r="FI663" s="1757"/>
    </row>
    <row r="664" spans="1:165">
      <c r="A664" s="1757"/>
      <c r="B664" s="1757"/>
      <c r="C664" s="1757"/>
      <c r="D664" s="1757"/>
      <c r="E664" s="1757"/>
      <c r="F664" s="1757"/>
      <c r="G664" s="1757"/>
      <c r="H664" s="1757"/>
      <c r="I664" s="1757"/>
      <c r="J664" s="1757"/>
      <c r="K664" s="1757"/>
      <c r="L664" s="1757"/>
      <c r="M664" s="1757"/>
      <c r="N664" s="1757"/>
      <c r="O664" s="1757"/>
      <c r="P664" s="1757"/>
      <c r="Q664" s="1757"/>
      <c r="R664" s="1757"/>
      <c r="S664" s="1757"/>
      <c r="T664" s="1757"/>
      <c r="U664" s="1757"/>
      <c r="V664" s="1757"/>
      <c r="W664" s="1757"/>
      <c r="X664" s="1757"/>
      <c r="Y664" s="1757"/>
      <c r="Z664" s="1757"/>
      <c r="AA664" s="1757"/>
      <c r="AB664" s="1757"/>
      <c r="AC664" s="1757"/>
      <c r="AD664" s="1757"/>
      <c r="AE664" s="1757"/>
      <c r="AF664" s="1757"/>
      <c r="AG664" s="1757"/>
      <c r="AH664" s="1757"/>
      <c r="AI664" s="1757"/>
      <c r="AJ664" s="1757"/>
      <c r="AK664" s="1757"/>
      <c r="AL664" s="1757"/>
      <c r="AM664" s="1757"/>
      <c r="AN664" s="1757"/>
      <c r="AO664" s="1757"/>
      <c r="AP664" s="1757"/>
      <c r="AQ664" s="1757"/>
      <c r="AR664" s="1757"/>
      <c r="AS664" s="1757"/>
      <c r="AT664" s="1757"/>
      <c r="AU664" s="1757"/>
      <c r="AV664" s="1757"/>
      <c r="AW664" s="1757"/>
      <c r="AX664" s="1757"/>
      <c r="AY664" s="1757"/>
      <c r="AZ664" s="1757"/>
      <c r="BA664" s="1757"/>
      <c r="BB664" s="1757"/>
      <c r="BC664" s="1757"/>
      <c r="BD664" s="1757"/>
      <c r="BE664" s="1757"/>
      <c r="BF664" s="1757"/>
      <c r="BG664" s="1757"/>
      <c r="BH664" s="1757"/>
      <c r="BI664" s="1757"/>
      <c r="BJ664" s="1757"/>
      <c r="BK664" s="1757"/>
      <c r="BL664" s="1757"/>
      <c r="BM664" s="1757"/>
      <c r="BN664" s="1757"/>
      <c r="BO664" s="1757"/>
      <c r="BP664" s="1757"/>
      <c r="BQ664" s="1757"/>
      <c r="BR664" s="1757"/>
      <c r="BS664" s="1757"/>
      <c r="BT664" s="1757"/>
      <c r="BU664" s="1757"/>
      <c r="BV664" s="1757"/>
      <c r="BW664" s="1757"/>
      <c r="BX664" s="1757"/>
      <c r="BY664" s="1757"/>
      <c r="BZ664" s="1757"/>
      <c r="CA664" s="1757"/>
      <c r="CB664" s="1757"/>
      <c r="CC664" s="1757"/>
      <c r="CD664" s="1757"/>
      <c r="CE664" s="1757"/>
      <c r="CF664" s="1757"/>
      <c r="CG664" s="1757"/>
      <c r="CH664" s="1757"/>
      <c r="CI664" s="1757"/>
      <c r="CJ664" s="1757"/>
      <c r="CK664" s="1757"/>
      <c r="CL664" s="1757"/>
      <c r="CM664" s="1757"/>
      <c r="CN664" s="1757"/>
      <c r="CO664" s="1757"/>
      <c r="CP664" s="1757"/>
      <c r="CQ664" s="1757"/>
      <c r="CR664" s="1757"/>
      <c r="CS664" s="1757"/>
      <c r="CT664" s="1757"/>
      <c r="CU664" s="1757"/>
      <c r="CV664" s="1757"/>
      <c r="CW664" s="1757"/>
      <c r="CX664" s="1757"/>
      <c r="CY664" s="1757"/>
      <c r="CZ664" s="1757"/>
      <c r="DA664" s="1757"/>
      <c r="DB664" s="1757"/>
      <c r="DC664" s="1757"/>
      <c r="DD664" s="1757"/>
      <c r="DE664" s="1757"/>
      <c r="DF664" s="1757"/>
      <c r="DG664" s="1757"/>
      <c r="DH664" s="1757"/>
      <c r="DI664" s="1757"/>
      <c r="DJ664" s="1757"/>
      <c r="DK664" s="1757"/>
      <c r="DL664" s="1757"/>
      <c r="DM664" s="1757"/>
      <c r="DN664" s="1757"/>
      <c r="DO664" s="1757"/>
      <c r="DP664" s="1757"/>
      <c r="DQ664" s="1757"/>
      <c r="DR664" s="1757"/>
      <c r="DS664" s="1757"/>
      <c r="DT664" s="1757"/>
      <c r="DU664" s="1757"/>
      <c r="DV664" s="1757"/>
      <c r="DW664" s="1757"/>
      <c r="DX664" s="1757"/>
      <c r="DY664" s="1757"/>
      <c r="DZ664" s="1757"/>
      <c r="EA664" s="1757"/>
      <c r="EB664" s="1757"/>
      <c r="EC664" s="1757"/>
      <c r="ED664" s="1757"/>
      <c r="EE664" s="1757"/>
      <c r="EF664" s="1757"/>
      <c r="EG664" s="1757"/>
      <c r="EH664" s="1757"/>
      <c r="EI664" s="1757"/>
      <c r="EJ664" s="1757"/>
      <c r="EK664" s="1757"/>
      <c r="EL664" s="1757"/>
      <c r="EM664" s="1757"/>
      <c r="EN664" s="1757"/>
      <c r="EO664" s="1757"/>
      <c r="EP664" s="1757"/>
      <c r="EQ664" s="1757"/>
      <c r="ER664" s="1757"/>
      <c r="ES664" s="1757"/>
      <c r="ET664" s="1757"/>
      <c r="EU664" s="1757"/>
      <c r="EV664" s="1757"/>
      <c r="EW664" s="1757"/>
      <c r="EX664" s="1757"/>
      <c r="EY664" s="1757"/>
      <c r="EZ664" s="1757"/>
      <c r="FA664" s="1757"/>
      <c r="FB664" s="1757"/>
      <c r="FC664" s="1757"/>
      <c r="FD664" s="1757"/>
      <c r="FE664" s="1757"/>
      <c r="FF664" s="1757"/>
      <c r="FG664" s="1757"/>
      <c r="FH664" s="1757"/>
      <c r="FI664" s="1757"/>
    </row>
    <row r="665" spans="1:165">
      <c r="A665" s="1757"/>
      <c r="B665" s="1757"/>
      <c r="C665" s="1757"/>
      <c r="D665" s="1757"/>
      <c r="E665" s="1757"/>
      <c r="F665" s="1757"/>
      <c r="G665" s="1757"/>
      <c r="H665" s="1757"/>
      <c r="I665" s="1757"/>
      <c r="J665" s="1757"/>
      <c r="K665" s="1757"/>
      <c r="L665" s="1757"/>
      <c r="M665" s="1757"/>
      <c r="N665" s="1757"/>
      <c r="O665" s="1757"/>
      <c r="P665" s="1757"/>
      <c r="Q665" s="1757"/>
      <c r="R665" s="1757"/>
      <c r="S665" s="1757"/>
      <c r="T665" s="1757"/>
      <c r="U665" s="1757"/>
      <c r="V665" s="1757"/>
      <c r="W665" s="1757"/>
      <c r="X665" s="1757"/>
      <c r="Y665" s="1757"/>
      <c r="Z665" s="1757"/>
      <c r="AA665" s="1757"/>
      <c r="AB665" s="1757"/>
      <c r="AC665" s="1757"/>
      <c r="AD665" s="1757"/>
      <c r="AE665" s="1757"/>
      <c r="AF665" s="1757"/>
      <c r="AG665" s="1757"/>
      <c r="AH665" s="1757"/>
      <c r="AI665" s="1757"/>
      <c r="AJ665" s="1757"/>
      <c r="AK665" s="1757"/>
      <c r="AL665" s="1757"/>
      <c r="AM665" s="1757"/>
      <c r="AN665" s="1757"/>
      <c r="AO665" s="1757"/>
      <c r="AP665" s="1757"/>
      <c r="AQ665" s="1757"/>
      <c r="AR665" s="1757"/>
      <c r="AS665" s="1757"/>
      <c r="AT665" s="1757"/>
      <c r="AU665" s="1757"/>
      <c r="AV665" s="1757"/>
      <c r="AW665" s="1757"/>
      <c r="AX665" s="1757"/>
      <c r="AY665" s="1757"/>
      <c r="AZ665" s="1757"/>
      <c r="BA665" s="1757"/>
      <c r="BB665" s="1757"/>
      <c r="BC665" s="1757"/>
      <c r="BD665" s="1757"/>
      <c r="BE665" s="1757"/>
      <c r="BF665" s="1757"/>
      <c r="BG665" s="1757"/>
      <c r="BH665" s="1757"/>
      <c r="BI665" s="1757"/>
      <c r="BJ665" s="1757"/>
      <c r="BK665" s="1757"/>
      <c r="BL665" s="1757"/>
      <c r="BM665" s="1757"/>
      <c r="BN665" s="1757"/>
      <c r="BO665" s="1757"/>
      <c r="BP665" s="1757"/>
      <c r="BQ665" s="1757"/>
      <c r="BR665" s="1757"/>
      <c r="BS665" s="1757"/>
      <c r="BT665" s="1757"/>
      <c r="BU665" s="1757"/>
      <c r="BV665" s="1757"/>
      <c r="BW665" s="1757"/>
      <c r="BX665" s="1757"/>
      <c r="BY665" s="1757"/>
      <c r="BZ665" s="1757"/>
      <c r="CA665" s="1757"/>
      <c r="CB665" s="1757"/>
      <c r="CC665" s="1757"/>
      <c r="CD665" s="1757"/>
      <c r="CE665" s="1757"/>
      <c r="CF665" s="1757"/>
      <c r="CG665" s="1757"/>
      <c r="CH665" s="1757"/>
      <c r="CI665" s="1757"/>
      <c r="CJ665" s="1757"/>
      <c r="CK665" s="1757"/>
      <c r="CL665" s="1757"/>
      <c r="CM665" s="1757"/>
      <c r="CN665" s="1757"/>
      <c r="CO665" s="1757"/>
      <c r="CP665" s="1757"/>
      <c r="CQ665" s="1757"/>
      <c r="CR665" s="1757"/>
      <c r="CS665" s="1757"/>
      <c r="CT665" s="1757"/>
      <c r="CU665" s="1757"/>
      <c r="CV665" s="1757"/>
      <c r="CW665" s="1757"/>
      <c r="CX665" s="1757"/>
      <c r="CY665" s="1757"/>
      <c r="CZ665" s="1757"/>
      <c r="DA665" s="1757"/>
      <c r="DB665" s="1757"/>
      <c r="DC665" s="1757"/>
      <c r="DD665" s="1757"/>
      <c r="DE665" s="1757"/>
      <c r="DF665" s="1757"/>
      <c r="DG665" s="1757"/>
      <c r="DH665" s="1757"/>
      <c r="DI665" s="1757"/>
      <c r="DJ665" s="1757"/>
      <c r="DK665" s="1757"/>
      <c r="DL665" s="1757"/>
      <c r="DM665" s="1757"/>
      <c r="DN665" s="1757"/>
      <c r="DO665" s="1757"/>
      <c r="DP665" s="1757"/>
      <c r="DQ665" s="1757"/>
      <c r="DR665" s="1757"/>
      <c r="DS665" s="1757"/>
      <c r="DT665" s="1757"/>
      <c r="DU665" s="1757"/>
      <c r="DV665" s="1757"/>
      <c r="DW665" s="1757"/>
      <c r="DX665" s="1757"/>
      <c r="DY665" s="1757"/>
      <c r="DZ665" s="1757"/>
      <c r="EA665" s="1757"/>
      <c r="EB665" s="1757"/>
      <c r="EC665" s="1757"/>
      <c r="ED665" s="1757"/>
      <c r="EE665" s="1757"/>
      <c r="EF665" s="1757"/>
      <c r="EG665" s="1757"/>
      <c r="EH665" s="1757"/>
      <c r="EI665" s="1757"/>
      <c r="EJ665" s="1757"/>
      <c r="EK665" s="1757"/>
      <c r="EL665" s="1757"/>
      <c r="EM665" s="1757"/>
      <c r="EN665" s="1757"/>
      <c r="EO665" s="1757"/>
      <c r="EP665" s="1757"/>
      <c r="EQ665" s="1757"/>
      <c r="ER665" s="1757"/>
      <c r="ES665" s="1757"/>
      <c r="ET665" s="1757"/>
      <c r="EU665" s="1757"/>
      <c r="EV665" s="1757"/>
      <c r="EW665" s="1757"/>
      <c r="EX665" s="1757"/>
      <c r="EY665" s="1757"/>
      <c r="EZ665" s="1757"/>
      <c r="FA665" s="1757"/>
      <c r="FB665" s="1757"/>
      <c r="FC665" s="1757"/>
      <c r="FD665" s="1757"/>
      <c r="FE665" s="1757"/>
      <c r="FF665" s="1757"/>
      <c r="FG665" s="1757"/>
      <c r="FH665" s="1757"/>
      <c r="FI665" s="1757"/>
    </row>
    <row r="666" spans="1:165">
      <c r="A666" s="1757"/>
      <c r="B666" s="1757"/>
      <c r="C666" s="1757"/>
      <c r="D666" s="1757"/>
      <c r="E666" s="1757"/>
      <c r="F666" s="1757"/>
      <c r="G666" s="1757"/>
      <c r="H666" s="1757"/>
      <c r="I666" s="1757"/>
      <c r="J666" s="1757"/>
      <c r="K666" s="1757"/>
      <c r="L666" s="1757"/>
      <c r="M666" s="1757"/>
      <c r="N666" s="1757"/>
      <c r="O666" s="1757"/>
      <c r="P666" s="1757"/>
      <c r="Q666" s="1757"/>
      <c r="R666" s="1757"/>
      <c r="S666" s="1757"/>
      <c r="T666" s="1757"/>
      <c r="U666" s="1757"/>
      <c r="V666" s="1757"/>
      <c r="W666" s="1757"/>
      <c r="X666" s="1757"/>
      <c r="Y666" s="1757"/>
      <c r="Z666" s="1757"/>
      <c r="AA666" s="1757"/>
      <c r="AB666" s="1757"/>
      <c r="AC666" s="1757"/>
      <c r="AD666" s="1757"/>
      <c r="AE666" s="1757"/>
      <c r="AF666" s="1757"/>
      <c r="AG666" s="1757"/>
      <c r="AH666" s="1757"/>
      <c r="AI666" s="1757"/>
      <c r="AJ666" s="1757"/>
      <c r="AK666" s="1757"/>
      <c r="AL666" s="1757"/>
      <c r="AM666" s="1757"/>
      <c r="AN666" s="1757"/>
      <c r="AO666" s="1757"/>
      <c r="AP666" s="1757"/>
      <c r="AQ666" s="1757"/>
      <c r="AR666" s="1757"/>
      <c r="AS666" s="1757"/>
      <c r="AT666" s="1757"/>
      <c r="AU666" s="1757"/>
      <c r="AV666" s="1757"/>
      <c r="AW666" s="1757"/>
      <c r="AX666" s="1757"/>
      <c r="AY666" s="1757"/>
      <c r="AZ666" s="1757"/>
      <c r="BA666" s="1757"/>
      <c r="BB666" s="1757"/>
      <c r="BC666" s="1757"/>
      <c r="BD666" s="1757"/>
      <c r="BE666" s="1757"/>
      <c r="BF666" s="1757"/>
      <c r="BG666" s="1757"/>
      <c r="BH666" s="1757"/>
      <c r="BI666" s="1757"/>
      <c r="BJ666" s="1757"/>
      <c r="BK666" s="1757"/>
      <c r="BL666" s="1757"/>
      <c r="BM666" s="1757"/>
      <c r="BN666" s="1757"/>
      <c r="BO666" s="1757"/>
      <c r="BP666" s="1757"/>
      <c r="BQ666" s="1757"/>
      <c r="BR666" s="1757"/>
      <c r="BS666" s="1757"/>
      <c r="BT666" s="1757"/>
      <c r="BU666" s="1757"/>
      <c r="BV666" s="1757"/>
      <c r="BW666" s="1757"/>
      <c r="BX666" s="1757"/>
      <c r="BY666" s="1757"/>
      <c r="BZ666" s="1757"/>
      <c r="CA666" s="1757"/>
      <c r="CB666" s="1757"/>
      <c r="CC666" s="1757"/>
      <c r="CD666" s="1757"/>
      <c r="CE666" s="1757"/>
      <c r="CF666" s="1757"/>
      <c r="CG666" s="1757"/>
      <c r="CH666" s="1757"/>
      <c r="CI666" s="1757"/>
      <c r="CJ666" s="1757"/>
      <c r="CK666" s="1757"/>
      <c r="CL666" s="1757"/>
      <c r="CM666" s="1757"/>
      <c r="CN666" s="1757"/>
      <c r="CO666" s="1757"/>
      <c r="CP666" s="1757"/>
      <c r="CQ666" s="1757"/>
      <c r="CR666" s="1757"/>
      <c r="CS666" s="1757"/>
      <c r="CT666" s="1757"/>
      <c r="CU666" s="1757"/>
      <c r="CV666" s="1757"/>
      <c r="CW666" s="1757"/>
      <c r="CX666" s="1757"/>
      <c r="CY666" s="1757"/>
      <c r="CZ666" s="1757"/>
      <c r="DA666" s="1757"/>
      <c r="DB666" s="1757"/>
      <c r="DC666" s="1757"/>
      <c r="DD666" s="1757"/>
      <c r="DE666" s="1757"/>
      <c r="DF666" s="1757"/>
      <c r="DG666" s="1757"/>
      <c r="DH666" s="1757"/>
      <c r="DI666" s="1757"/>
      <c r="DJ666" s="1757"/>
      <c r="DK666" s="1757"/>
      <c r="DL666" s="1757"/>
      <c r="DM666" s="1757"/>
      <c r="DN666" s="1757"/>
      <c r="DO666" s="1757"/>
      <c r="DP666" s="1757"/>
      <c r="DQ666" s="1757"/>
      <c r="DR666" s="1757"/>
      <c r="DS666" s="1757"/>
      <c r="DT666" s="1757"/>
      <c r="DU666" s="1757"/>
      <c r="DV666" s="1757"/>
      <c r="DW666" s="1757"/>
      <c r="DX666" s="1757"/>
      <c r="DY666" s="1757"/>
      <c r="DZ666" s="1757"/>
      <c r="EA666" s="1757"/>
      <c r="EB666" s="1757"/>
      <c r="EC666" s="1757"/>
      <c r="ED666" s="1757"/>
      <c r="EE666" s="1757"/>
      <c r="EF666" s="1757"/>
      <c r="EG666" s="1757"/>
      <c r="EH666" s="1757"/>
      <c r="EI666" s="1757"/>
      <c r="EJ666" s="1757"/>
      <c r="EK666" s="1757"/>
      <c r="EL666" s="1757"/>
      <c r="EM666" s="1757"/>
      <c r="EN666" s="1757"/>
      <c r="EO666" s="1757"/>
      <c r="EP666" s="1757"/>
      <c r="EQ666" s="1757"/>
      <c r="ER666" s="1757"/>
      <c r="ES666" s="1757"/>
      <c r="ET666" s="1757"/>
      <c r="EU666" s="1757"/>
      <c r="EV666" s="1757"/>
      <c r="EW666" s="1757"/>
      <c r="EX666" s="1757"/>
      <c r="EY666" s="1757"/>
      <c r="EZ666" s="1757"/>
      <c r="FA666" s="1757"/>
      <c r="FB666" s="1757"/>
      <c r="FC666" s="1757"/>
      <c r="FD666" s="1757"/>
      <c r="FE666" s="1757"/>
      <c r="FF666" s="1757"/>
      <c r="FG666" s="1757"/>
      <c r="FH666" s="1757"/>
      <c r="FI666" s="1757"/>
    </row>
    <row r="667" spans="1:165">
      <c r="A667" s="1757"/>
      <c r="B667" s="1757"/>
      <c r="C667" s="1757"/>
      <c r="D667" s="1757"/>
      <c r="E667" s="1757"/>
      <c r="F667" s="1757"/>
      <c r="G667" s="1757"/>
      <c r="H667" s="1757"/>
      <c r="I667" s="1757"/>
      <c r="J667" s="1757"/>
      <c r="K667" s="1757"/>
      <c r="L667" s="1757"/>
      <c r="M667" s="1757"/>
      <c r="N667" s="1757"/>
      <c r="O667" s="1757"/>
      <c r="P667" s="1757"/>
      <c r="Q667" s="1757"/>
      <c r="R667" s="1757"/>
      <c r="S667" s="1757"/>
      <c r="T667" s="1757"/>
      <c r="U667" s="1757"/>
      <c r="V667" s="1757"/>
      <c r="W667" s="1757"/>
      <c r="X667" s="1757"/>
      <c r="Y667" s="1757"/>
      <c r="Z667" s="1757"/>
      <c r="AA667" s="1757"/>
      <c r="AB667" s="1757"/>
      <c r="AC667" s="1757"/>
      <c r="AD667" s="1757"/>
      <c r="AE667" s="1757"/>
      <c r="AF667" s="1757"/>
      <c r="AG667" s="1757"/>
      <c r="AH667" s="1757"/>
      <c r="AI667" s="1757"/>
      <c r="AJ667" s="1757"/>
      <c r="AK667" s="1757"/>
      <c r="AL667" s="1757"/>
      <c r="AM667" s="1757"/>
      <c r="AN667" s="1757"/>
      <c r="AO667" s="1757"/>
      <c r="AP667" s="1757"/>
      <c r="AQ667" s="1757"/>
      <c r="AR667" s="1757"/>
      <c r="AS667" s="1757"/>
      <c r="AT667" s="1757"/>
      <c r="AU667" s="1757"/>
      <c r="AV667" s="1757"/>
      <c r="AW667" s="1757"/>
      <c r="AX667" s="1757"/>
      <c r="AY667" s="1757"/>
      <c r="AZ667" s="1757"/>
      <c r="BA667" s="1757"/>
      <c r="BB667" s="1757"/>
      <c r="BC667" s="1757"/>
      <c r="BD667" s="1757"/>
      <c r="BE667" s="1757"/>
      <c r="BF667" s="1757"/>
      <c r="BG667" s="1757"/>
      <c r="BH667" s="1757"/>
      <c r="BI667" s="1757"/>
      <c r="BJ667" s="1757"/>
      <c r="BK667" s="1757"/>
      <c r="BL667" s="1757"/>
      <c r="BM667" s="1757"/>
      <c r="BN667" s="1757"/>
      <c r="BO667" s="1757"/>
      <c r="BP667" s="1757"/>
      <c r="BQ667" s="1757"/>
      <c r="BR667" s="1757"/>
      <c r="BS667" s="1757"/>
      <c r="BT667" s="1757"/>
      <c r="BU667" s="1757"/>
      <c r="BV667" s="1757"/>
      <c r="BW667" s="1757"/>
      <c r="BX667" s="1757"/>
      <c r="BY667" s="1757"/>
      <c r="BZ667" s="1757"/>
      <c r="CA667" s="1757"/>
      <c r="CB667" s="1757"/>
      <c r="CC667" s="1757"/>
      <c r="CD667" s="1757"/>
      <c r="CE667" s="1757"/>
      <c r="CF667" s="1757"/>
      <c r="CG667" s="1757"/>
      <c r="CH667" s="1757"/>
      <c r="CI667" s="1757"/>
      <c r="CJ667" s="1757"/>
      <c r="CK667" s="1757"/>
      <c r="CL667" s="1757"/>
      <c r="CM667" s="1757"/>
      <c r="CN667" s="1757"/>
      <c r="CO667" s="1757"/>
      <c r="CP667" s="1757"/>
      <c r="CQ667" s="1757"/>
      <c r="CR667" s="1757"/>
      <c r="CS667" s="1757"/>
      <c r="CT667" s="1757"/>
      <c r="CU667" s="1757"/>
      <c r="CV667" s="1757"/>
      <c r="CW667" s="1757"/>
      <c r="CX667" s="1757"/>
      <c r="CY667" s="1757"/>
      <c r="CZ667" s="1757"/>
      <c r="DA667" s="1757"/>
      <c r="DB667" s="1757"/>
      <c r="DC667" s="1757"/>
      <c r="DD667" s="1757"/>
      <c r="DE667" s="1757"/>
      <c r="DF667" s="1757"/>
      <c r="DG667" s="1757"/>
      <c r="DH667" s="1757"/>
      <c r="DI667" s="1757"/>
      <c r="DJ667" s="1757"/>
      <c r="DK667" s="1757"/>
      <c r="DL667" s="1757"/>
      <c r="DM667" s="1757"/>
      <c r="DN667" s="1757"/>
      <c r="DO667" s="1757"/>
      <c r="DP667" s="1757"/>
      <c r="DQ667" s="1757"/>
      <c r="DR667" s="1757"/>
      <c r="DS667" s="1757"/>
      <c r="DT667" s="1757"/>
      <c r="DU667" s="1757"/>
      <c r="DV667" s="1757"/>
      <c r="DW667" s="1757"/>
      <c r="DX667" s="1757"/>
      <c r="DY667" s="1757"/>
      <c r="DZ667" s="1757"/>
      <c r="EA667" s="1757"/>
      <c r="EB667" s="1757"/>
      <c r="EC667" s="1757"/>
      <c r="ED667" s="1757"/>
      <c r="EE667" s="1757"/>
      <c r="EF667" s="1757"/>
      <c r="EG667" s="1757"/>
      <c r="EH667" s="1757"/>
      <c r="EI667" s="1757"/>
      <c r="EJ667" s="1757"/>
      <c r="EK667" s="1757"/>
      <c r="EL667" s="1757"/>
      <c r="EM667" s="1757"/>
      <c r="EN667" s="1757"/>
      <c r="EO667" s="1757"/>
      <c r="EP667" s="1757"/>
      <c r="EQ667" s="1757"/>
      <c r="ER667" s="1757"/>
      <c r="ES667" s="1757"/>
      <c r="ET667" s="1757"/>
      <c r="EU667" s="1757"/>
      <c r="EV667" s="1757"/>
      <c r="EW667" s="1757"/>
      <c r="EX667" s="1757"/>
      <c r="EY667" s="1757"/>
      <c r="EZ667" s="1757"/>
      <c r="FA667" s="1757"/>
      <c r="FB667" s="1757"/>
      <c r="FC667" s="1757"/>
      <c r="FD667" s="1757"/>
      <c r="FE667" s="1757"/>
      <c r="FF667" s="1757"/>
      <c r="FG667" s="1757"/>
      <c r="FH667" s="1757"/>
      <c r="FI667" s="1757"/>
    </row>
    <row r="668" spans="1:165">
      <c r="A668" s="1757"/>
      <c r="B668" s="1757"/>
      <c r="C668" s="1757"/>
      <c r="D668" s="1757"/>
      <c r="E668" s="1757"/>
      <c r="F668" s="1757"/>
      <c r="G668" s="1757"/>
      <c r="H668" s="1757"/>
      <c r="I668" s="1757"/>
      <c r="J668" s="1757"/>
      <c r="K668" s="1757"/>
      <c r="L668" s="1757"/>
      <c r="M668" s="1757"/>
      <c r="N668" s="1757"/>
      <c r="O668" s="1757"/>
      <c r="P668" s="1757"/>
      <c r="Q668" s="1757"/>
      <c r="R668" s="1757"/>
      <c r="S668" s="1757"/>
      <c r="T668" s="1757"/>
      <c r="U668" s="1757"/>
      <c r="V668" s="1757"/>
      <c r="W668" s="1757"/>
      <c r="X668" s="1757"/>
      <c r="Y668" s="1757"/>
      <c r="Z668" s="1757"/>
      <c r="AA668" s="1757"/>
      <c r="AB668" s="1757"/>
      <c r="AC668" s="1757"/>
      <c r="AD668" s="1757"/>
      <c r="AE668" s="1757"/>
      <c r="AF668" s="1757"/>
      <c r="AG668" s="1757"/>
      <c r="AH668" s="1757"/>
      <c r="AI668" s="1757"/>
      <c r="AJ668" s="1757"/>
      <c r="AK668" s="1757"/>
      <c r="AL668" s="1757"/>
      <c r="AM668" s="1757"/>
      <c r="AN668" s="1757"/>
      <c r="AO668" s="1757"/>
      <c r="AP668" s="1757"/>
      <c r="AQ668" s="1757"/>
      <c r="AR668" s="1757"/>
      <c r="AS668" s="1757"/>
      <c r="AT668" s="1757"/>
      <c r="AU668" s="1757"/>
      <c r="AV668" s="1757"/>
      <c r="AW668" s="1757"/>
      <c r="AX668" s="1757"/>
      <c r="AY668" s="1757"/>
      <c r="AZ668" s="1757"/>
      <c r="BA668" s="1757"/>
      <c r="BB668" s="1757"/>
      <c r="BC668" s="1757"/>
      <c r="BD668" s="1757"/>
      <c r="BE668" s="1757"/>
      <c r="BF668" s="1757"/>
      <c r="BG668" s="1757"/>
      <c r="BH668" s="1757"/>
      <c r="BI668" s="1757"/>
      <c r="BJ668" s="1757"/>
      <c r="BK668" s="1757"/>
      <c r="BL668" s="1757"/>
      <c r="BM668" s="1757"/>
      <c r="BN668" s="1757"/>
      <c r="BO668" s="1757"/>
      <c r="BP668" s="1757"/>
      <c r="BQ668" s="1757"/>
      <c r="BR668" s="1757"/>
      <c r="BS668" s="1757"/>
      <c r="BT668" s="1757"/>
      <c r="BU668" s="1757"/>
      <c r="BV668" s="1757"/>
      <c r="BW668" s="1757"/>
      <c r="BX668" s="1757"/>
      <c r="BY668" s="1757"/>
      <c r="BZ668" s="1757"/>
      <c r="CA668" s="1757"/>
      <c r="CB668" s="1757"/>
      <c r="CC668" s="1757"/>
      <c r="CD668" s="1757"/>
      <c r="CE668" s="1757"/>
      <c r="CF668" s="1757"/>
      <c r="CG668" s="1757"/>
      <c r="CH668" s="1757"/>
      <c r="CI668" s="1757"/>
      <c r="CJ668" s="1757"/>
      <c r="CK668" s="1757"/>
      <c r="CL668" s="1757"/>
      <c r="CM668" s="1757"/>
      <c r="CN668" s="1757"/>
      <c r="CO668" s="1757"/>
      <c r="CP668" s="1757"/>
      <c r="CQ668" s="1757"/>
      <c r="CR668" s="1757"/>
      <c r="CS668" s="1757"/>
      <c r="CT668" s="1757"/>
      <c r="CU668" s="1757"/>
      <c r="CV668" s="1757"/>
      <c r="CW668" s="1757"/>
      <c r="CX668" s="1757"/>
      <c r="CY668" s="1757"/>
      <c r="CZ668" s="1757"/>
      <c r="DA668" s="1757"/>
      <c r="DB668" s="1757"/>
      <c r="DC668" s="1757"/>
      <c r="DD668" s="1757"/>
      <c r="DE668" s="1757"/>
      <c r="DF668" s="1757"/>
      <c r="DG668" s="1757"/>
      <c r="DH668" s="1757"/>
      <c r="DI668" s="1757"/>
      <c r="DJ668" s="1757"/>
      <c r="DK668" s="1757"/>
      <c r="DL668" s="1757"/>
      <c r="DM668" s="1757"/>
      <c r="DN668" s="1757"/>
      <c r="DO668" s="1757"/>
      <c r="DP668" s="1757"/>
      <c r="DQ668" s="1757"/>
      <c r="DR668" s="1757"/>
      <c r="DS668" s="1757"/>
      <c r="DT668" s="1757"/>
      <c r="DU668" s="1757"/>
      <c r="DV668" s="1757"/>
      <c r="DW668" s="1757"/>
      <c r="DX668" s="1757"/>
      <c r="DY668" s="1757"/>
      <c r="DZ668" s="1757"/>
      <c r="EA668" s="1757"/>
      <c r="EB668" s="1757"/>
      <c r="EC668" s="1757"/>
      <c r="ED668" s="1757"/>
      <c r="EE668" s="1757"/>
      <c r="EF668" s="1757"/>
      <c r="EG668" s="1757"/>
      <c r="EH668" s="1757"/>
      <c r="EI668" s="1757"/>
      <c r="EJ668" s="1757"/>
      <c r="EK668" s="1757"/>
      <c r="EL668" s="1757"/>
      <c r="EM668" s="1757"/>
      <c r="EN668" s="1757"/>
      <c r="EO668" s="1757"/>
      <c r="EP668" s="1757"/>
      <c r="EQ668" s="1757"/>
      <c r="ER668" s="1757"/>
      <c r="ES668" s="1757"/>
      <c r="ET668" s="1757"/>
      <c r="EU668" s="1757"/>
      <c r="EV668" s="1757"/>
      <c r="EW668" s="1757"/>
      <c r="EX668" s="1757"/>
      <c r="EY668" s="1757"/>
      <c r="EZ668" s="1757"/>
      <c r="FA668" s="1757"/>
      <c r="FB668" s="1757"/>
      <c r="FC668" s="1757"/>
      <c r="FD668" s="1757"/>
      <c r="FE668" s="1757"/>
      <c r="FF668" s="1757"/>
      <c r="FG668" s="1757"/>
      <c r="FH668" s="1757"/>
      <c r="FI668" s="1757"/>
    </row>
    <row r="669" spans="1:165">
      <c r="A669" s="1757"/>
      <c r="B669" s="1757"/>
      <c r="C669" s="1757"/>
      <c r="D669" s="1757"/>
      <c r="E669" s="1757"/>
      <c r="F669" s="1757"/>
      <c r="G669" s="1757"/>
      <c r="H669" s="1757"/>
      <c r="I669" s="1757"/>
      <c r="J669" s="1757"/>
      <c r="K669" s="1757"/>
      <c r="L669" s="1757"/>
      <c r="M669" s="1757"/>
      <c r="N669" s="1757"/>
      <c r="O669" s="1757"/>
      <c r="P669" s="1757"/>
      <c r="Q669" s="1757"/>
      <c r="R669" s="1757"/>
      <c r="S669" s="1757"/>
      <c r="T669" s="1757"/>
      <c r="U669" s="1757"/>
      <c r="V669" s="1757"/>
      <c r="W669" s="1757"/>
      <c r="X669" s="1757"/>
      <c r="Y669" s="1757"/>
      <c r="Z669" s="1757"/>
      <c r="AA669" s="1757"/>
      <c r="AB669" s="1757"/>
      <c r="AC669" s="1757"/>
      <c r="AD669" s="1757"/>
      <c r="AE669" s="1757"/>
      <c r="AF669" s="1757"/>
      <c r="AG669" s="1757"/>
      <c r="AH669" s="1757"/>
      <c r="AI669" s="1757"/>
      <c r="AJ669" s="1757"/>
      <c r="AK669" s="1757"/>
      <c r="AL669" s="1757"/>
      <c r="AM669" s="1757"/>
      <c r="AN669" s="1757"/>
      <c r="AO669" s="1757"/>
      <c r="AP669" s="1757"/>
      <c r="AQ669" s="1757"/>
      <c r="AR669" s="1757"/>
      <c r="AS669" s="1757"/>
      <c r="AT669" s="1757"/>
      <c r="AU669" s="1757"/>
      <c r="AV669" s="1757"/>
      <c r="AW669" s="1757"/>
      <c r="AX669" s="1757"/>
      <c r="AY669" s="1757"/>
      <c r="AZ669" s="1757"/>
      <c r="BA669" s="1757"/>
      <c r="BB669" s="1757"/>
      <c r="BC669" s="1757"/>
      <c r="BD669" s="1757"/>
      <c r="BE669" s="1757"/>
      <c r="BF669" s="1757"/>
      <c r="BG669" s="1757"/>
      <c r="BH669" s="1757"/>
      <c r="BI669" s="1757"/>
      <c r="BJ669" s="1757"/>
      <c r="BK669" s="1757"/>
      <c r="BL669" s="1757"/>
      <c r="BM669" s="1757"/>
      <c r="BN669" s="1757"/>
      <c r="BO669" s="1757"/>
      <c r="BP669" s="1757"/>
      <c r="BQ669" s="1757"/>
      <c r="BR669" s="1757"/>
      <c r="BS669" s="1757"/>
      <c r="BT669" s="1757"/>
      <c r="BU669" s="1757"/>
      <c r="BV669" s="1757"/>
      <c r="BW669" s="1757"/>
      <c r="BX669" s="1757"/>
      <c r="BY669" s="1757"/>
      <c r="BZ669" s="1757"/>
      <c r="CA669" s="1757"/>
      <c r="CB669" s="1757"/>
      <c r="CC669" s="1757"/>
      <c r="CD669" s="1757"/>
      <c r="CE669" s="1757"/>
      <c r="CF669" s="1757"/>
      <c r="CG669" s="1757"/>
      <c r="CH669" s="1757"/>
      <c r="CI669" s="1757"/>
      <c r="CJ669" s="1757"/>
      <c r="CK669" s="1757"/>
      <c r="CL669" s="1757"/>
      <c r="CM669" s="1757"/>
      <c r="CN669" s="1757"/>
      <c r="CO669" s="1757"/>
      <c r="CP669" s="1757"/>
      <c r="CQ669" s="1757"/>
      <c r="CR669" s="1757"/>
      <c r="CS669" s="1757"/>
      <c r="CT669" s="1757"/>
      <c r="CU669" s="1757"/>
      <c r="CV669" s="1757"/>
      <c r="CW669" s="1757"/>
      <c r="CX669" s="1757"/>
      <c r="CY669" s="1757"/>
      <c r="CZ669" s="1757"/>
      <c r="DA669" s="1757"/>
      <c r="DB669" s="1757"/>
      <c r="DC669" s="1757"/>
      <c r="DD669" s="1757"/>
      <c r="DE669" s="1757"/>
      <c r="DF669" s="1757"/>
      <c r="DG669" s="1757"/>
      <c r="DH669" s="1757"/>
      <c r="DI669" s="1757"/>
      <c r="DJ669" s="1757"/>
      <c r="DK669" s="1757"/>
      <c r="DL669" s="1757"/>
      <c r="DM669" s="1757"/>
      <c r="DN669" s="1757"/>
      <c r="DO669" s="1757"/>
      <c r="DP669" s="1757"/>
      <c r="DQ669" s="1757"/>
      <c r="DR669" s="1757"/>
      <c r="DS669" s="1757"/>
      <c r="DT669" s="1757"/>
      <c r="DU669" s="1757"/>
      <c r="DV669" s="1757"/>
      <c r="DW669" s="1757"/>
      <c r="DX669" s="1757"/>
      <c r="DY669" s="1757"/>
      <c r="DZ669" s="1757"/>
      <c r="EA669" s="1757"/>
      <c r="EB669" s="1757"/>
      <c r="EC669" s="1757"/>
      <c r="ED669" s="1757"/>
      <c r="EE669" s="1757"/>
      <c r="EF669" s="1757"/>
      <c r="EG669" s="1757"/>
      <c r="EH669" s="1757"/>
      <c r="EI669" s="1757"/>
      <c r="EJ669" s="1757"/>
      <c r="EK669" s="1757"/>
      <c r="EL669" s="1757"/>
      <c r="EM669" s="1757"/>
      <c r="EN669" s="1757"/>
      <c r="EO669" s="1757"/>
      <c r="EP669" s="1757"/>
      <c r="EQ669" s="1757"/>
      <c r="ER669" s="1757"/>
      <c r="ES669" s="1757"/>
      <c r="ET669" s="1757"/>
      <c r="EU669" s="1757"/>
      <c r="EV669" s="1757"/>
      <c r="EW669" s="1757"/>
      <c r="EX669" s="1757"/>
      <c r="EY669" s="1757"/>
      <c r="EZ669" s="1757"/>
      <c r="FA669" s="1757"/>
      <c r="FB669" s="1757"/>
      <c r="FC669" s="1757"/>
      <c r="FD669" s="1757"/>
      <c r="FE669" s="1757"/>
      <c r="FF669" s="1757"/>
      <c r="FG669" s="1757"/>
      <c r="FH669" s="1757"/>
      <c r="FI669" s="1757"/>
    </row>
    <row r="670" spans="1:165">
      <c r="A670" s="1757"/>
      <c r="B670" s="1757"/>
      <c r="C670" s="1757"/>
      <c r="D670" s="1757"/>
      <c r="E670" s="1757"/>
      <c r="F670" s="1757"/>
      <c r="G670" s="1757"/>
      <c r="H670" s="1757"/>
      <c r="I670" s="1757"/>
      <c r="J670" s="1757"/>
      <c r="K670" s="1757"/>
      <c r="L670" s="1757"/>
      <c r="M670" s="1757"/>
      <c r="N670" s="1757"/>
      <c r="O670" s="1757"/>
      <c r="P670" s="1757"/>
      <c r="Q670" s="1757"/>
      <c r="R670" s="1757"/>
      <c r="S670" s="1757"/>
      <c r="T670" s="1757"/>
      <c r="U670" s="1757"/>
      <c r="V670" s="1757"/>
      <c r="W670" s="1757"/>
      <c r="X670" s="1757"/>
      <c r="Y670" s="1757"/>
      <c r="Z670" s="1757"/>
      <c r="AA670" s="1757"/>
      <c r="AB670" s="1757"/>
      <c r="AC670" s="1757"/>
      <c r="AD670" s="1757"/>
      <c r="AE670" s="1757"/>
      <c r="AF670" s="1757"/>
      <c r="AG670" s="1757"/>
      <c r="AH670" s="1757"/>
      <c r="AI670" s="1757"/>
      <c r="AJ670" s="1757"/>
      <c r="AK670" s="1757"/>
      <c r="AL670" s="1757"/>
      <c r="AM670" s="1757"/>
      <c r="AN670" s="1757"/>
      <c r="AO670" s="1757"/>
      <c r="AP670" s="1757"/>
      <c r="AQ670" s="1757"/>
      <c r="AR670" s="1757"/>
      <c r="AS670" s="1757"/>
      <c r="AT670" s="1757"/>
      <c r="AU670" s="1757"/>
      <c r="AV670" s="1757"/>
      <c r="AW670" s="1757"/>
      <c r="AX670" s="1757"/>
      <c r="AY670" s="1757"/>
      <c r="AZ670" s="1757"/>
      <c r="BA670" s="1757"/>
      <c r="BB670" s="1757"/>
      <c r="BC670" s="1757"/>
      <c r="BD670" s="1757"/>
      <c r="BE670" s="1757"/>
      <c r="BF670" s="1757"/>
      <c r="BG670" s="1757"/>
      <c r="BH670" s="1757"/>
      <c r="BI670" s="1757"/>
      <c r="BJ670" s="1757"/>
      <c r="BK670" s="1757"/>
      <c r="BL670" s="1757"/>
      <c r="BM670" s="1757"/>
      <c r="BN670" s="1757"/>
      <c r="BO670" s="1757"/>
      <c r="BP670" s="1757"/>
      <c r="BQ670" s="1757"/>
      <c r="BR670" s="1757"/>
      <c r="BS670" s="1757"/>
      <c r="BT670" s="1757"/>
      <c r="BU670" s="1757"/>
      <c r="BV670" s="1757"/>
      <c r="BW670" s="1757"/>
      <c r="BX670" s="1757"/>
      <c r="BY670" s="1757"/>
      <c r="BZ670" s="1757"/>
      <c r="CA670" s="1757"/>
      <c r="CB670" s="1757"/>
      <c r="CC670" s="1757"/>
      <c r="CD670" s="1757"/>
      <c r="CE670" s="1757"/>
      <c r="CF670" s="1757"/>
      <c r="CG670" s="1757"/>
      <c r="CH670" s="1757"/>
      <c r="CI670" s="1757"/>
      <c r="CJ670" s="1757"/>
      <c r="CK670" s="1757"/>
      <c r="CL670" s="1757"/>
      <c r="CM670" s="1757"/>
      <c r="CN670" s="1757"/>
      <c r="CO670" s="1757"/>
      <c r="CP670" s="1757"/>
      <c r="CQ670" s="1757"/>
      <c r="CR670" s="1757"/>
      <c r="CS670" s="1757"/>
      <c r="CT670" s="1757"/>
      <c r="CU670" s="1757"/>
      <c r="CV670" s="1757"/>
      <c r="CW670" s="1757"/>
      <c r="CX670" s="1757"/>
      <c r="CY670" s="1757"/>
      <c r="CZ670" s="1757"/>
      <c r="DA670" s="1757"/>
      <c r="DB670" s="1757"/>
      <c r="DC670" s="1757"/>
      <c r="DD670" s="1757"/>
      <c r="DE670" s="1757"/>
      <c r="DF670" s="1757"/>
      <c r="DG670" s="1757"/>
      <c r="DH670" s="1757"/>
      <c r="DI670" s="1757"/>
      <c r="DJ670" s="1757"/>
      <c r="DK670" s="1757"/>
      <c r="DL670" s="1757"/>
      <c r="DM670" s="1757"/>
      <c r="DN670" s="1757"/>
      <c r="DO670" s="1757"/>
      <c r="DP670" s="1757"/>
      <c r="DQ670" s="1757"/>
      <c r="DR670" s="1757"/>
      <c r="DS670" s="1757"/>
      <c r="DT670" s="1757"/>
      <c r="DU670" s="1757"/>
      <c r="DV670" s="1757"/>
      <c r="DW670" s="1757"/>
      <c r="DX670" s="1757"/>
      <c r="DY670" s="1757"/>
      <c r="DZ670" s="1757"/>
      <c r="EA670" s="1757"/>
      <c r="EB670" s="1757"/>
      <c r="EC670" s="1757"/>
      <c r="ED670" s="1757"/>
      <c r="EE670" s="1757"/>
      <c r="EF670" s="1757"/>
      <c r="EG670" s="1757"/>
      <c r="EH670" s="1757"/>
      <c r="EI670" s="1757"/>
      <c r="EJ670" s="1757"/>
      <c r="EK670" s="1757"/>
      <c r="EL670" s="1757"/>
      <c r="EM670" s="1757"/>
      <c r="EN670" s="1757"/>
      <c r="EO670" s="1757"/>
      <c r="EP670" s="1757"/>
      <c r="EQ670" s="1757"/>
      <c r="ER670" s="1757"/>
      <c r="ES670" s="1757"/>
      <c r="ET670" s="1757"/>
      <c r="EU670" s="1757"/>
      <c r="EV670" s="1757"/>
      <c r="EW670" s="1757"/>
      <c r="EX670" s="1757"/>
      <c r="EY670" s="1757"/>
      <c r="EZ670" s="1757"/>
      <c r="FA670" s="1757"/>
      <c r="FB670" s="1757"/>
      <c r="FC670" s="1757"/>
      <c r="FD670" s="1757"/>
      <c r="FE670" s="1757"/>
      <c r="FF670" s="1757"/>
      <c r="FG670" s="1757"/>
      <c r="FH670" s="1757"/>
      <c r="FI670" s="1757"/>
    </row>
    <row r="671" spans="1:165">
      <c r="A671" s="1757"/>
      <c r="B671" s="1757"/>
      <c r="C671" s="1757"/>
      <c r="D671" s="1757"/>
      <c r="E671" s="1757"/>
      <c r="F671" s="1757"/>
      <c r="G671" s="1757"/>
      <c r="H671" s="1757"/>
      <c r="I671" s="1757"/>
      <c r="J671" s="1757"/>
      <c r="K671" s="1757"/>
      <c r="L671" s="1757"/>
      <c r="M671" s="1757"/>
      <c r="N671" s="1757"/>
      <c r="O671" s="1757"/>
      <c r="P671" s="1757"/>
      <c r="Q671" s="1757"/>
      <c r="R671" s="1757"/>
      <c r="S671" s="1757"/>
      <c r="T671" s="1757"/>
      <c r="U671" s="1757"/>
      <c r="V671" s="1757"/>
      <c r="W671" s="1757"/>
      <c r="X671" s="1757"/>
      <c r="Y671" s="1757"/>
      <c r="Z671" s="1757"/>
      <c r="AA671" s="1757"/>
      <c r="AB671" s="1757"/>
      <c r="AC671" s="1757"/>
      <c r="AD671" s="1757"/>
      <c r="AE671" s="1757"/>
      <c r="AF671" s="1757"/>
      <c r="AG671" s="1757"/>
      <c r="AH671" s="1757"/>
      <c r="AI671" s="1757"/>
      <c r="AJ671" s="1757"/>
      <c r="AK671" s="1757"/>
      <c r="AL671" s="1757"/>
      <c r="AM671" s="1757"/>
      <c r="AN671" s="1757"/>
      <c r="AO671" s="1757"/>
      <c r="AP671" s="1757"/>
      <c r="AQ671" s="1757"/>
      <c r="AR671" s="1757"/>
      <c r="AS671" s="1757"/>
      <c r="AT671" s="1757"/>
      <c r="AU671" s="1757"/>
      <c r="AV671" s="1757"/>
      <c r="AW671" s="1757"/>
      <c r="AX671" s="1757"/>
      <c r="AY671" s="1757"/>
      <c r="AZ671" s="1757"/>
      <c r="BA671" s="1757"/>
      <c r="BB671" s="1757"/>
      <c r="BC671" s="1757"/>
      <c r="BD671" s="1757"/>
      <c r="BE671" s="1757"/>
      <c r="BF671" s="1757"/>
      <c r="BG671" s="1757"/>
      <c r="BH671" s="1757"/>
      <c r="BI671" s="1757"/>
      <c r="BJ671" s="1757"/>
      <c r="BK671" s="1757"/>
      <c r="BL671" s="1757"/>
      <c r="BM671" s="1757"/>
      <c r="BN671" s="1757"/>
      <c r="BO671" s="1757"/>
      <c r="BP671" s="1757"/>
      <c r="BQ671" s="1757"/>
      <c r="BR671" s="1757"/>
      <c r="BS671" s="1757"/>
      <c r="BT671" s="1757"/>
      <c r="BU671" s="1757"/>
      <c r="BV671" s="1757"/>
      <c r="BW671" s="1757"/>
      <c r="BX671" s="1757"/>
      <c r="BY671" s="1757"/>
      <c r="BZ671" s="1757"/>
      <c r="CA671" s="1757"/>
      <c r="CB671" s="1757"/>
      <c r="CC671" s="1757"/>
      <c r="CD671" s="1757"/>
      <c r="CE671" s="1757"/>
      <c r="CF671" s="1757"/>
      <c r="CG671" s="1757"/>
      <c r="CH671" s="1757"/>
      <c r="CI671" s="1757"/>
      <c r="CJ671" s="1757"/>
      <c r="CK671" s="1757"/>
      <c r="CL671" s="1757"/>
      <c r="CM671" s="1757"/>
      <c r="CN671" s="1757"/>
      <c r="CO671" s="1757"/>
      <c r="CP671" s="1757"/>
      <c r="CQ671" s="1757"/>
      <c r="CR671" s="1757"/>
      <c r="CS671" s="1757"/>
      <c r="CT671" s="1757"/>
      <c r="CU671" s="1757"/>
      <c r="CV671" s="1757"/>
      <c r="CW671" s="1757"/>
      <c r="CX671" s="1757"/>
      <c r="CY671" s="1757"/>
      <c r="CZ671" s="1757"/>
      <c r="DA671" s="1757"/>
      <c r="DB671" s="1757"/>
      <c r="DC671" s="1757"/>
      <c r="DD671" s="1757"/>
      <c r="DE671" s="1757"/>
      <c r="DF671" s="1757"/>
      <c r="DG671" s="1757"/>
      <c r="DH671" s="1757"/>
      <c r="DI671" s="1757"/>
      <c r="DJ671" s="1757"/>
      <c r="DK671" s="1757"/>
      <c r="DL671" s="1757"/>
      <c r="DM671" s="1757"/>
      <c r="DN671" s="1757"/>
      <c r="DO671" s="1757"/>
      <c r="DP671" s="1757"/>
      <c r="DQ671" s="1757"/>
      <c r="DR671" s="1757"/>
      <c r="DS671" s="1757"/>
      <c r="DT671" s="1757"/>
      <c r="DU671" s="1757"/>
      <c r="DV671" s="1757"/>
      <c r="DW671" s="1757"/>
      <c r="DX671" s="1757"/>
      <c r="DY671" s="1757"/>
      <c r="DZ671" s="1757"/>
      <c r="EA671" s="1757"/>
      <c r="EB671" s="1757"/>
      <c r="EC671" s="1757"/>
      <c r="ED671" s="1757"/>
      <c r="EE671" s="1757"/>
      <c r="EF671" s="1757"/>
      <c r="EG671" s="1757"/>
      <c r="EH671" s="1757"/>
      <c r="EI671" s="1757"/>
      <c r="EJ671" s="1757"/>
      <c r="EK671" s="1757"/>
      <c r="EL671" s="1757"/>
      <c r="EM671" s="1757"/>
      <c r="EN671" s="1757"/>
      <c r="EO671" s="1757"/>
      <c r="EP671" s="1757"/>
      <c r="EQ671" s="1757"/>
      <c r="ER671" s="1757"/>
      <c r="ES671" s="1757"/>
      <c r="ET671" s="1757"/>
      <c r="EU671" s="1757"/>
      <c r="EV671" s="1757"/>
      <c r="EW671" s="1757"/>
      <c r="EX671" s="1757"/>
      <c r="EY671" s="1757"/>
      <c r="EZ671" s="1757"/>
      <c r="FA671" s="1757"/>
      <c r="FB671" s="1757"/>
      <c r="FC671" s="1757"/>
      <c r="FD671" s="1757"/>
      <c r="FE671" s="1757"/>
      <c r="FF671" s="1757"/>
      <c r="FG671" s="1757"/>
      <c r="FH671" s="1757"/>
      <c r="FI671" s="1757"/>
    </row>
    <row r="672" spans="1:165">
      <c r="A672" s="1757"/>
      <c r="B672" s="1757"/>
      <c r="C672" s="1757"/>
      <c r="D672" s="1757"/>
      <c r="E672" s="1757"/>
      <c r="F672" s="1757"/>
      <c r="G672" s="1757"/>
      <c r="H672" s="1757"/>
      <c r="I672" s="1757"/>
      <c r="J672" s="1757"/>
      <c r="K672" s="1757"/>
      <c r="L672" s="1757"/>
      <c r="M672" s="1757"/>
      <c r="N672" s="1757"/>
      <c r="O672" s="1757"/>
      <c r="P672" s="1757"/>
      <c r="Q672" s="1757"/>
      <c r="R672" s="1757"/>
      <c r="S672" s="1757"/>
      <c r="T672" s="1757"/>
      <c r="U672" s="1757"/>
      <c r="V672" s="1757"/>
      <c r="W672" s="1757"/>
      <c r="X672" s="1757"/>
      <c r="Y672" s="1757"/>
      <c r="Z672" s="1757"/>
      <c r="AA672" s="1757"/>
      <c r="AB672" s="1757"/>
      <c r="AC672" s="1757"/>
      <c r="AD672" s="1757"/>
      <c r="AE672" s="1757"/>
      <c r="AF672" s="1757"/>
      <c r="AG672" s="1757"/>
      <c r="AH672" s="1757"/>
      <c r="AI672" s="1757"/>
      <c r="AJ672" s="1757"/>
      <c r="AK672" s="1757"/>
      <c r="AL672" s="1757"/>
      <c r="AM672" s="1757"/>
      <c r="AN672" s="1757"/>
      <c r="AO672" s="1757"/>
      <c r="AP672" s="1757"/>
      <c r="AQ672" s="1757"/>
      <c r="AR672" s="1757"/>
      <c r="AS672" s="1757"/>
      <c r="AT672" s="1757"/>
      <c r="AU672" s="1757"/>
      <c r="AV672" s="1757"/>
      <c r="AW672" s="1757"/>
      <c r="AX672" s="1757"/>
      <c r="AY672" s="1757"/>
      <c r="AZ672" s="1757"/>
      <c r="BA672" s="1757"/>
      <c r="BB672" s="1757"/>
      <c r="BC672" s="1757"/>
      <c r="BD672" s="1757"/>
      <c r="BE672" s="1757"/>
      <c r="BF672" s="1757"/>
      <c r="BG672" s="1757"/>
      <c r="BH672" s="1757"/>
      <c r="BI672" s="1757"/>
      <c r="BJ672" s="1757"/>
      <c r="BK672" s="1757"/>
      <c r="BL672" s="1757"/>
      <c r="BM672" s="1757"/>
      <c r="BN672" s="1757"/>
      <c r="BO672" s="1757"/>
      <c r="BP672" s="1757"/>
      <c r="BQ672" s="1757"/>
      <c r="BR672" s="1757"/>
      <c r="BS672" s="1757"/>
      <c r="BT672" s="1757"/>
      <c r="BU672" s="1757"/>
      <c r="BV672" s="1757"/>
      <c r="BW672" s="1757"/>
      <c r="BX672" s="1757"/>
      <c r="BY672" s="1757"/>
      <c r="BZ672" s="1757"/>
      <c r="CA672" s="1757"/>
      <c r="CB672" s="1757"/>
      <c r="CC672" s="1757"/>
      <c r="CD672" s="1757"/>
      <c r="CE672" s="1757"/>
      <c r="CF672" s="1757"/>
      <c r="CG672" s="1757"/>
      <c r="CH672" s="1757"/>
      <c r="CI672" s="1757"/>
      <c r="CJ672" s="1757"/>
      <c r="CK672" s="1757"/>
      <c r="CL672" s="1757"/>
      <c r="CM672" s="1757"/>
      <c r="CN672" s="1757"/>
      <c r="CO672" s="1757"/>
      <c r="CP672" s="1757"/>
      <c r="CQ672" s="1757"/>
      <c r="CR672" s="1757"/>
      <c r="CS672" s="1757"/>
      <c r="CT672" s="1757"/>
      <c r="CU672" s="1757"/>
      <c r="CV672" s="1757"/>
      <c r="CW672" s="1757"/>
      <c r="CX672" s="1757"/>
      <c r="CY672" s="1757"/>
      <c r="CZ672" s="1757"/>
      <c r="DA672" s="1757"/>
      <c r="DB672" s="1757"/>
      <c r="DC672" s="1757"/>
      <c r="DD672" s="1757"/>
      <c r="DE672" s="1757"/>
      <c r="DF672" s="1757"/>
      <c r="DG672" s="1757"/>
      <c r="DH672" s="1757"/>
      <c r="DI672" s="1757"/>
      <c r="DJ672" s="1757"/>
      <c r="DK672" s="1757"/>
      <c r="DL672" s="1757"/>
      <c r="DM672" s="1757"/>
      <c r="DN672" s="1757"/>
      <c r="DO672" s="1757"/>
      <c r="DP672" s="1757"/>
      <c r="DQ672" s="1757"/>
      <c r="DR672" s="1757"/>
      <c r="DS672" s="1757"/>
      <c r="DT672" s="1757"/>
      <c r="DU672" s="1757"/>
      <c r="DV672" s="1757"/>
      <c r="DW672" s="1757"/>
      <c r="DX672" s="1757"/>
      <c r="DY672" s="1757"/>
      <c r="DZ672" s="1757"/>
      <c r="EA672" s="1757"/>
      <c r="EB672" s="1757"/>
      <c r="EC672" s="1757"/>
      <c r="ED672" s="1757"/>
      <c r="EE672" s="1757"/>
      <c r="EF672" s="1757"/>
      <c r="EG672" s="1757"/>
      <c r="EH672" s="1757"/>
      <c r="EI672" s="1757"/>
      <c r="EJ672" s="1757"/>
      <c r="EK672" s="1757"/>
      <c r="EL672" s="1757"/>
      <c r="EM672" s="1757"/>
      <c r="EN672" s="1757"/>
      <c r="EO672" s="1757"/>
      <c r="EP672" s="1757"/>
      <c r="EQ672" s="1757"/>
      <c r="ER672" s="1757"/>
      <c r="ES672" s="1757"/>
      <c r="ET672" s="1757"/>
      <c r="EU672" s="1757"/>
      <c r="EV672" s="1757"/>
      <c r="EW672" s="1757"/>
      <c r="EX672" s="1757"/>
      <c r="EY672" s="1757"/>
      <c r="EZ672" s="1757"/>
      <c r="FA672" s="1757"/>
      <c r="FB672" s="1757"/>
      <c r="FC672" s="1757"/>
      <c r="FD672" s="1757"/>
      <c r="FE672" s="1757"/>
      <c r="FF672" s="1757"/>
      <c r="FG672" s="1757"/>
      <c r="FH672" s="1757"/>
      <c r="FI672" s="1757"/>
    </row>
    <row r="673" spans="1:165">
      <c r="A673" s="1757"/>
      <c r="B673" s="1757"/>
      <c r="C673" s="1757"/>
      <c r="D673" s="1757"/>
      <c r="E673" s="1757"/>
      <c r="F673" s="1757"/>
      <c r="G673" s="1757"/>
      <c r="H673" s="1757"/>
      <c r="I673" s="1757"/>
      <c r="J673" s="1757"/>
      <c r="K673" s="1757"/>
      <c r="L673" s="1757"/>
      <c r="M673" s="1757"/>
      <c r="N673" s="1757"/>
      <c r="O673" s="1757"/>
      <c r="P673" s="1757"/>
      <c r="Q673" s="1757"/>
      <c r="R673" s="1757"/>
      <c r="S673" s="1757"/>
      <c r="T673" s="1757"/>
      <c r="U673" s="1757"/>
      <c r="V673" s="1757"/>
      <c r="W673" s="1757"/>
      <c r="X673" s="1757"/>
      <c r="Y673" s="1757"/>
      <c r="Z673" s="1757"/>
      <c r="AA673" s="1757"/>
      <c r="AB673" s="1757"/>
      <c r="AC673" s="1757"/>
      <c r="AD673" s="1757"/>
      <c r="AE673" s="1757"/>
      <c r="AF673" s="1757"/>
      <c r="AG673" s="1757"/>
      <c r="AH673" s="1757"/>
      <c r="AI673" s="1757"/>
      <c r="AJ673" s="1757"/>
      <c r="AK673" s="1757"/>
      <c r="AL673" s="1757"/>
      <c r="AM673" s="1757"/>
      <c r="AN673" s="1757"/>
      <c r="AO673" s="1757"/>
      <c r="AP673" s="1757"/>
      <c r="AQ673" s="1757"/>
      <c r="AR673" s="1757"/>
      <c r="AS673" s="1757"/>
      <c r="AT673" s="1757"/>
      <c r="AU673" s="1757"/>
      <c r="AV673" s="1757"/>
      <c r="AW673" s="1757"/>
      <c r="AX673" s="1757"/>
      <c r="AY673" s="1757"/>
      <c r="AZ673" s="1757"/>
      <c r="BA673" s="1757"/>
      <c r="BB673" s="1757"/>
      <c r="BC673" s="1757"/>
      <c r="BD673" s="1757"/>
      <c r="BE673" s="1757"/>
      <c r="BF673" s="1757"/>
      <c r="BG673" s="1757"/>
      <c r="BH673" s="1757"/>
      <c r="BI673" s="1757"/>
      <c r="BJ673" s="1757"/>
      <c r="BK673" s="1757"/>
      <c r="BL673" s="1757"/>
      <c r="BM673" s="1757"/>
      <c r="BN673" s="1757"/>
      <c r="BO673" s="1757"/>
      <c r="BP673" s="1757"/>
      <c r="BQ673" s="1757"/>
      <c r="BR673" s="1757"/>
      <c r="BS673" s="1757"/>
      <c r="BT673" s="1757"/>
      <c r="BU673" s="1757"/>
      <c r="BV673" s="1757"/>
      <c r="BW673" s="1757"/>
      <c r="BX673" s="1757"/>
      <c r="BY673" s="1757"/>
      <c r="BZ673" s="1757"/>
      <c r="CA673" s="1757"/>
      <c r="CB673" s="1757"/>
      <c r="CC673" s="1757"/>
      <c r="CD673" s="1757"/>
      <c r="CE673" s="1757"/>
      <c r="CF673" s="1757"/>
      <c r="CG673" s="1757"/>
      <c r="CH673" s="1757"/>
      <c r="CI673" s="1757"/>
      <c r="CJ673" s="1757"/>
      <c r="CK673" s="1757"/>
      <c r="CL673" s="1757"/>
      <c r="CM673" s="1757"/>
      <c r="CN673" s="1757"/>
      <c r="CO673" s="1757"/>
      <c r="CP673" s="1757"/>
      <c r="CQ673" s="1757"/>
      <c r="CR673" s="1757"/>
      <c r="CS673" s="1757"/>
      <c r="CT673" s="1757"/>
      <c r="CU673" s="1757"/>
      <c r="CV673" s="1757"/>
      <c r="CW673" s="1757"/>
      <c r="CX673" s="1757"/>
      <c r="CY673" s="1757"/>
      <c r="CZ673" s="1757"/>
      <c r="DA673" s="1757"/>
      <c r="DB673" s="1757"/>
      <c r="DC673" s="1757"/>
      <c r="DD673" s="1757"/>
      <c r="DE673" s="1757"/>
      <c r="DF673" s="1757"/>
      <c r="DG673" s="1757"/>
      <c r="DH673" s="1757"/>
      <c r="DI673" s="1757"/>
      <c r="DJ673" s="1757"/>
      <c r="DK673" s="1757"/>
      <c r="DL673" s="1757"/>
      <c r="DM673" s="1757"/>
      <c r="DN673" s="1757"/>
      <c r="DO673" s="1757"/>
      <c r="DP673" s="1757"/>
      <c r="DQ673" s="1757"/>
      <c r="DR673" s="1757"/>
      <c r="DS673" s="1757"/>
      <c r="DT673" s="1757"/>
      <c r="DU673" s="1757"/>
      <c r="DV673" s="1757"/>
      <c r="DW673" s="1757"/>
      <c r="DX673" s="1757"/>
      <c r="DY673" s="1757"/>
      <c r="DZ673" s="1757"/>
      <c r="EA673" s="1757"/>
      <c r="EB673" s="1757"/>
      <c r="EC673" s="1757"/>
      <c r="ED673" s="1757"/>
      <c r="EE673" s="1757"/>
      <c r="EF673" s="1757"/>
      <c r="EG673" s="1757"/>
      <c r="EH673" s="1757"/>
      <c r="EI673" s="1757"/>
      <c r="EJ673" s="1757"/>
      <c r="EK673" s="1757"/>
      <c r="EL673" s="1757"/>
      <c r="EM673" s="1757"/>
      <c r="EN673" s="1757"/>
      <c r="EO673" s="1757"/>
      <c r="EP673" s="1757"/>
      <c r="EQ673" s="1757"/>
      <c r="ER673" s="1757"/>
      <c r="ES673" s="1757"/>
      <c r="ET673" s="1757"/>
      <c r="EU673" s="1757"/>
      <c r="EV673" s="1757"/>
      <c r="EW673" s="1757"/>
      <c r="EX673" s="1757"/>
      <c r="EY673" s="1757"/>
      <c r="EZ673" s="1757"/>
      <c r="FA673" s="1757"/>
      <c r="FB673" s="1757"/>
      <c r="FC673" s="1757"/>
      <c r="FD673" s="1757"/>
      <c r="FE673" s="1757"/>
      <c r="FF673" s="1757"/>
      <c r="FG673" s="1757"/>
      <c r="FH673" s="1757"/>
      <c r="FI673" s="1757"/>
    </row>
    <row r="674" spans="1:165">
      <c r="A674" s="1757"/>
      <c r="B674" s="1757"/>
      <c r="C674" s="1757"/>
      <c r="D674" s="1757"/>
      <c r="E674" s="1757"/>
      <c r="F674" s="1757"/>
      <c r="G674" s="1757"/>
      <c r="H674" s="1757"/>
      <c r="I674" s="1757"/>
      <c r="J674" s="1757"/>
      <c r="K674" s="1757"/>
      <c r="L674" s="1757"/>
      <c r="M674" s="1757"/>
      <c r="N674" s="1757"/>
      <c r="O674" s="1757"/>
      <c r="P674" s="1757"/>
      <c r="Q674" s="1757"/>
      <c r="R674" s="1757"/>
      <c r="S674" s="1757"/>
      <c r="T674" s="1757"/>
      <c r="U674" s="1757"/>
      <c r="V674" s="1757"/>
      <c r="W674" s="1757"/>
      <c r="X674" s="1757"/>
      <c r="Y674" s="1757"/>
      <c r="Z674" s="1757"/>
      <c r="AA674" s="1757"/>
      <c r="AB674" s="1757"/>
      <c r="AC674" s="1757"/>
      <c r="AD674" s="1757"/>
      <c r="AE674" s="1757"/>
      <c r="AF674" s="1757"/>
      <c r="AG674" s="1757"/>
      <c r="AH674" s="1757"/>
      <c r="AI674" s="1757"/>
      <c r="AJ674" s="1757"/>
      <c r="AK674" s="1757"/>
      <c r="AL674" s="1757"/>
      <c r="AM674" s="1757"/>
      <c r="AN674" s="1757"/>
      <c r="AO674" s="1757"/>
      <c r="AP674" s="1757"/>
      <c r="AQ674" s="1757"/>
      <c r="AR674" s="1757"/>
      <c r="AS674" s="1757"/>
      <c r="AT674" s="1757"/>
      <c r="AU674" s="1757"/>
      <c r="AV674" s="1757"/>
      <c r="AW674" s="1757"/>
      <c r="AX674" s="1757"/>
      <c r="AY674" s="1757"/>
      <c r="AZ674" s="1757"/>
      <c r="BA674" s="1757"/>
      <c r="BB674" s="1757"/>
      <c r="BC674" s="1757"/>
      <c r="BD674" s="1757"/>
      <c r="BE674" s="1757"/>
      <c r="BF674" s="1757"/>
      <c r="BG674" s="1757"/>
      <c r="BH674" s="1757"/>
      <c r="BI674" s="1757"/>
      <c r="BJ674" s="1757"/>
      <c r="BK674" s="1757"/>
      <c r="BL674" s="1757"/>
      <c r="BM674" s="1757"/>
      <c r="BN674" s="1757"/>
      <c r="BO674" s="1757"/>
      <c r="BP674" s="1757"/>
      <c r="BQ674" s="1757"/>
      <c r="BR674" s="1757"/>
      <c r="BS674" s="1757"/>
      <c r="BT674" s="1757"/>
      <c r="BU674" s="1757"/>
      <c r="BV674" s="1757"/>
      <c r="BW674" s="1757"/>
      <c r="BX674" s="1757"/>
      <c r="BY674" s="1757"/>
      <c r="BZ674" s="1757"/>
      <c r="CA674" s="1757"/>
      <c r="CB674" s="1757"/>
      <c r="CC674" s="1757"/>
      <c r="CD674" s="1757"/>
      <c r="CE674" s="1757"/>
      <c r="CF674" s="1757"/>
      <c r="CG674" s="1757"/>
      <c r="CH674" s="1757"/>
      <c r="CI674" s="1757"/>
      <c r="CJ674" s="1757"/>
      <c r="CK674" s="1757"/>
      <c r="CL674" s="1757"/>
      <c r="CM674" s="1757"/>
      <c r="CN674" s="1757"/>
      <c r="CO674" s="1757"/>
      <c r="CP674" s="1757"/>
      <c r="CQ674" s="1757"/>
      <c r="CR674" s="1757"/>
      <c r="CS674" s="1757"/>
      <c r="CT674" s="1757"/>
      <c r="CU674" s="1757"/>
      <c r="CV674" s="1757"/>
      <c r="CW674" s="1757"/>
      <c r="CX674" s="1757"/>
      <c r="CY674" s="1757"/>
      <c r="CZ674" s="1757"/>
      <c r="DA674" s="1757"/>
      <c r="DB674" s="1757"/>
      <c r="DC674" s="1757"/>
      <c r="DD674" s="1757"/>
      <c r="DE674" s="1757"/>
      <c r="DF674" s="1757"/>
      <c r="DG674" s="1757"/>
      <c r="DH674" s="1757"/>
      <c r="DI674" s="1757"/>
      <c r="DJ674" s="1757"/>
      <c r="DK674" s="1757"/>
      <c r="DL674" s="1757"/>
      <c r="DM674" s="1757"/>
      <c r="DN674" s="1757"/>
      <c r="DO674" s="1757"/>
      <c r="DP674" s="1757"/>
      <c r="DQ674" s="1757"/>
      <c r="DR674" s="1757"/>
      <c r="DS674" s="1757"/>
      <c r="DT674" s="1757"/>
      <c r="DU674" s="1757"/>
      <c r="DV674" s="1757"/>
      <c r="DW674" s="1757"/>
      <c r="DX674" s="1757"/>
      <c r="DY674" s="1757"/>
      <c r="DZ674" s="1757"/>
      <c r="EA674" s="1757"/>
      <c r="EB674" s="1757"/>
      <c r="EC674" s="1757"/>
      <c r="ED674" s="1757"/>
      <c r="EE674" s="1757"/>
      <c r="EF674" s="1757"/>
      <c r="EG674" s="1757"/>
      <c r="EH674" s="1757"/>
      <c r="EI674" s="1757"/>
      <c r="EJ674" s="1757"/>
      <c r="EK674" s="1757"/>
      <c r="EL674" s="1757"/>
      <c r="EM674" s="1757"/>
      <c r="EN674" s="1757"/>
      <c r="EO674" s="1757"/>
      <c r="EP674" s="1757"/>
      <c r="EQ674" s="1757"/>
      <c r="ER674" s="1757"/>
      <c r="ES674" s="1757"/>
      <c r="ET674" s="1757"/>
      <c r="EU674" s="1757"/>
      <c r="EV674" s="1757"/>
      <c r="EW674" s="1757"/>
      <c r="EX674" s="1757"/>
      <c r="EY674" s="1757"/>
      <c r="EZ674" s="1757"/>
      <c r="FA674" s="1757"/>
      <c r="FB674" s="1757"/>
      <c r="FC674" s="1757"/>
      <c r="FD674" s="1757"/>
      <c r="FE674" s="1757"/>
      <c r="FF674" s="1757"/>
      <c r="FG674" s="1757"/>
      <c r="FH674" s="1757"/>
      <c r="FI674" s="1757"/>
    </row>
    <row r="675" spans="1:165">
      <c r="A675" s="1757"/>
      <c r="B675" s="1757"/>
      <c r="C675" s="1757"/>
      <c r="D675" s="1757"/>
      <c r="E675" s="1757"/>
      <c r="F675" s="1757"/>
      <c r="G675" s="1757"/>
      <c r="H675" s="1757"/>
      <c r="I675" s="1757"/>
      <c r="J675" s="1757"/>
      <c r="K675" s="1757"/>
      <c r="L675" s="1757"/>
      <c r="M675" s="1757"/>
      <c r="N675" s="1757"/>
      <c r="O675" s="1757"/>
      <c r="P675" s="1757"/>
      <c r="Q675" s="1757"/>
      <c r="R675" s="1757"/>
      <c r="S675" s="1757"/>
      <c r="T675" s="1757"/>
      <c r="U675" s="1757"/>
      <c r="V675" s="1757"/>
      <c r="W675" s="1757"/>
      <c r="X675" s="1757"/>
      <c r="Y675" s="1757"/>
      <c r="Z675" s="1757"/>
      <c r="AA675" s="1757"/>
      <c r="AB675" s="1757"/>
      <c r="AC675" s="1757"/>
      <c r="AD675" s="1757"/>
      <c r="AE675" s="1757"/>
      <c r="AF675" s="1757"/>
      <c r="AG675" s="1757"/>
      <c r="AH675" s="1757"/>
      <c r="AI675" s="1757"/>
      <c r="AJ675" s="1757"/>
      <c r="AK675" s="1757"/>
      <c r="AL675" s="1757"/>
      <c r="AM675" s="1757"/>
      <c r="AN675" s="1757"/>
      <c r="AO675" s="1757"/>
      <c r="AP675" s="1757"/>
      <c r="AQ675" s="1757"/>
      <c r="AR675" s="1757"/>
      <c r="AS675" s="1757"/>
      <c r="AT675" s="1757"/>
      <c r="AU675" s="1757"/>
      <c r="AV675" s="1757"/>
      <c r="AW675" s="1757"/>
      <c r="AX675" s="1757"/>
      <c r="AY675" s="1757"/>
      <c r="AZ675" s="1757"/>
      <c r="BA675" s="1757"/>
      <c r="BB675" s="1757"/>
      <c r="BC675" s="1757"/>
      <c r="BD675" s="1757"/>
      <c r="BE675" s="1757"/>
      <c r="BF675" s="1757"/>
      <c r="BG675" s="1757"/>
      <c r="BH675" s="1757"/>
      <c r="BI675" s="1757"/>
      <c r="BJ675" s="1757"/>
      <c r="BK675" s="1757"/>
      <c r="BL675" s="1757"/>
      <c r="BM675" s="1757"/>
      <c r="BN675" s="1757"/>
      <c r="BO675" s="1757"/>
      <c r="BP675" s="1757"/>
      <c r="BQ675" s="1757"/>
      <c r="BR675" s="1757"/>
      <c r="BS675" s="1757"/>
      <c r="BT675" s="1757"/>
      <c r="BU675" s="1757"/>
      <c r="BV675" s="1757"/>
      <c r="BW675" s="1757"/>
      <c r="BX675" s="1757"/>
      <c r="BY675" s="1757"/>
      <c r="BZ675" s="1757"/>
      <c r="CA675" s="1757"/>
      <c r="CB675" s="1757"/>
      <c r="CC675" s="1757"/>
      <c r="CD675" s="1757"/>
      <c r="CE675" s="1757"/>
      <c r="CF675" s="1757"/>
      <c r="CG675" s="1757"/>
      <c r="CH675" s="1757"/>
      <c r="CI675" s="1757"/>
      <c r="CJ675" s="1757"/>
      <c r="CK675" s="1757"/>
      <c r="CL675" s="1757"/>
      <c r="CM675" s="1757"/>
      <c r="CN675" s="1757"/>
      <c r="CO675" s="1757"/>
      <c r="CP675" s="1757"/>
      <c r="CQ675" s="1757"/>
      <c r="CR675" s="1757"/>
      <c r="CS675" s="1757"/>
      <c r="CT675" s="1757"/>
      <c r="CU675" s="1757"/>
      <c r="CV675" s="1757"/>
      <c r="CW675" s="1757"/>
      <c r="CX675" s="1757"/>
      <c r="CY675" s="1757"/>
      <c r="CZ675" s="1757"/>
      <c r="DA675" s="1757"/>
      <c r="DB675" s="1757"/>
      <c r="DC675" s="1757"/>
      <c r="DD675" s="1757"/>
      <c r="DE675" s="1757"/>
      <c r="DF675" s="1757"/>
      <c r="DG675" s="1757"/>
      <c r="DH675" s="1757"/>
      <c r="DI675" s="1757"/>
      <c r="DJ675" s="1757"/>
      <c r="DK675" s="1757"/>
      <c r="DL675" s="1757"/>
      <c r="DM675" s="1757"/>
      <c r="DN675" s="1757"/>
      <c r="DO675" s="1757"/>
      <c r="DP675" s="1757"/>
      <c r="DQ675" s="1757"/>
      <c r="DR675" s="1757"/>
      <c r="DS675" s="1757"/>
      <c r="DT675" s="1757"/>
      <c r="DU675" s="1757"/>
      <c r="DV675" s="1757"/>
      <c r="DW675" s="1757"/>
      <c r="DX675" s="1757"/>
      <c r="DY675" s="1757"/>
      <c r="DZ675" s="1757"/>
      <c r="EA675" s="1757"/>
      <c r="EB675" s="1757"/>
      <c r="EC675" s="1757"/>
      <c r="ED675" s="1757"/>
      <c r="EE675" s="1757"/>
      <c r="EF675" s="1757"/>
      <c r="EG675" s="1757"/>
      <c r="EH675" s="1757"/>
      <c r="EI675" s="1757"/>
      <c r="EJ675" s="1757"/>
      <c r="EK675" s="1757"/>
      <c r="EL675" s="1757"/>
      <c r="EM675" s="1757"/>
      <c r="EN675" s="1757"/>
      <c r="EO675" s="1757"/>
      <c r="EP675" s="1757"/>
      <c r="EQ675" s="1757"/>
      <c r="ER675" s="1757"/>
      <c r="ES675" s="1757"/>
      <c r="ET675" s="1757"/>
      <c r="EU675" s="1757"/>
      <c r="EV675" s="1757"/>
      <c r="EW675" s="1757"/>
      <c r="EX675" s="1757"/>
      <c r="EY675" s="1757"/>
      <c r="EZ675" s="1757"/>
      <c r="FA675" s="1757"/>
      <c r="FB675" s="1757"/>
      <c r="FC675" s="1757"/>
      <c r="FD675" s="1757"/>
      <c r="FE675" s="1757"/>
      <c r="FF675" s="1757"/>
      <c r="FG675" s="1757"/>
      <c r="FH675" s="1757"/>
      <c r="FI675" s="1757"/>
    </row>
    <row r="676" spans="1:165">
      <c r="A676" s="1757"/>
      <c r="B676" s="1757"/>
      <c r="C676" s="1757"/>
      <c r="D676" s="1757"/>
      <c r="E676" s="1757"/>
      <c r="F676" s="1757"/>
      <c r="G676" s="1757"/>
      <c r="H676" s="1757"/>
      <c r="I676" s="1757"/>
      <c r="J676" s="1757"/>
      <c r="K676" s="1757"/>
      <c r="L676" s="1757"/>
      <c r="M676" s="1757"/>
      <c r="N676" s="1757"/>
      <c r="O676" s="1757"/>
      <c r="P676" s="1757"/>
      <c r="Q676" s="1757"/>
      <c r="R676" s="1757"/>
      <c r="S676" s="1757"/>
      <c r="T676" s="1757"/>
      <c r="U676" s="1757"/>
      <c r="V676" s="1757"/>
      <c r="W676" s="1757"/>
      <c r="X676" s="1757"/>
      <c r="Y676" s="1757"/>
      <c r="Z676" s="1757"/>
      <c r="AA676" s="1757"/>
      <c r="AB676" s="1757"/>
      <c r="AC676" s="1757"/>
      <c r="AD676" s="1757"/>
      <c r="AE676" s="1757"/>
      <c r="AF676" s="1757"/>
      <c r="AG676" s="1757"/>
      <c r="AH676" s="1757"/>
      <c r="AI676" s="1757"/>
      <c r="AJ676" s="1757"/>
      <c r="AK676" s="1757"/>
      <c r="AL676" s="1757"/>
      <c r="AM676" s="1757"/>
      <c r="AN676" s="1757"/>
      <c r="AO676" s="1757"/>
      <c r="AP676" s="1757"/>
      <c r="AQ676" s="1757"/>
      <c r="AR676" s="1757"/>
      <c r="AS676" s="1757"/>
      <c r="AT676" s="1757"/>
      <c r="AU676" s="1757"/>
      <c r="AV676" s="1757"/>
      <c r="AW676" s="1757"/>
      <c r="AX676" s="1757"/>
      <c r="AY676" s="1757"/>
      <c r="AZ676" s="1757"/>
      <c r="BA676" s="1757"/>
      <c r="BB676" s="1757"/>
      <c r="BC676" s="1757"/>
      <c r="BD676" s="1757"/>
      <c r="BE676" s="1757"/>
      <c r="BF676" s="1757"/>
      <c r="BG676" s="1757"/>
      <c r="BH676" s="1757"/>
      <c r="BI676" s="1757"/>
      <c r="BJ676" s="1757"/>
      <c r="BK676" s="1757"/>
      <c r="BL676" s="1757"/>
      <c r="BM676" s="1757"/>
      <c r="BN676" s="1757"/>
      <c r="BO676" s="1757"/>
      <c r="BP676" s="1757"/>
      <c r="BQ676" s="1757"/>
      <c r="BR676" s="1757"/>
      <c r="BS676" s="1757"/>
      <c r="BT676" s="1757"/>
      <c r="BU676" s="1757"/>
      <c r="BV676" s="1757"/>
      <c r="BW676" s="1757"/>
      <c r="BX676" s="1757"/>
      <c r="BY676" s="1757"/>
      <c r="BZ676" s="1757"/>
      <c r="CA676" s="1757"/>
      <c r="CB676" s="1757"/>
      <c r="CC676" s="1757"/>
      <c r="CD676" s="1757"/>
      <c r="CE676" s="1757"/>
      <c r="CF676" s="1757"/>
      <c r="CG676" s="1757"/>
      <c r="CH676" s="1757"/>
      <c r="CI676" s="1757"/>
      <c r="CJ676" s="1757"/>
      <c r="CK676" s="1757"/>
      <c r="CL676" s="1757"/>
      <c r="CM676" s="1757"/>
      <c r="CN676" s="1757"/>
      <c r="CO676" s="1757"/>
      <c r="CP676" s="1757"/>
      <c r="CQ676" s="1757"/>
      <c r="CR676" s="1757"/>
      <c r="CS676" s="1757"/>
      <c r="CT676" s="1757"/>
      <c r="CU676" s="1757"/>
      <c r="CV676" s="1757"/>
      <c r="CW676" s="1757"/>
      <c r="CX676" s="1757"/>
      <c r="CY676" s="1757"/>
      <c r="CZ676" s="1757"/>
      <c r="DA676" s="1757"/>
      <c r="DB676" s="1757"/>
      <c r="DC676" s="1757"/>
      <c r="DD676" s="1757"/>
      <c r="DE676" s="1757"/>
      <c r="DF676" s="1757"/>
      <c r="DG676" s="1757"/>
      <c r="DH676" s="1757"/>
      <c r="DI676" s="1757"/>
      <c r="DJ676" s="1757"/>
      <c r="DK676" s="1757"/>
      <c r="DL676" s="1757"/>
      <c r="DM676" s="1757"/>
      <c r="DN676" s="1757"/>
      <c r="DO676" s="1757"/>
      <c r="DP676" s="1757"/>
      <c r="DQ676" s="1757"/>
      <c r="DR676" s="1757"/>
      <c r="DS676" s="1757"/>
      <c r="DT676" s="1757"/>
      <c r="DU676" s="1757"/>
      <c r="DV676" s="1757"/>
      <c r="DW676" s="1757"/>
      <c r="DX676" s="1757"/>
      <c r="DY676" s="1757"/>
      <c r="DZ676" s="1757"/>
      <c r="EA676" s="1757"/>
      <c r="EB676" s="1757"/>
      <c r="EC676" s="1757"/>
      <c r="ED676" s="1757"/>
      <c r="EE676" s="1757"/>
      <c r="EF676" s="1757"/>
      <c r="EG676" s="1757"/>
      <c r="EH676" s="1757"/>
      <c r="EI676" s="1757"/>
      <c r="EJ676" s="1757"/>
      <c r="EK676" s="1757"/>
      <c r="EL676" s="1757"/>
      <c r="EM676" s="1757"/>
      <c r="EN676" s="1757"/>
      <c r="EO676" s="1757"/>
      <c r="EP676" s="1757"/>
      <c r="EQ676" s="1757"/>
      <c r="ER676" s="1757"/>
      <c r="ES676" s="1757"/>
      <c r="ET676" s="1757"/>
      <c r="EU676" s="1757"/>
      <c r="EV676" s="1757"/>
      <c r="EW676" s="1757"/>
      <c r="EX676" s="1757"/>
      <c r="EY676" s="1757"/>
      <c r="EZ676" s="1757"/>
      <c r="FA676" s="1757"/>
      <c r="FB676" s="1757"/>
      <c r="FC676" s="1757"/>
      <c r="FD676" s="1757"/>
      <c r="FE676" s="1757"/>
      <c r="FF676" s="1757"/>
      <c r="FG676" s="1757"/>
      <c r="FH676" s="1757"/>
      <c r="FI676" s="1757"/>
    </row>
    <row r="677" spans="1:165">
      <c r="A677" s="1757"/>
      <c r="B677" s="1757"/>
      <c r="C677" s="1757"/>
      <c r="D677" s="1757"/>
      <c r="E677" s="1757"/>
      <c r="F677" s="1757"/>
      <c r="G677" s="1757"/>
      <c r="H677" s="1757"/>
      <c r="I677" s="1757"/>
      <c r="J677" s="1757"/>
      <c r="K677" s="1757"/>
      <c r="L677" s="1757"/>
      <c r="M677" s="1757"/>
      <c r="N677" s="1757"/>
      <c r="O677" s="1757"/>
      <c r="P677" s="1757"/>
      <c r="Q677" s="1757"/>
      <c r="R677" s="1757"/>
      <c r="S677" s="1757"/>
      <c r="T677" s="1757"/>
      <c r="U677" s="1757"/>
      <c r="V677" s="1757"/>
      <c r="W677" s="1757"/>
      <c r="X677" s="1757"/>
      <c r="Y677" s="1757"/>
      <c r="Z677" s="1757"/>
      <c r="AA677" s="1757"/>
      <c r="AB677" s="1757"/>
      <c r="AC677" s="1757"/>
      <c r="AD677" s="1757"/>
      <c r="AE677" s="1757"/>
      <c r="AF677" s="1757"/>
      <c r="AG677" s="1757"/>
      <c r="AH677" s="1757"/>
      <c r="AI677" s="1757"/>
      <c r="AJ677" s="1757"/>
      <c r="AK677" s="1757"/>
      <c r="AL677" s="1757"/>
      <c r="AM677" s="1757"/>
      <c r="AN677" s="1757"/>
      <c r="AO677" s="1757"/>
      <c r="AP677" s="1757"/>
      <c r="AQ677" s="1757"/>
      <c r="AR677" s="1757"/>
      <c r="AS677" s="1757"/>
      <c r="AT677" s="1757"/>
      <c r="AU677" s="1757"/>
      <c r="AV677" s="1757"/>
      <c r="AW677" s="1757"/>
      <c r="AX677" s="1757"/>
      <c r="AY677" s="1757"/>
      <c r="AZ677" s="1757"/>
      <c r="BA677" s="1757"/>
      <c r="BB677" s="1757"/>
      <c r="BC677" s="1757"/>
      <c r="BD677" s="1757"/>
      <c r="BE677" s="1757"/>
      <c r="BF677" s="1757"/>
      <c r="BG677" s="1757"/>
      <c r="BH677" s="1757"/>
      <c r="BI677" s="1757"/>
      <c r="BJ677" s="1757"/>
      <c r="BK677" s="1757"/>
      <c r="BL677" s="1757"/>
      <c r="BM677" s="1757"/>
      <c r="BN677" s="1757"/>
      <c r="BO677" s="1757"/>
      <c r="BP677" s="1757"/>
      <c r="BQ677" s="1757"/>
      <c r="BR677" s="1757"/>
      <c r="BS677" s="1757"/>
      <c r="BT677" s="1757"/>
      <c r="BU677" s="1757"/>
      <c r="BV677" s="1757"/>
      <c r="BW677" s="1757"/>
      <c r="BX677" s="1757"/>
      <c r="BY677" s="1757"/>
      <c r="BZ677" s="1757"/>
      <c r="CA677" s="1757"/>
      <c r="CB677" s="1757"/>
      <c r="CC677" s="1757"/>
      <c r="CD677" s="1757"/>
      <c r="CE677" s="1757"/>
      <c r="CF677" s="1757"/>
      <c r="CG677" s="1757"/>
      <c r="CH677" s="1757"/>
      <c r="CI677" s="1757"/>
      <c r="CJ677" s="1757"/>
      <c r="CK677" s="1757"/>
      <c r="CL677" s="1757"/>
      <c r="CM677" s="1757"/>
      <c r="CN677" s="1757"/>
      <c r="CO677" s="1757"/>
      <c r="CP677" s="1757"/>
      <c r="CQ677" s="1757"/>
      <c r="CR677" s="1757"/>
      <c r="CS677" s="1757"/>
      <c r="CT677" s="1757"/>
      <c r="CU677" s="1757"/>
      <c r="CV677" s="1757"/>
      <c r="CW677" s="1757"/>
      <c r="CX677" s="1757"/>
      <c r="CY677" s="1757"/>
      <c r="CZ677" s="1757"/>
      <c r="DA677" s="1757"/>
      <c r="DB677" s="1757"/>
      <c r="DC677" s="1757"/>
      <c r="DD677" s="1757"/>
      <c r="DE677" s="1757"/>
      <c r="DF677" s="1757"/>
      <c r="DG677" s="1757"/>
      <c r="DH677" s="1757"/>
      <c r="DI677" s="1757"/>
      <c r="DJ677" s="1757"/>
      <c r="DK677" s="1757"/>
      <c r="DL677" s="1757"/>
      <c r="DM677" s="1757"/>
      <c r="DN677" s="1757"/>
      <c r="DO677" s="1757"/>
      <c r="DP677" s="1757"/>
      <c r="DQ677" s="1757"/>
      <c r="DR677" s="1757"/>
      <c r="DS677" s="1757"/>
      <c r="DT677" s="1757"/>
      <c r="DU677" s="1757"/>
      <c r="DV677" s="1757"/>
      <c r="DW677" s="1757"/>
      <c r="DX677" s="1757"/>
      <c r="DY677" s="1757"/>
      <c r="DZ677" s="1757"/>
      <c r="EA677" s="1757"/>
      <c r="EB677" s="1757"/>
      <c r="EC677" s="1757"/>
      <c r="ED677" s="1757"/>
      <c r="EE677" s="1757"/>
      <c r="EF677" s="1757"/>
      <c r="EG677" s="1757"/>
      <c r="EH677" s="1757"/>
      <c r="EI677" s="1757"/>
      <c r="EJ677" s="1757"/>
      <c r="EK677" s="1757"/>
      <c r="EL677" s="1757"/>
      <c r="EM677" s="1757"/>
      <c r="EN677" s="1757"/>
      <c r="EO677" s="1757"/>
      <c r="EP677" s="1757"/>
      <c r="EQ677" s="1757"/>
      <c r="ER677" s="1757"/>
      <c r="ES677" s="1757"/>
      <c r="ET677" s="1757"/>
      <c r="EU677" s="1757"/>
      <c r="EV677" s="1757"/>
      <c r="EW677" s="1757"/>
      <c r="EX677" s="1757"/>
      <c r="EY677" s="1757"/>
      <c r="EZ677" s="1757"/>
      <c r="FA677" s="1757"/>
      <c r="FB677" s="1757"/>
      <c r="FC677" s="1757"/>
      <c r="FD677" s="1757"/>
      <c r="FE677" s="1757"/>
      <c r="FF677" s="1757"/>
      <c r="FG677" s="1757"/>
      <c r="FH677" s="1757"/>
      <c r="FI677" s="1757"/>
    </row>
    <row r="678" spans="1:165">
      <c r="A678" s="1757"/>
      <c r="B678" s="1757"/>
      <c r="C678" s="1757"/>
      <c r="D678" s="1757"/>
      <c r="E678" s="1757"/>
      <c r="F678" s="1757"/>
      <c r="G678" s="1757"/>
      <c r="H678" s="1757"/>
      <c r="I678" s="1757"/>
      <c r="J678" s="1757"/>
      <c r="K678" s="1757"/>
      <c r="L678" s="1757"/>
      <c r="M678" s="1757"/>
      <c r="N678" s="1757"/>
      <c r="O678" s="1757"/>
      <c r="P678" s="1757"/>
      <c r="Q678" s="1757"/>
      <c r="R678" s="1757"/>
      <c r="S678" s="1757"/>
      <c r="T678" s="1757"/>
      <c r="U678" s="1757"/>
      <c r="V678" s="1757"/>
      <c r="W678" s="1757"/>
      <c r="X678" s="1757"/>
      <c r="Y678" s="1757"/>
      <c r="Z678" s="1757"/>
      <c r="AA678" s="1757"/>
      <c r="AB678" s="1757"/>
      <c r="AC678" s="1757"/>
      <c r="AD678" s="1757"/>
      <c r="AE678" s="1757"/>
      <c r="AF678" s="1757"/>
      <c r="AG678" s="1757"/>
      <c r="AH678" s="1757"/>
      <c r="AI678" s="1757"/>
      <c r="AJ678" s="1757"/>
      <c r="AK678" s="1757"/>
      <c r="AL678" s="1757"/>
      <c r="AM678" s="1757"/>
      <c r="AN678" s="1757"/>
      <c r="AO678" s="1757"/>
      <c r="AP678" s="1757"/>
      <c r="AQ678" s="1757"/>
      <c r="AR678" s="1757"/>
      <c r="AS678" s="1757"/>
      <c r="AT678" s="1757"/>
      <c r="AU678" s="1757"/>
      <c r="AV678" s="1757"/>
      <c r="AW678" s="1757"/>
      <c r="AX678" s="1757"/>
      <c r="AY678" s="1757"/>
      <c r="AZ678" s="1757"/>
      <c r="BA678" s="1757"/>
      <c r="BB678" s="1757"/>
      <c r="BC678" s="1757"/>
      <c r="BD678" s="1757"/>
      <c r="BE678" s="1757"/>
      <c r="BF678" s="1757"/>
      <c r="BG678" s="1757"/>
      <c r="BH678" s="1757"/>
      <c r="BI678" s="1757"/>
      <c r="BJ678" s="1757"/>
      <c r="BK678" s="1757"/>
      <c r="BL678" s="1757"/>
      <c r="BM678" s="1757"/>
      <c r="BN678" s="1757"/>
      <c r="BO678" s="1757"/>
      <c r="BP678" s="1757"/>
      <c r="BQ678" s="1757"/>
      <c r="BR678" s="1757"/>
      <c r="BS678" s="1757"/>
      <c r="BT678" s="1757"/>
      <c r="BU678" s="1757"/>
      <c r="BV678" s="1757"/>
      <c r="BW678" s="1757"/>
      <c r="BX678" s="1757"/>
      <c r="BY678" s="1757"/>
      <c r="BZ678" s="1757"/>
      <c r="CA678" s="1757"/>
      <c r="CB678" s="1757"/>
      <c r="CC678" s="1757"/>
      <c r="CD678" s="1757"/>
      <c r="CE678" s="1757"/>
      <c r="CF678" s="1757"/>
      <c r="CG678" s="1757"/>
      <c r="CH678" s="1757"/>
      <c r="CI678" s="1757"/>
      <c r="CJ678" s="1757"/>
      <c r="CK678" s="1757"/>
      <c r="CL678" s="1757"/>
      <c r="CM678" s="1757"/>
      <c r="CN678" s="1757"/>
      <c r="CO678" s="1757"/>
      <c r="CP678" s="1757"/>
      <c r="CQ678" s="1757"/>
      <c r="CR678" s="1757"/>
      <c r="CS678" s="1757"/>
      <c r="CT678" s="1757"/>
      <c r="CU678" s="1757"/>
      <c r="CV678" s="1757"/>
      <c r="CW678" s="1757"/>
      <c r="CX678" s="1757"/>
      <c r="CY678" s="1757"/>
      <c r="CZ678" s="1757"/>
      <c r="DA678" s="1757"/>
      <c r="DB678" s="1757"/>
      <c r="DC678" s="1757"/>
      <c r="DD678" s="1757"/>
      <c r="DE678" s="1757"/>
      <c r="DF678" s="1757"/>
      <c r="DG678" s="1757"/>
      <c r="DH678" s="1757"/>
      <c r="DI678" s="1757"/>
      <c r="DJ678" s="1757"/>
      <c r="DK678" s="1757"/>
      <c r="DL678" s="1757"/>
      <c r="DM678" s="1757"/>
      <c r="DN678" s="1757"/>
      <c r="DO678" s="1757"/>
      <c r="DP678" s="1757"/>
      <c r="DQ678" s="1757"/>
      <c r="DR678" s="1757"/>
      <c r="DS678" s="1757"/>
      <c r="DT678" s="1757"/>
      <c r="DU678" s="1757"/>
      <c r="DV678" s="1757"/>
      <c r="DW678" s="1757"/>
      <c r="DX678" s="1757"/>
      <c r="DY678" s="1757"/>
      <c r="DZ678" s="1757"/>
      <c r="EA678" s="1757"/>
      <c r="EB678" s="1757"/>
      <c r="EC678" s="1757"/>
      <c r="ED678" s="1757"/>
      <c r="EE678" s="1757"/>
      <c r="EF678" s="1757"/>
      <c r="EG678" s="1757"/>
      <c r="EH678" s="1757"/>
      <c r="EI678" s="1757"/>
      <c r="EJ678" s="1757"/>
      <c r="EK678" s="1757"/>
      <c r="EL678" s="1757"/>
      <c r="EM678" s="1757"/>
      <c r="EN678" s="1757"/>
      <c r="EO678" s="1757"/>
      <c r="EP678" s="1757"/>
      <c r="EQ678" s="1757"/>
      <c r="ER678" s="1757"/>
      <c r="ES678" s="1757"/>
      <c r="ET678" s="1757"/>
      <c r="EU678" s="1757"/>
      <c r="EV678" s="1757"/>
      <c r="EW678" s="1757"/>
      <c r="EX678" s="1757"/>
      <c r="EY678" s="1757"/>
      <c r="EZ678" s="1757"/>
      <c r="FA678" s="1757"/>
      <c r="FB678" s="1757"/>
      <c r="FC678" s="1757"/>
      <c r="FD678" s="1757"/>
      <c r="FE678" s="1757"/>
      <c r="FF678" s="1757"/>
      <c r="FG678" s="1757"/>
      <c r="FH678" s="1757"/>
      <c r="FI678" s="1757"/>
    </row>
    <row r="679" spans="1:165">
      <c r="A679" s="1757"/>
      <c r="B679" s="1757"/>
      <c r="C679" s="1757"/>
      <c r="D679" s="1757"/>
      <c r="E679" s="1757"/>
      <c r="F679" s="1757"/>
      <c r="G679" s="1757"/>
      <c r="H679" s="1757"/>
      <c r="I679" s="1757"/>
      <c r="J679" s="1757"/>
      <c r="K679" s="1757"/>
      <c r="L679" s="1757"/>
      <c r="M679" s="1757"/>
      <c r="N679" s="1757"/>
      <c r="O679" s="1757"/>
      <c r="P679" s="1757"/>
      <c r="Q679" s="1757"/>
      <c r="R679" s="1757"/>
      <c r="S679" s="1757"/>
      <c r="T679" s="1757"/>
      <c r="U679" s="1757"/>
      <c r="V679" s="1757"/>
      <c r="W679" s="1757"/>
      <c r="X679" s="1757"/>
      <c r="Y679" s="1757"/>
      <c r="Z679" s="1757"/>
      <c r="AA679" s="1757"/>
      <c r="AB679" s="1757"/>
      <c r="AC679" s="1757"/>
      <c r="AD679" s="1757"/>
      <c r="AE679" s="1757"/>
      <c r="AF679" s="1757"/>
      <c r="AG679" s="1757"/>
      <c r="AH679" s="1757"/>
      <c r="AI679" s="1757"/>
      <c r="AJ679" s="1757"/>
      <c r="AK679" s="1757"/>
      <c r="AL679" s="1757"/>
      <c r="AM679" s="1757"/>
      <c r="AN679" s="1757"/>
      <c r="AO679" s="1757"/>
      <c r="AP679" s="1757"/>
      <c r="AQ679" s="1757"/>
      <c r="AR679" s="1757"/>
      <c r="AS679" s="1757"/>
      <c r="AT679" s="1757"/>
      <c r="AU679" s="1757"/>
      <c r="AV679" s="1757"/>
      <c r="AW679" s="1757"/>
      <c r="AX679" s="1757"/>
      <c r="AY679" s="1757"/>
      <c r="AZ679" s="1757"/>
      <c r="BA679" s="1757"/>
      <c r="BB679" s="1757"/>
      <c r="BC679" s="1757"/>
      <c r="BD679" s="1757"/>
      <c r="BE679" s="1757"/>
      <c r="BF679" s="1757"/>
      <c r="BG679" s="1757"/>
      <c r="BH679" s="1757"/>
      <c r="BI679" s="1757"/>
      <c r="BJ679" s="1757"/>
      <c r="BK679" s="1757"/>
      <c r="BL679" s="1757"/>
      <c r="BM679" s="1757"/>
      <c r="BN679" s="1757"/>
      <c r="BO679" s="1757"/>
      <c r="BP679" s="1757"/>
      <c r="BQ679" s="1757"/>
      <c r="BR679" s="1757"/>
      <c r="BS679" s="1757"/>
      <c r="BT679" s="1757"/>
      <c r="BU679" s="1757"/>
      <c r="BV679" s="1757"/>
      <c r="BW679" s="1757"/>
      <c r="BX679" s="1757"/>
      <c r="BY679" s="1757"/>
      <c r="BZ679" s="1757"/>
      <c r="CA679" s="1757"/>
      <c r="CB679" s="1757"/>
      <c r="CC679" s="1757"/>
      <c r="CD679" s="1757"/>
      <c r="CE679" s="1757"/>
      <c r="CF679" s="1757"/>
      <c r="CG679" s="1757"/>
      <c r="CH679" s="1757"/>
      <c r="CI679" s="1757"/>
      <c r="CJ679" s="1757"/>
      <c r="CK679" s="1757"/>
      <c r="CL679" s="1757"/>
      <c r="CM679" s="1757"/>
      <c r="CN679" s="1757"/>
      <c r="CO679" s="1757"/>
      <c r="CP679" s="1757"/>
      <c r="CQ679" s="1757"/>
      <c r="CR679" s="1757"/>
      <c r="CS679" s="1757"/>
      <c r="CT679" s="1757"/>
      <c r="CU679" s="1757"/>
      <c r="CV679" s="1757"/>
      <c r="CW679" s="1757"/>
      <c r="CX679" s="1757"/>
      <c r="CY679" s="1757"/>
      <c r="CZ679" s="1757"/>
      <c r="DA679" s="1757"/>
      <c r="DB679" s="1757"/>
      <c r="DC679" s="1757"/>
      <c r="DD679" s="1757"/>
      <c r="DE679" s="1757"/>
      <c r="DF679" s="1757"/>
      <c r="DG679" s="1757"/>
      <c r="DH679" s="1757"/>
      <c r="DI679" s="1757"/>
      <c r="DJ679" s="1757"/>
      <c r="DK679" s="1757"/>
      <c r="DL679" s="1757"/>
      <c r="DM679" s="1757"/>
      <c r="DN679" s="1757"/>
      <c r="DO679" s="1757"/>
      <c r="DP679" s="1757"/>
      <c r="DQ679" s="1757"/>
      <c r="DR679" s="1757"/>
      <c r="DS679" s="1757"/>
      <c r="DT679" s="1757"/>
      <c r="DU679" s="1757"/>
      <c r="DV679" s="1757"/>
      <c r="DW679" s="1757"/>
      <c r="DX679" s="1757"/>
      <c r="DY679" s="1757"/>
      <c r="DZ679" s="1757"/>
      <c r="EA679" s="1757"/>
      <c r="EB679" s="1757"/>
      <c r="EC679" s="1757"/>
      <c r="ED679" s="1757"/>
      <c r="EE679" s="1757"/>
      <c r="EF679" s="1757"/>
      <c r="EG679" s="1757"/>
      <c r="EH679" s="1757"/>
      <c r="EI679" s="1757"/>
      <c r="EJ679" s="1757"/>
      <c r="EK679" s="1757"/>
      <c r="EL679" s="1757"/>
      <c r="EM679" s="1757"/>
      <c r="EN679" s="1757"/>
      <c r="EO679" s="1757"/>
      <c r="EP679" s="1757"/>
      <c r="EQ679" s="1757"/>
      <c r="ER679" s="1757"/>
      <c r="ES679" s="1757"/>
      <c r="ET679" s="1757"/>
      <c r="EU679" s="1757"/>
      <c r="EV679" s="1757"/>
      <c r="EW679" s="1757"/>
      <c r="EX679" s="1757"/>
      <c r="EY679" s="1757"/>
      <c r="EZ679" s="1757"/>
      <c r="FA679" s="1757"/>
      <c r="FB679" s="1757"/>
      <c r="FC679" s="1757"/>
      <c r="FD679" s="1757"/>
      <c r="FE679" s="1757"/>
      <c r="FF679" s="1757"/>
      <c r="FG679" s="1757"/>
      <c r="FH679" s="1757"/>
      <c r="FI679" s="1757"/>
    </row>
    <row r="680" spans="1:165">
      <c r="A680" s="1757"/>
      <c r="B680" s="1757"/>
      <c r="C680" s="1757"/>
      <c r="D680" s="1757"/>
      <c r="E680" s="1757"/>
      <c r="F680" s="1757"/>
      <c r="G680" s="1757"/>
      <c r="H680" s="1757"/>
      <c r="I680" s="1757"/>
      <c r="J680" s="1757"/>
      <c r="K680" s="1757"/>
      <c r="L680" s="1757"/>
      <c r="M680" s="1757"/>
      <c r="N680" s="1757"/>
      <c r="O680" s="1757"/>
      <c r="P680" s="1757"/>
      <c r="Q680" s="1757"/>
      <c r="R680" s="1757"/>
      <c r="S680" s="1757"/>
      <c r="T680" s="1757"/>
      <c r="U680" s="1757"/>
      <c r="V680" s="1757"/>
      <c r="W680" s="1757"/>
      <c r="X680" s="1757"/>
      <c r="Y680" s="1757"/>
      <c r="Z680" s="1757"/>
      <c r="AA680" s="1757"/>
      <c r="AB680" s="1757"/>
      <c r="AC680" s="1757"/>
      <c r="AD680" s="1757"/>
      <c r="AE680" s="1757"/>
      <c r="AF680" s="1757"/>
      <c r="AG680" s="1757"/>
      <c r="AH680" s="1757"/>
      <c r="AI680" s="1757"/>
      <c r="AJ680" s="1757"/>
      <c r="AK680" s="1757"/>
      <c r="AL680" s="1757"/>
      <c r="AM680" s="1757"/>
      <c r="AN680" s="1757"/>
      <c r="AO680" s="1757"/>
      <c r="AP680" s="1757"/>
      <c r="AQ680" s="1757"/>
      <c r="AR680" s="1757"/>
      <c r="AS680" s="1757"/>
      <c r="AT680" s="1757"/>
      <c r="AU680" s="1757"/>
      <c r="AV680" s="1757"/>
      <c r="AW680" s="1757"/>
      <c r="AX680" s="1757"/>
      <c r="AY680" s="1757"/>
      <c r="AZ680" s="1757"/>
      <c r="BA680" s="1757"/>
      <c r="BB680" s="1757"/>
      <c r="BC680" s="1757"/>
      <c r="BD680" s="1757"/>
      <c r="BE680" s="1757"/>
      <c r="BF680" s="1757"/>
      <c r="BG680" s="1757"/>
      <c r="BH680" s="1757"/>
      <c r="BI680" s="1757"/>
      <c r="BJ680" s="1757"/>
      <c r="BK680" s="1757"/>
      <c r="BL680" s="1757"/>
      <c r="BM680" s="1757"/>
      <c r="BN680" s="1757"/>
      <c r="BO680" s="1757"/>
      <c r="BP680" s="1757"/>
      <c r="BQ680" s="1757"/>
      <c r="BR680" s="1757"/>
      <c r="BS680" s="1757"/>
      <c r="BT680" s="1757"/>
      <c r="BU680" s="1757"/>
      <c r="BV680" s="1757"/>
      <c r="BW680" s="1757"/>
      <c r="BX680" s="1757"/>
      <c r="BY680" s="1757"/>
      <c r="BZ680" s="1757"/>
      <c r="CA680" s="1757"/>
      <c r="CB680" s="1757"/>
      <c r="CC680" s="1757"/>
      <c r="CD680" s="1757"/>
      <c r="CE680" s="1757"/>
      <c r="CF680" s="1757"/>
      <c r="CG680" s="1757"/>
      <c r="CH680" s="1757"/>
      <c r="CI680" s="1757"/>
      <c r="CJ680" s="1757"/>
      <c r="CK680" s="1757"/>
      <c r="CL680" s="1757"/>
      <c r="CM680" s="1757"/>
      <c r="CN680" s="1757"/>
      <c r="CO680" s="1757"/>
      <c r="CP680" s="1757"/>
      <c r="CQ680" s="1757"/>
      <c r="CR680" s="1757"/>
      <c r="CS680" s="1757"/>
      <c r="CT680" s="1757"/>
      <c r="CU680" s="1757"/>
      <c r="CV680" s="1757"/>
      <c r="CW680" s="1757"/>
      <c r="CX680" s="1757"/>
      <c r="CY680" s="1757"/>
      <c r="CZ680" s="1757"/>
      <c r="DA680" s="1757"/>
      <c r="DB680" s="1757"/>
      <c r="DC680" s="1757"/>
      <c r="DD680" s="1757"/>
      <c r="DE680" s="1757"/>
      <c r="DF680" s="1757"/>
      <c r="DG680" s="1757"/>
      <c r="DH680" s="1757"/>
      <c r="DI680" s="1757"/>
      <c r="DJ680" s="1757"/>
      <c r="DK680" s="1757"/>
      <c r="DL680" s="1757"/>
      <c r="DM680" s="1757"/>
      <c r="DN680" s="1757"/>
      <c r="DO680" s="1757"/>
      <c r="DP680" s="1757"/>
      <c r="DQ680" s="1757"/>
      <c r="DR680" s="1757"/>
      <c r="DS680" s="1757"/>
      <c r="DT680" s="1757"/>
      <c r="DU680" s="1757"/>
      <c r="DV680" s="1757"/>
      <c r="DW680" s="1757"/>
      <c r="DX680" s="1757"/>
      <c r="DY680" s="1757"/>
      <c r="DZ680" s="1757"/>
      <c r="EA680" s="1757"/>
      <c r="EB680" s="1757"/>
      <c r="EC680" s="1757"/>
      <c r="ED680" s="1757"/>
      <c r="EE680" s="1757"/>
      <c r="EF680" s="1757"/>
      <c r="EG680" s="1757"/>
      <c r="EH680" s="1757"/>
      <c r="EI680" s="1757"/>
      <c r="EJ680" s="1757"/>
      <c r="EK680" s="1757"/>
      <c r="EL680" s="1757"/>
      <c r="EM680" s="1757"/>
      <c r="EN680" s="1757"/>
      <c r="EO680" s="1757"/>
      <c r="EP680" s="1757"/>
      <c r="EQ680" s="1757"/>
      <c r="ER680" s="1757"/>
      <c r="ES680" s="1757"/>
      <c r="ET680" s="1757"/>
      <c r="EU680" s="1757"/>
      <c r="EV680" s="1757"/>
      <c r="EW680" s="1757"/>
      <c r="EX680" s="1757"/>
      <c r="EY680" s="1757"/>
      <c r="EZ680" s="1757"/>
      <c r="FA680" s="1757"/>
      <c r="FB680" s="1757"/>
      <c r="FC680" s="1757"/>
      <c r="FD680" s="1757"/>
      <c r="FE680" s="1757"/>
      <c r="FF680" s="1757"/>
      <c r="FG680" s="1757"/>
      <c r="FH680" s="1757"/>
      <c r="FI680" s="1757"/>
    </row>
    <row r="681" spans="1:165">
      <c r="A681" s="1757"/>
      <c r="B681" s="1757"/>
      <c r="C681" s="1757"/>
      <c r="D681" s="1757"/>
      <c r="E681" s="1757"/>
      <c r="F681" s="1757"/>
      <c r="G681" s="1757"/>
      <c r="H681" s="1757"/>
      <c r="I681" s="1757"/>
      <c r="J681" s="1757"/>
      <c r="K681" s="1757"/>
      <c r="L681" s="1757"/>
      <c r="M681" s="1757"/>
      <c r="N681" s="1757"/>
      <c r="O681" s="1757"/>
      <c r="P681" s="1757"/>
      <c r="Q681" s="1757"/>
      <c r="R681" s="1757"/>
      <c r="S681" s="1757"/>
      <c r="T681" s="1757"/>
      <c r="U681" s="1757"/>
      <c r="V681" s="1757"/>
      <c r="W681" s="1757"/>
      <c r="X681" s="1757"/>
      <c r="Y681" s="1757"/>
      <c r="Z681" s="1757"/>
      <c r="AA681" s="1757"/>
      <c r="AB681" s="1757"/>
      <c r="AC681" s="1757"/>
      <c r="AD681" s="1757"/>
      <c r="AE681" s="1757"/>
      <c r="AF681" s="1757"/>
      <c r="AG681" s="1757"/>
      <c r="AH681" s="1757"/>
      <c r="AI681" s="1757"/>
      <c r="AJ681" s="1757"/>
      <c r="AK681" s="1757"/>
      <c r="AL681" s="1757"/>
      <c r="AM681" s="1757"/>
      <c r="AN681" s="1757"/>
      <c r="AO681" s="1757"/>
      <c r="AP681" s="1757"/>
      <c r="AQ681" s="1757"/>
      <c r="AR681" s="1757"/>
      <c r="AS681" s="1757"/>
      <c r="AT681" s="1757"/>
      <c r="AU681" s="1757"/>
      <c r="AV681" s="1757"/>
      <c r="AW681" s="1757"/>
      <c r="AX681" s="1757"/>
      <c r="AY681" s="1757"/>
      <c r="AZ681" s="1757"/>
      <c r="BA681" s="1757"/>
      <c r="BB681" s="1757"/>
      <c r="BC681" s="1757"/>
      <c r="BD681" s="1757"/>
      <c r="BE681" s="1757"/>
      <c r="BF681" s="1757"/>
      <c r="BG681" s="1757"/>
      <c r="BH681" s="1757"/>
      <c r="BI681" s="1757"/>
      <c r="BJ681" s="1757"/>
      <c r="BK681" s="1757"/>
      <c r="BL681" s="1757"/>
      <c r="BM681" s="1757"/>
      <c r="BN681" s="1757"/>
      <c r="BO681" s="1757"/>
      <c r="BP681" s="1757"/>
      <c r="BQ681" s="1757"/>
      <c r="BR681" s="1757"/>
      <c r="BS681" s="1757"/>
      <c r="BT681" s="1757"/>
      <c r="BU681" s="1757"/>
      <c r="BV681" s="1757"/>
      <c r="BW681" s="1757"/>
      <c r="BX681" s="1757"/>
      <c r="BY681" s="1757"/>
      <c r="BZ681" s="1757"/>
      <c r="CA681" s="1757"/>
      <c r="CB681" s="1757"/>
      <c r="CC681" s="1757"/>
      <c r="CD681" s="1757"/>
      <c r="CE681" s="1757"/>
      <c r="CF681" s="1757"/>
      <c r="CG681" s="1757"/>
      <c r="CH681" s="1757"/>
      <c r="CI681" s="1757"/>
      <c r="CJ681" s="1757"/>
      <c r="CK681" s="1757"/>
      <c r="CL681" s="1757"/>
      <c r="CM681" s="1757"/>
      <c r="CN681" s="1757"/>
      <c r="CO681" s="1757"/>
      <c r="CP681" s="1757"/>
      <c r="CQ681" s="1757"/>
      <c r="CR681" s="1757"/>
      <c r="CS681" s="1757"/>
      <c r="CT681" s="1757"/>
      <c r="CU681" s="1757"/>
      <c r="CV681" s="1757"/>
      <c r="CW681" s="1757"/>
      <c r="CX681" s="1757"/>
      <c r="CY681" s="1757"/>
      <c r="CZ681" s="1757"/>
      <c r="DA681" s="1757"/>
      <c r="DB681" s="1757"/>
      <c r="DC681" s="1757"/>
      <c r="DD681" s="1757"/>
      <c r="DE681" s="1757"/>
      <c r="DF681" s="1757"/>
      <c r="DG681" s="1757"/>
      <c r="DH681" s="1757"/>
      <c r="DI681" s="1757"/>
      <c r="DJ681" s="1757"/>
      <c r="DK681" s="1757"/>
      <c r="DL681" s="1757"/>
      <c r="DM681" s="1757"/>
      <c r="DN681" s="1757"/>
      <c r="DO681" s="1757"/>
      <c r="DP681" s="1757"/>
      <c r="DQ681" s="1757"/>
      <c r="DR681" s="1757"/>
      <c r="DS681" s="1757"/>
      <c r="DT681" s="1757"/>
      <c r="DU681" s="1757"/>
      <c r="DV681" s="1757"/>
      <c r="DW681" s="1757"/>
      <c r="DX681" s="1757"/>
      <c r="DY681" s="1757"/>
      <c r="DZ681" s="1757"/>
      <c r="EA681" s="1757"/>
      <c r="EB681" s="1757"/>
      <c r="EC681" s="1757"/>
      <c r="ED681" s="1757"/>
      <c r="EE681" s="1757"/>
      <c r="EF681" s="1757"/>
      <c r="EG681" s="1757"/>
      <c r="EH681" s="1757"/>
      <c r="EI681" s="1757"/>
      <c r="EJ681" s="1757"/>
      <c r="EK681" s="1757"/>
      <c r="EL681" s="1757"/>
      <c r="EM681" s="1757"/>
      <c r="EN681" s="1757"/>
      <c r="EO681" s="1757"/>
      <c r="EP681" s="1757"/>
      <c r="EQ681" s="1757"/>
      <c r="ER681" s="1757"/>
      <c r="ES681" s="1757"/>
      <c r="ET681" s="1757"/>
      <c r="EU681" s="1757"/>
      <c r="EV681" s="1757"/>
      <c r="EW681" s="1757"/>
      <c r="EX681" s="1757"/>
      <c r="EY681" s="1757"/>
      <c r="EZ681" s="1757"/>
      <c r="FA681" s="1757"/>
      <c r="FB681" s="1757"/>
      <c r="FC681" s="1757"/>
      <c r="FD681" s="1757"/>
      <c r="FE681" s="1757"/>
      <c r="FF681" s="1757"/>
      <c r="FG681" s="1757"/>
      <c r="FH681" s="1757"/>
      <c r="FI681" s="1757"/>
    </row>
    <row r="682" spans="1:165">
      <c r="A682" s="1757"/>
      <c r="B682" s="1757"/>
      <c r="C682" s="1757"/>
      <c r="D682" s="1757"/>
      <c r="E682" s="1757"/>
      <c r="F682" s="1757"/>
      <c r="G682" s="1757"/>
      <c r="H682" s="1757"/>
      <c r="I682" s="1757"/>
      <c r="J682" s="1757"/>
      <c r="K682" s="1757"/>
      <c r="L682" s="1757"/>
      <c r="M682" s="1757"/>
      <c r="N682" s="1757"/>
      <c r="O682" s="1757"/>
      <c r="P682" s="1757"/>
      <c r="Q682" s="1757"/>
      <c r="R682" s="1757"/>
      <c r="S682" s="1757"/>
      <c r="T682" s="1757"/>
      <c r="U682" s="1757"/>
      <c r="V682" s="1757"/>
      <c r="W682" s="1757"/>
      <c r="X682" s="1757"/>
      <c r="Y682" s="1757"/>
      <c r="Z682" s="1757"/>
      <c r="AA682" s="1757"/>
      <c r="AB682" s="1757"/>
      <c r="AC682" s="1757"/>
      <c r="AD682" s="1757"/>
      <c r="AE682" s="1757"/>
      <c r="AF682" s="1757"/>
      <c r="AG682" s="1757"/>
      <c r="AH682" s="1757"/>
      <c r="AI682" s="1757"/>
      <c r="AJ682" s="1757"/>
      <c r="AK682" s="1757"/>
      <c r="AL682" s="1757"/>
      <c r="AM682" s="1757"/>
      <c r="AN682" s="1757"/>
      <c r="AO682" s="1757"/>
      <c r="AP682" s="1757"/>
      <c r="AQ682" s="1757"/>
      <c r="AR682" s="1757"/>
      <c r="AS682" s="1757"/>
      <c r="AT682" s="1757"/>
      <c r="AU682" s="1757"/>
      <c r="AV682" s="1757"/>
      <c r="AW682" s="1757"/>
      <c r="AX682" s="1757"/>
      <c r="AY682" s="1757"/>
      <c r="AZ682" s="1757"/>
      <c r="BA682" s="1757"/>
      <c r="BB682" s="1757"/>
      <c r="BC682" s="1757"/>
      <c r="BD682" s="1757"/>
      <c r="BE682" s="1757"/>
      <c r="BF682" s="1757"/>
      <c r="BG682" s="1757"/>
      <c r="BH682" s="1757"/>
      <c r="BI682" s="1757"/>
      <c r="BJ682" s="1757"/>
      <c r="BK682" s="1757"/>
      <c r="BL682" s="1757"/>
      <c r="BM682" s="1757"/>
      <c r="BN682" s="1757"/>
      <c r="BO682" s="1757"/>
      <c r="BP682" s="1757"/>
      <c r="BQ682" s="1757"/>
      <c r="BR682" s="1757"/>
      <c r="BS682" s="1757"/>
      <c r="BT682" s="1757"/>
      <c r="BU682" s="1757"/>
      <c r="BV682" s="1757"/>
      <c r="BW682" s="1757"/>
      <c r="BX682" s="1757"/>
      <c r="BY682" s="1757"/>
      <c r="BZ682" s="1757"/>
      <c r="CA682" s="1757"/>
      <c r="CB682" s="1757"/>
      <c r="CC682" s="1757"/>
      <c r="CD682" s="1757"/>
      <c r="CE682" s="1757"/>
      <c r="CF682" s="1757"/>
      <c r="CG682" s="1757"/>
      <c r="CH682" s="1757"/>
      <c r="CI682" s="1757"/>
      <c r="CJ682" s="1757"/>
      <c r="CK682" s="1757"/>
      <c r="CL682" s="1757"/>
      <c r="CM682" s="1757"/>
      <c r="CN682" s="1757"/>
      <c r="CO682" s="1757"/>
      <c r="CP682" s="1757"/>
      <c r="CQ682" s="1757"/>
      <c r="CR682" s="1757"/>
      <c r="CS682" s="1757"/>
      <c r="CT682" s="1757"/>
      <c r="CU682" s="1757"/>
      <c r="CV682" s="1757"/>
      <c r="CW682" s="1757"/>
      <c r="CX682" s="1757"/>
      <c r="CY682" s="1757"/>
      <c r="CZ682" s="1757"/>
      <c r="DA682" s="1757"/>
      <c r="DB682" s="1757"/>
      <c r="DC682" s="1757"/>
      <c r="DD682" s="1757"/>
      <c r="DE682" s="1757"/>
      <c r="DF682" s="1757"/>
      <c r="DG682" s="1757"/>
      <c r="DH682" s="1757"/>
      <c r="DI682" s="1757"/>
      <c r="DJ682" s="1757"/>
      <c r="DK682" s="1757"/>
      <c r="DL682" s="1757"/>
      <c r="DM682" s="1757"/>
      <c r="DN682" s="1757"/>
      <c r="DO682" s="1757"/>
      <c r="DP682" s="1757"/>
      <c r="DQ682" s="1757"/>
      <c r="DR682" s="1757"/>
      <c r="DS682" s="1757"/>
      <c r="DT682" s="1757"/>
      <c r="DU682" s="1757"/>
      <c r="DV682" s="1757"/>
      <c r="DW682" s="1757"/>
      <c r="DX682" s="1757"/>
      <c r="DY682" s="1757"/>
      <c r="DZ682" s="1757"/>
      <c r="EA682" s="1757"/>
      <c r="EB682" s="1757"/>
      <c r="EC682" s="1757"/>
      <c r="ED682" s="1757"/>
      <c r="EE682" s="1757"/>
      <c r="EF682" s="1757"/>
      <c r="EG682" s="1757"/>
      <c r="EH682" s="1757"/>
      <c r="EI682" s="1757"/>
      <c r="EJ682" s="1757"/>
      <c r="EK682" s="1757"/>
      <c r="EL682" s="1757"/>
      <c r="EM682" s="1757"/>
      <c r="EN682" s="1757"/>
      <c r="EO682" s="1757"/>
      <c r="EP682" s="1757"/>
      <c r="EQ682" s="1757"/>
      <c r="ER682" s="1757"/>
      <c r="ES682" s="1757"/>
      <c r="ET682" s="1757"/>
      <c r="EU682" s="1757"/>
      <c r="EV682" s="1757"/>
      <c r="EW682" s="1757"/>
      <c r="EX682" s="1757"/>
      <c r="EY682" s="1757"/>
      <c r="EZ682" s="1757"/>
      <c r="FA682" s="1757"/>
      <c r="FB682" s="1757"/>
      <c r="FC682" s="1757"/>
      <c r="FD682" s="1757"/>
      <c r="FE682" s="1757"/>
      <c r="FF682" s="1757"/>
      <c r="FG682" s="1757"/>
      <c r="FH682" s="1757"/>
      <c r="FI682" s="1757"/>
    </row>
    <row r="683" spans="1:165">
      <c r="A683" s="1757"/>
      <c r="B683" s="1757"/>
      <c r="C683" s="1757"/>
      <c r="D683" s="1757"/>
      <c r="E683" s="1757"/>
      <c r="F683" s="1757"/>
      <c r="G683" s="1757"/>
      <c r="H683" s="1757"/>
      <c r="I683" s="1757"/>
      <c r="J683" s="1757"/>
      <c r="K683" s="1757"/>
      <c r="L683" s="1757"/>
      <c r="M683" s="1757"/>
      <c r="N683" s="1757"/>
      <c r="O683" s="1757"/>
      <c r="P683" s="1757"/>
      <c r="Q683" s="1757"/>
      <c r="R683" s="1757"/>
      <c r="S683" s="1757"/>
      <c r="T683" s="1757"/>
      <c r="U683" s="1757"/>
      <c r="V683" s="1757"/>
      <c r="W683" s="1757"/>
      <c r="X683" s="1757"/>
      <c r="Y683" s="1757"/>
      <c r="Z683" s="1757"/>
      <c r="AA683" s="1757"/>
      <c r="AB683" s="1757"/>
      <c r="AC683" s="1757"/>
      <c r="AD683" s="1757"/>
      <c r="AE683" s="1757"/>
      <c r="AF683" s="1757"/>
      <c r="AG683" s="1757"/>
      <c r="AH683" s="1757"/>
      <c r="AI683" s="1757"/>
      <c r="AJ683" s="1757"/>
      <c r="AK683" s="1757"/>
      <c r="AL683" s="1757"/>
      <c r="AM683" s="1757"/>
      <c r="AN683" s="1757"/>
      <c r="AO683" s="1757"/>
      <c r="AP683" s="1757"/>
      <c r="AQ683" s="1757"/>
      <c r="AR683" s="1757"/>
      <c r="AS683" s="1757"/>
      <c r="AT683" s="1757"/>
      <c r="AU683" s="1757"/>
      <c r="AV683" s="1757"/>
      <c r="AW683" s="1757"/>
      <c r="AX683" s="1757"/>
      <c r="AY683" s="1757"/>
      <c r="AZ683" s="1757"/>
      <c r="BA683" s="1757"/>
      <c r="BB683" s="1757"/>
      <c r="BC683" s="1757"/>
      <c r="BD683" s="1757"/>
      <c r="BE683" s="1757"/>
      <c r="BF683" s="1757"/>
      <c r="BG683" s="1757"/>
      <c r="BH683" s="1757"/>
      <c r="BI683" s="1757"/>
      <c r="BJ683" s="1757"/>
      <c r="BK683" s="1757"/>
      <c r="BL683" s="1757"/>
      <c r="BM683" s="1757"/>
      <c r="BN683" s="1757"/>
      <c r="BO683" s="1757"/>
      <c r="BP683" s="1757"/>
      <c r="BQ683" s="1757"/>
      <c r="BR683" s="1757"/>
      <c r="BS683" s="1757"/>
      <c r="BT683" s="1757"/>
      <c r="BU683" s="1757"/>
      <c r="BV683" s="1757"/>
      <c r="BW683" s="1757"/>
      <c r="BX683" s="1757"/>
      <c r="BY683" s="1757"/>
      <c r="BZ683" s="1757"/>
      <c r="CA683" s="1757"/>
      <c r="CB683" s="1757"/>
      <c r="CC683" s="1757"/>
      <c r="CD683" s="1757"/>
      <c r="CE683" s="1757"/>
      <c r="CF683" s="1757"/>
      <c r="CG683" s="1757"/>
      <c r="CH683" s="1757"/>
      <c r="CI683" s="1757"/>
      <c r="CJ683" s="1757"/>
      <c r="CK683" s="1757"/>
      <c r="CL683" s="1757"/>
      <c r="CM683" s="1757"/>
      <c r="CN683" s="1757"/>
      <c r="CO683" s="1757"/>
      <c r="CP683" s="1757"/>
      <c r="CQ683" s="1757"/>
      <c r="CR683" s="1757"/>
      <c r="CS683" s="1757"/>
      <c r="CT683" s="1757"/>
      <c r="CU683" s="1757"/>
      <c r="CV683" s="1757"/>
      <c r="CW683" s="1757"/>
      <c r="CX683" s="1757"/>
      <c r="CY683" s="1757"/>
      <c r="CZ683" s="1757"/>
      <c r="DA683" s="1757"/>
      <c r="DB683" s="1757"/>
      <c r="DC683" s="1757"/>
      <c r="DD683" s="1757"/>
      <c r="DE683" s="1757"/>
      <c r="DF683" s="1757"/>
      <c r="DG683" s="1757"/>
      <c r="DH683" s="1757"/>
      <c r="DI683" s="1757"/>
      <c r="DJ683" s="1757"/>
      <c r="DK683" s="1757"/>
      <c r="DL683" s="1757"/>
      <c r="DM683" s="1757"/>
      <c r="DN683" s="1757"/>
      <c r="DO683" s="1757"/>
      <c r="DP683" s="1757"/>
      <c r="DQ683" s="1757"/>
      <c r="DR683" s="1757"/>
      <c r="DS683" s="1757"/>
      <c r="DT683" s="1757"/>
      <c r="DU683" s="1757"/>
      <c r="DV683" s="1757"/>
      <c r="DW683" s="1757"/>
      <c r="DX683" s="1757"/>
      <c r="DY683" s="1757"/>
      <c r="DZ683" s="1757"/>
      <c r="EA683" s="1757"/>
      <c r="EB683" s="1757"/>
      <c r="EC683" s="1757"/>
      <c r="ED683" s="1757"/>
      <c r="EE683" s="1757"/>
      <c r="EF683" s="1757"/>
      <c r="EG683" s="1757"/>
      <c r="EH683" s="1757"/>
      <c r="EI683" s="1757"/>
      <c r="EJ683" s="1757"/>
      <c r="EK683" s="1757"/>
      <c r="EL683" s="1757"/>
      <c r="EM683" s="1757"/>
      <c r="EN683" s="1757"/>
      <c r="EO683" s="1757"/>
      <c r="EP683" s="1757"/>
      <c r="EQ683" s="1757"/>
      <c r="ER683" s="1757"/>
      <c r="ES683" s="1757"/>
      <c r="ET683" s="1757"/>
      <c r="EU683" s="1757"/>
      <c r="EV683" s="1757"/>
      <c r="EW683" s="1757"/>
      <c r="EX683" s="1757"/>
      <c r="EY683" s="1757"/>
      <c r="EZ683" s="1757"/>
      <c r="FA683" s="1757"/>
      <c r="FB683" s="1757"/>
      <c r="FC683" s="1757"/>
      <c r="FD683" s="1757"/>
      <c r="FE683" s="1757"/>
      <c r="FF683" s="1757"/>
      <c r="FG683" s="1757"/>
      <c r="FH683" s="1757"/>
      <c r="FI683" s="1757"/>
    </row>
    <row r="684" spans="1:165">
      <c r="A684" s="1757"/>
      <c r="B684" s="1757"/>
      <c r="C684" s="1757"/>
      <c r="D684" s="1757"/>
      <c r="E684" s="1757"/>
      <c r="F684" s="1757"/>
      <c r="G684" s="1757"/>
      <c r="H684" s="1757"/>
      <c r="I684" s="1757"/>
      <c r="J684" s="1757"/>
      <c r="K684" s="1757"/>
      <c r="L684" s="1757"/>
      <c r="M684" s="1757"/>
      <c r="N684" s="1757"/>
      <c r="O684" s="1757"/>
      <c r="P684" s="1757"/>
      <c r="Q684" s="1757"/>
      <c r="R684" s="1757"/>
      <c r="S684" s="1757"/>
      <c r="T684" s="1757"/>
      <c r="U684" s="1757"/>
      <c r="V684" s="1757"/>
      <c r="W684" s="1757"/>
      <c r="X684" s="1757"/>
      <c r="Y684" s="1757"/>
      <c r="Z684" s="1757"/>
      <c r="AA684" s="1757"/>
      <c r="AB684" s="1757"/>
      <c r="AC684" s="1757"/>
      <c r="AD684" s="1757"/>
      <c r="AE684" s="1757"/>
      <c r="AF684" s="1757"/>
      <c r="AG684" s="1757"/>
      <c r="AH684" s="1757"/>
      <c r="AI684" s="1757"/>
      <c r="AJ684" s="1757"/>
      <c r="AK684" s="1757"/>
      <c r="AL684" s="1757"/>
      <c r="AM684" s="1757"/>
      <c r="AN684" s="1757"/>
      <c r="AO684" s="1757"/>
      <c r="AP684" s="1757"/>
      <c r="AQ684" s="1757"/>
      <c r="AR684" s="1757"/>
      <c r="AS684" s="1757"/>
      <c r="AT684" s="1757"/>
      <c r="AU684" s="1757"/>
      <c r="AV684" s="1757"/>
      <c r="AW684" s="1757"/>
      <c r="AX684" s="1757"/>
      <c r="AY684" s="1757"/>
      <c r="AZ684" s="1757"/>
      <c r="BA684" s="1757"/>
      <c r="BB684" s="1757"/>
      <c r="BC684" s="1757"/>
      <c r="BD684" s="1757"/>
      <c r="BE684" s="1757"/>
      <c r="BF684" s="1757"/>
      <c r="BG684" s="1757"/>
      <c r="BH684" s="1757"/>
      <c r="BI684" s="1757"/>
      <c r="BJ684" s="1757"/>
      <c r="BK684" s="1757"/>
      <c r="BL684" s="1757"/>
      <c r="BM684" s="1757"/>
      <c r="BN684" s="1757"/>
      <c r="BO684" s="1757"/>
      <c r="BP684" s="1757"/>
      <c r="BQ684" s="1757"/>
      <c r="BR684" s="1757"/>
      <c r="BS684" s="1757"/>
      <c r="BT684" s="1757"/>
      <c r="BU684" s="1757"/>
      <c r="BV684" s="1757"/>
      <c r="BW684" s="1757"/>
      <c r="BX684" s="1757"/>
      <c r="BY684" s="1757"/>
      <c r="BZ684" s="1757"/>
      <c r="CA684" s="1757"/>
      <c r="CB684" s="1757"/>
      <c r="CC684" s="1757"/>
      <c r="CD684" s="1757"/>
      <c r="CE684" s="1757"/>
      <c r="CF684" s="1757"/>
      <c r="CG684" s="1757"/>
      <c r="CH684" s="1757"/>
      <c r="CI684" s="1757"/>
      <c r="CJ684" s="1757"/>
      <c r="CK684" s="1757"/>
      <c r="CL684" s="1757"/>
      <c r="CM684" s="1757"/>
      <c r="CN684" s="1757"/>
      <c r="CO684" s="1757"/>
      <c r="CP684" s="1757"/>
      <c r="CQ684" s="1757"/>
      <c r="CR684" s="1757"/>
      <c r="CS684" s="1757"/>
      <c r="CT684" s="1757"/>
      <c r="CU684" s="1757"/>
      <c r="CV684" s="1757"/>
      <c r="CW684" s="1757"/>
      <c r="CX684" s="1757"/>
      <c r="CY684" s="1757"/>
      <c r="CZ684" s="1757"/>
      <c r="DA684" s="1757"/>
      <c r="DB684" s="1757"/>
      <c r="DC684" s="1757"/>
      <c r="DD684" s="1757"/>
      <c r="DE684" s="1757"/>
      <c r="DF684" s="1757"/>
      <c r="DG684" s="1757"/>
      <c r="DH684" s="1757"/>
      <c r="DI684" s="1757"/>
      <c r="DJ684" s="1757"/>
      <c r="DK684" s="1757"/>
      <c r="DL684" s="1757"/>
      <c r="DM684" s="1757"/>
      <c r="DN684" s="1757"/>
      <c r="DO684" s="1757"/>
      <c r="DP684" s="1757"/>
      <c r="DQ684" s="1757"/>
      <c r="DR684" s="1757"/>
      <c r="DS684" s="1757"/>
      <c r="DT684" s="1757"/>
      <c r="DU684" s="1757"/>
      <c r="DV684" s="1757"/>
      <c r="DW684" s="1757"/>
      <c r="DX684" s="1757"/>
      <c r="DY684" s="1757"/>
      <c r="DZ684" s="1757"/>
      <c r="EA684" s="1757"/>
      <c r="EB684" s="1757"/>
      <c r="EC684" s="1757"/>
      <c r="ED684" s="1757"/>
      <c r="EE684" s="1757"/>
      <c r="EF684" s="1757"/>
      <c r="EG684" s="1757"/>
      <c r="EH684" s="1757"/>
      <c r="EI684" s="1757"/>
      <c r="EJ684" s="1757"/>
      <c r="EK684" s="1757"/>
      <c r="EL684" s="1757"/>
      <c r="EM684" s="1757"/>
      <c r="EN684" s="1757"/>
      <c r="EO684" s="1757"/>
      <c r="EP684" s="1757"/>
      <c r="EQ684" s="1757"/>
      <c r="ER684" s="1757"/>
      <c r="ES684" s="1757"/>
      <c r="ET684" s="1757"/>
      <c r="EU684" s="1757"/>
      <c r="EV684" s="1757"/>
      <c r="EW684" s="1757"/>
      <c r="EX684" s="1757"/>
      <c r="EY684" s="1757"/>
      <c r="EZ684" s="1757"/>
      <c r="FA684" s="1757"/>
      <c r="FB684" s="1757"/>
      <c r="FC684" s="1757"/>
      <c r="FD684" s="1757"/>
      <c r="FE684" s="1757"/>
      <c r="FF684" s="1757"/>
      <c r="FG684" s="1757"/>
      <c r="FH684" s="1757"/>
      <c r="FI684" s="1757"/>
    </row>
    <row r="685" spans="1:165">
      <c r="A685" s="1757"/>
      <c r="B685" s="1757"/>
      <c r="C685" s="1757"/>
      <c r="D685" s="1757"/>
      <c r="E685" s="1757"/>
      <c r="F685" s="1757"/>
      <c r="G685" s="1757"/>
      <c r="H685" s="1757"/>
      <c r="I685" s="1757"/>
      <c r="J685" s="1757"/>
      <c r="K685" s="1757"/>
      <c r="L685" s="1757"/>
      <c r="M685" s="1757"/>
      <c r="N685" s="1757"/>
      <c r="O685" s="1757"/>
      <c r="P685" s="1757"/>
      <c r="Q685" s="1757"/>
      <c r="R685" s="1757"/>
      <c r="S685" s="1757"/>
      <c r="T685" s="1757"/>
      <c r="U685" s="1757"/>
      <c r="V685" s="1757"/>
      <c r="W685" s="1757"/>
      <c r="X685" s="1757"/>
      <c r="Y685" s="1757"/>
      <c r="Z685" s="1757"/>
      <c r="AA685" s="1757"/>
      <c r="AB685" s="1757"/>
      <c r="AC685" s="1757"/>
      <c r="AD685" s="1757"/>
      <c r="AE685" s="1757"/>
      <c r="AF685" s="1757"/>
      <c r="AG685" s="1757"/>
      <c r="AH685" s="1757"/>
      <c r="AI685" s="1757"/>
      <c r="AJ685" s="1757"/>
      <c r="AK685" s="1757"/>
      <c r="AL685" s="1757"/>
      <c r="AM685" s="1757"/>
      <c r="AN685" s="1757"/>
      <c r="AO685" s="1757"/>
      <c r="AP685" s="1757"/>
      <c r="AQ685" s="1757"/>
      <c r="AR685" s="1757"/>
      <c r="AS685" s="1757"/>
      <c r="AT685" s="1757"/>
      <c r="AU685" s="1757"/>
      <c r="AV685" s="1757"/>
      <c r="AW685" s="1757"/>
      <c r="AX685" s="1757"/>
      <c r="AY685" s="1757"/>
      <c r="AZ685" s="1757"/>
      <c r="BA685" s="1757"/>
      <c r="BB685" s="1757"/>
      <c r="BC685" s="1757"/>
      <c r="BD685" s="1757"/>
      <c r="BE685" s="1757"/>
      <c r="BF685" s="1757"/>
      <c r="BG685" s="1757"/>
      <c r="BH685" s="1757"/>
      <c r="BI685" s="1757"/>
      <c r="BJ685" s="1757"/>
      <c r="BK685" s="1757"/>
      <c r="BL685" s="1757"/>
      <c r="BM685" s="1757"/>
      <c r="BN685" s="1757"/>
      <c r="BO685" s="1757"/>
      <c r="BP685" s="1757"/>
      <c r="BQ685" s="1757"/>
      <c r="BR685" s="1757"/>
      <c r="BS685" s="1757"/>
      <c r="BT685" s="1757"/>
      <c r="BU685" s="1757"/>
      <c r="BV685" s="1757"/>
      <c r="BW685" s="1757"/>
      <c r="BX685" s="1757"/>
      <c r="BY685" s="1757"/>
      <c r="BZ685" s="1757"/>
      <c r="CA685" s="1757"/>
      <c r="CB685" s="1757"/>
      <c r="CC685" s="1757"/>
      <c r="CD685" s="1757"/>
      <c r="CE685" s="1757"/>
      <c r="CF685" s="1757"/>
      <c r="CG685" s="1757"/>
      <c r="CH685" s="1757"/>
      <c r="CI685" s="1757"/>
      <c r="CJ685" s="1757"/>
      <c r="CK685" s="1757"/>
      <c r="CL685" s="1757"/>
      <c r="CM685" s="1757"/>
      <c r="CN685" s="1757"/>
      <c r="CO685" s="1757"/>
      <c r="CP685" s="1757"/>
      <c r="CQ685" s="1757"/>
      <c r="CR685" s="1757"/>
      <c r="CS685" s="1757"/>
      <c r="CT685" s="1757"/>
      <c r="CU685" s="1757"/>
      <c r="CV685" s="1757"/>
      <c r="CW685" s="1757"/>
      <c r="CX685" s="1757"/>
      <c r="CY685" s="1757"/>
      <c r="CZ685" s="1757"/>
      <c r="DA685" s="1757"/>
      <c r="DB685" s="1757"/>
      <c r="DC685" s="1757"/>
      <c r="DD685" s="1757"/>
      <c r="DE685" s="1757"/>
      <c r="DF685" s="1757"/>
      <c r="DG685" s="1757"/>
      <c r="DH685" s="1757"/>
      <c r="DI685" s="1757"/>
      <c r="DJ685" s="1757"/>
      <c r="DK685" s="1757"/>
      <c r="DL685" s="1757"/>
      <c r="DM685" s="1757"/>
      <c r="DN685" s="1757"/>
      <c r="DO685" s="1757"/>
      <c r="DP685" s="1757"/>
      <c r="DQ685" s="1757"/>
      <c r="DR685" s="1757"/>
      <c r="DS685" s="1757"/>
      <c r="DT685" s="1757"/>
      <c r="DU685" s="1757"/>
      <c r="DV685" s="1757"/>
      <c r="DW685" s="1757"/>
      <c r="DX685" s="1757"/>
      <c r="DY685" s="1757"/>
      <c r="DZ685" s="1757"/>
      <c r="EA685" s="1757"/>
      <c r="EB685" s="1757"/>
      <c r="EC685" s="1757"/>
      <c r="ED685" s="1757"/>
      <c r="EE685" s="1757"/>
      <c r="EF685" s="1757"/>
      <c r="EG685" s="1757"/>
      <c r="EH685" s="1757"/>
      <c r="EI685" s="1757"/>
      <c r="EJ685" s="1757"/>
      <c r="EK685" s="1757"/>
      <c r="EL685" s="1757"/>
      <c r="EM685" s="1757"/>
      <c r="EN685" s="1757"/>
      <c r="EO685" s="1757"/>
      <c r="EP685" s="1757"/>
      <c r="EQ685" s="1757"/>
      <c r="ER685" s="1757"/>
      <c r="ES685" s="1757"/>
      <c r="ET685" s="1757"/>
      <c r="EU685" s="1757"/>
      <c r="EV685" s="1757"/>
      <c r="EW685" s="1757"/>
      <c r="EX685" s="1757"/>
      <c r="EY685" s="1757"/>
      <c r="EZ685" s="1757"/>
      <c r="FA685" s="1757"/>
      <c r="FB685" s="1757"/>
      <c r="FC685" s="1757"/>
      <c r="FD685" s="1757"/>
      <c r="FE685" s="1757"/>
      <c r="FF685" s="1757"/>
      <c r="FG685" s="1757"/>
      <c r="FH685" s="1757"/>
      <c r="FI685" s="1757"/>
    </row>
    <row r="686" spans="1:165">
      <c r="A686" s="1757"/>
      <c r="B686" s="1757"/>
      <c r="C686" s="1757"/>
      <c r="D686" s="1757"/>
      <c r="E686" s="1757"/>
      <c r="F686" s="1757"/>
      <c r="G686" s="1757"/>
      <c r="H686" s="1757"/>
      <c r="I686" s="1757"/>
      <c r="J686" s="1757"/>
      <c r="K686" s="1757"/>
      <c r="L686" s="1757"/>
      <c r="M686" s="1757"/>
      <c r="N686" s="1757"/>
      <c r="O686" s="1757"/>
      <c r="P686" s="1757"/>
      <c r="Q686" s="1757"/>
      <c r="R686" s="1757"/>
      <c r="S686" s="1757"/>
      <c r="T686" s="1757"/>
      <c r="U686" s="1757"/>
      <c r="V686" s="1757"/>
      <c r="W686" s="1757"/>
      <c r="X686" s="1757"/>
      <c r="Y686" s="1757"/>
      <c r="Z686" s="1757"/>
      <c r="AA686" s="1757"/>
      <c r="AB686" s="1757"/>
      <c r="AC686" s="1757"/>
      <c r="AD686" s="1757"/>
      <c r="AE686" s="1757"/>
      <c r="AF686" s="1757"/>
      <c r="AG686" s="1757"/>
      <c r="AH686" s="1757"/>
      <c r="AI686" s="1757"/>
      <c r="AJ686" s="1757"/>
      <c r="AK686" s="1757"/>
      <c r="AL686" s="1757"/>
      <c r="AM686" s="1757"/>
      <c r="AN686" s="1757"/>
      <c r="AO686" s="1757"/>
      <c r="AP686" s="1757"/>
      <c r="AQ686" s="1757"/>
      <c r="AR686" s="1757"/>
      <c r="AS686" s="1757"/>
      <c r="AT686" s="1757"/>
      <c r="AU686" s="1757"/>
      <c r="AV686" s="1757"/>
      <c r="AW686" s="1757"/>
      <c r="AX686" s="1757"/>
      <c r="AY686" s="1757"/>
      <c r="AZ686" s="1757"/>
      <c r="BA686" s="1757"/>
      <c r="BB686" s="1757"/>
      <c r="BC686" s="1757"/>
      <c r="BD686" s="1757"/>
      <c r="BE686" s="1757"/>
      <c r="BF686" s="1757"/>
      <c r="BG686" s="1757"/>
      <c r="BH686" s="1757"/>
      <c r="BI686" s="1757"/>
      <c r="BJ686" s="1757"/>
      <c r="BK686" s="1757"/>
      <c r="BL686" s="1757"/>
      <c r="BM686" s="1757"/>
      <c r="BN686" s="1757"/>
      <c r="BO686" s="1757"/>
      <c r="BP686" s="1757"/>
      <c r="BQ686" s="1757"/>
      <c r="BR686" s="1757"/>
      <c r="BS686" s="1757"/>
      <c r="BT686" s="1757"/>
      <c r="BU686" s="1757"/>
      <c r="BV686" s="1757"/>
      <c r="BW686" s="1757"/>
      <c r="BX686" s="1757"/>
      <c r="BY686" s="1757"/>
      <c r="BZ686" s="1757"/>
      <c r="CA686" s="1757"/>
      <c r="CB686" s="1757"/>
      <c r="CC686" s="1757"/>
      <c r="CD686" s="1757"/>
      <c r="CE686" s="1757"/>
      <c r="CF686" s="1757"/>
      <c r="CG686" s="1757"/>
      <c r="CH686" s="1757"/>
      <c r="CI686" s="1757"/>
      <c r="CJ686" s="1757"/>
      <c r="CK686" s="1757"/>
      <c r="CL686" s="1757"/>
      <c r="CM686" s="1757"/>
      <c r="CN686" s="1757"/>
      <c r="CO686" s="1757"/>
      <c r="CP686" s="1757"/>
      <c r="CQ686" s="1757"/>
      <c r="CR686" s="1757"/>
      <c r="CS686" s="1757"/>
      <c r="CT686" s="1757"/>
      <c r="CU686" s="1757"/>
      <c r="CV686" s="1757"/>
      <c r="CW686" s="1757"/>
      <c r="CX686" s="1757"/>
      <c r="CY686" s="1757"/>
      <c r="CZ686" s="1757"/>
      <c r="DA686" s="1757"/>
      <c r="DB686" s="1757"/>
      <c r="DC686" s="1757"/>
      <c r="DD686" s="1757"/>
      <c r="DE686" s="1757"/>
      <c r="DF686" s="1757"/>
      <c r="DG686" s="1757"/>
      <c r="DH686" s="1757"/>
      <c r="DI686" s="1757"/>
      <c r="DJ686" s="1757"/>
      <c r="DK686" s="1757"/>
      <c r="DL686" s="1757"/>
      <c r="DM686" s="1757"/>
      <c r="DN686" s="1757"/>
      <c r="DO686" s="1757"/>
      <c r="DP686" s="1757"/>
      <c r="DQ686" s="1757"/>
      <c r="DR686" s="1757"/>
      <c r="DS686" s="1757"/>
      <c r="DT686" s="1757"/>
      <c r="DU686" s="1757"/>
      <c r="DV686" s="1757"/>
      <c r="DW686" s="1757"/>
      <c r="DX686" s="1757"/>
      <c r="DY686" s="1757"/>
      <c r="DZ686" s="1757"/>
      <c r="EA686" s="1757"/>
      <c r="EB686" s="1757"/>
      <c r="EC686" s="1757"/>
      <c r="ED686" s="1757"/>
      <c r="EE686" s="1757"/>
      <c r="EF686" s="1757"/>
      <c r="EG686" s="1757"/>
      <c r="EH686" s="1757"/>
      <c r="EI686" s="1757"/>
      <c r="EJ686" s="1757"/>
      <c r="EK686" s="1757"/>
      <c r="EL686" s="1757"/>
      <c r="EM686" s="1757"/>
      <c r="EN686" s="1757"/>
      <c r="EO686" s="1757"/>
      <c r="EP686" s="1757"/>
      <c r="EQ686" s="1757"/>
      <c r="ER686" s="1757"/>
      <c r="ES686" s="1757"/>
      <c r="ET686" s="1757"/>
      <c r="EU686" s="1757"/>
      <c r="EV686" s="1757"/>
      <c r="EW686" s="1757"/>
      <c r="EX686" s="1757"/>
      <c r="EY686" s="1757"/>
      <c r="EZ686" s="1757"/>
      <c r="FA686" s="1757"/>
      <c r="FB686" s="1757"/>
      <c r="FC686" s="1757"/>
      <c r="FD686" s="1757"/>
      <c r="FE686" s="1757"/>
      <c r="FF686" s="1757"/>
      <c r="FG686" s="1757"/>
      <c r="FH686" s="1757"/>
      <c r="FI686" s="1757"/>
    </row>
    <row r="687" spans="1:165">
      <c r="A687" s="1757"/>
      <c r="B687" s="1757"/>
      <c r="C687" s="1757"/>
      <c r="D687" s="1757"/>
      <c r="E687" s="1757"/>
      <c r="F687" s="1757"/>
      <c r="G687" s="1757"/>
      <c r="H687" s="1757"/>
      <c r="I687" s="1757"/>
      <c r="J687" s="1757"/>
      <c r="K687" s="1757"/>
      <c r="L687" s="1757"/>
      <c r="M687" s="1757"/>
      <c r="N687" s="1757"/>
      <c r="O687" s="1757"/>
      <c r="P687" s="1757"/>
      <c r="Q687" s="1757"/>
      <c r="R687" s="1757"/>
      <c r="S687" s="1757"/>
      <c r="T687" s="1757"/>
      <c r="U687" s="1757"/>
      <c r="V687" s="1757"/>
      <c r="W687" s="1757"/>
      <c r="X687" s="1757"/>
      <c r="Y687" s="1757"/>
      <c r="Z687" s="1757"/>
      <c r="AA687" s="1757"/>
      <c r="AB687" s="1757"/>
      <c r="AC687" s="1757"/>
      <c r="AD687" s="1757"/>
      <c r="AE687" s="1757"/>
      <c r="AF687" s="1757"/>
      <c r="AG687" s="1757"/>
      <c r="AH687" s="1757"/>
      <c r="AI687" s="1757"/>
      <c r="AJ687" s="1757"/>
      <c r="AK687" s="1757"/>
      <c r="AL687" s="1757"/>
      <c r="AM687" s="1757"/>
      <c r="AN687" s="1757"/>
      <c r="AO687" s="1757"/>
      <c r="AP687" s="1757"/>
      <c r="AQ687" s="1757"/>
      <c r="AR687" s="1757"/>
      <c r="AS687" s="1757"/>
      <c r="AT687" s="1757"/>
      <c r="AU687" s="1757"/>
      <c r="AV687" s="1757"/>
      <c r="AW687" s="1757"/>
      <c r="AX687" s="1757"/>
      <c r="AY687" s="1757"/>
      <c r="AZ687" s="1757"/>
      <c r="BA687" s="1757"/>
      <c r="BB687" s="1757"/>
      <c r="BC687" s="1757"/>
      <c r="BD687" s="1757"/>
      <c r="BE687" s="1757"/>
      <c r="BF687" s="1757"/>
      <c r="BG687" s="1757"/>
      <c r="BH687" s="1757"/>
      <c r="BI687" s="1757"/>
      <c r="BJ687" s="1757"/>
      <c r="BK687" s="1757"/>
      <c r="BL687" s="1757"/>
      <c r="BM687" s="1757"/>
      <c r="BN687" s="1757"/>
      <c r="BO687" s="1757"/>
      <c r="BP687" s="1757"/>
      <c r="BQ687" s="1757"/>
      <c r="BR687" s="1757"/>
      <c r="BS687" s="1757"/>
      <c r="BT687" s="1757"/>
      <c r="BU687" s="1757"/>
      <c r="BV687" s="1757"/>
      <c r="BW687" s="1757"/>
      <c r="BX687" s="1757"/>
      <c r="BY687" s="1757"/>
      <c r="BZ687" s="1757"/>
      <c r="CA687" s="1757"/>
      <c r="CB687" s="1757"/>
      <c r="CC687" s="1757"/>
      <c r="CD687" s="1757"/>
      <c r="CE687" s="1757"/>
      <c r="CF687" s="1757"/>
      <c r="CG687" s="1757"/>
      <c r="CH687" s="1757"/>
      <c r="CI687" s="1757"/>
      <c r="CJ687" s="1757"/>
      <c r="CK687" s="1757"/>
      <c r="CL687" s="1757"/>
      <c r="CM687" s="1757"/>
      <c r="CN687" s="1757"/>
      <c r="CO687" s="1757"/>
      <c r="CP687" s="1757"/>
      <c r="CQ687" s="1757"/>
      <c r="CR687" s="1757"/>
      <c r="CS687" s="1757"/>
      <c r="CT687" s="1757"/>
      <c r="CU687" s="1757"/>
      <c r="CV687" s="1757"/>
      <c r="CW687" s="1757"/>
      <c r="CX687" s="1757"/>
      <c r="CY687" s="1757"/>
      <c r="CZ687" s="1757"/>
      <c r="DA687" s="1757"/>
      <c r="DB687" s="1757"/>
      <c r="DC687" s="1757"/>
      <c r="DD687" s="1757"/>
      <c r="DE687" s="1757"/>
      <c r="DF687" s="1757"/>
      <c r="DG687" s="1757"/>
      <c r="DH687" s="1757"/>
      <c r="DI687" s="1757"/>
      <c r="DJ687" s="1757"/>
      <c r="DK687" s="1757"/>
      <c r="DL687" s="1757"/>
      <c r="DM687" s="1757"/>
      <c r="DN687" s="1757"/>
      <c r="DO687" s="1757"/>
      <c r="DP687" s="1757"/>
      <c r="DQ687" s="1757"/>
      <c r="DR687" s="1757"/>
      <c r="DS687" s="1757"/>
      <c r="DT687" s="1757"/>
      <c r="DU687" s="1757"/>
      <c r="DV687" s="1757"/>
      <c r="DW687" s="1757"/>
      <c r="DX687" s="1757"/>
      <c r="DY687" s="1757"/>
      <c r="DZ687" s="1757"/>
      <c r="EA687" s="1757"/>
      <c r="EB687" s="1757"/>
      <c r="EC687" s="1757"/>
      <c r="ED687" s="1757"/>
      <c r="EE687" s="1757"/>
      <c r="EF687" s="1757"/>
      <c r="EG687" s="1757"/>
      <c r="EH687" s="1757"/>
      <c r="EI687" s="1757"/>
      <c r="EJ687" s="1757"/>
      <c r="EK687" s="1757"/>
      <c r="EL687" s="1757"/>
      <c r="EM687" s="1757"/>
      <c r="EN687" s="1757"/>
      <c r="EO687" s="1757"/>
      <c r="EP687" s="1757"/>
      <c r="EQ687" s="1757"/>
      <c r="ER687" s="1757"/>
      <c r="ES687" s="1757"/>
      <c r="ET687" s="1757"/>
      <c r="EU687" s="1757"/>
      <c r="EV687" s="1757"/>
      <c r="EW687" s="1757"/>
      <c r="EX687" s="1757"/>
      <c r="EY687" s="1757"/>
      <c r="EZ687" s="1757"/>
      <c r="FA687" s="1757"/>
      <c r="FB687" s="1757"/>
      <c r="FC687" s="1757"/>
      <c r="FD687" s="1757"/>
      <c r="FE687" s="1757"/>
      <c r="FF687" s="1757"/>
      <c r="FG687" s="1757"/>
      <c r="FH687" s="1757"/>
      <c r="FI687" s="1757"/>
    </row>
    <row r="688" spans="1:165">
      <c r="A688" s="1757"/>
      <c r="B688" s="1757"/>
      <c r="C688" s="1757"/>
      <c r="D688" s="1757"/>
      <c r="E688" s="1757"/>
      <c r="F688" s="1757"/>
      <c r="G688" s="1757"/>
      <c r="H688" s="1757"/>
      <c r="I688" s="1757"/>
      <c r="J688" s="1757"/>
      <c r="K688" s="1757"/>
      <c r="L688" s="1757"/>
      <c r="M688" s="1757"/>
      <c r="N688" s="1757"/>
      <c r="O688" s="1757"/>
      <c r="P688" s="1757"/>
      <c r="Q688" s="1757"/>
      <c r="R688" s="1757"/>
      <c r="S688" s="1757"/>
      <c r="T688" s="1757"/>
      <c r="U688" s="1757"/>
      <c r="V688" s="1757"/>
      <c r="W688" s="1757"/>
      <c r="X688" s="1757"/>
      <c r="Y688" s="1757"/>
      <c r="Z688" s="1757"/>
      <c r="AA688" s="1757"/>
      <c r="AB688" s="1757"/>
      <c r="AC688" s="1757"/>
      <c r="AD688" s="1757"/>
      <c r="AE688" s="1757"/>
      <c r="AF688" s="1757"/>
      <c r="AG688" s="1757"/>
      <c r="AH688" s="1757"/>
      <c r="AI688" s="1757"/>
      <c r="AJ688" s="1757"/>
      <c r="AK688" s="1757"/>
      <c r="AL688" s="1757"/>
      <c r="AM688" s="1757"/>
      <c r="AN688" s="1757"/>
      <c r="AO688" s="1757"/>
      <c r="AP688" s="1757"/>
      <c r="AQ688" s="1757"/>
      <c r="AR688" s="1757"/>
      <c r="AS688" s="1757"/>
      <c r="AT688" s="1757"/>
      <c r="AU688" s="1757"/>
      <c r="AV688" s="1757"/>
      <c r="AW688" s="1757"/>
      <c r="AX688" s="1757"/>
      <c r="AY688" s="1757"/>
      <c r="AZ688" s="1757"/>
      <c r="BA688" s="1757"/>
      <c r="BB688" s="1757"/>
      <c r="BC688" s="1757"/>
      <c r="BD688" s="1757"/>
      <c r="BE688" s="1757"/>
      <c r="BF688" s="1757"/>
      <c r="BG688" s="1757"/>
      <c r="BH688" s="1757"/>
      <c r="BI688" s="1757"/>
      <c r="BJ688" s="1757"/>
      <c r="BK688" s="1757"/>
      <c r="BL688" s="1757"/>
      <c r="BM688" s="1757"/>
      <c r="BN688" s="1757"/>
      <c r="BO688" s="1757"/>
      <c r="BP688" s="1757"/>
      <c r="BQ688" s="1757"/>
      <c r="BR688" s="1757"/>
      <c r="BS688" s="1757"/>
      <c r="BT688" s="1757"/>
      <c r="BU688" s="1757"/>
      <c r="BV688" s="1757"/>
      <c r="BW688" s="1757"/>
      <c r="BX688" s="1757"/>
      <c r="BY688" s="1757"/>
      <c r="BZ688" s="1757"/>
      <c r="CA688" s="1757"/>
      <c r="CB688" s="1757"/>
      <c r="CC688" s="1757"/>
      <c r="CD688" s="1757"/>
      <c r="CE688" s="1757"/>
      <c r="CF688" s="1757"/>
      <c r="CG688" s="1757"/>
      <c r="CH688" s="1757"/>
      <c r="CI688" s="1757"/>
      <c r="CJ688" s="1757"/>
      <c r="CK688" s="1757"/>
      <c r="CL688" s="1757"/>
      <c r="CM688" s="1757"/>
      <c r="CN688" s="1757"/>
      <c r="CO688" s="1757"/>
      <c r="CP688" s="1757"/>
      <c r="CQ688" s="1757"/>
      <c r="CR688" s="1757"/>
      <c r="CS688" s="1757"/>
      <c r="CT688" s="1757"/>
      <c r="CU688" s="1757"/>
      <c r="CV688" s="1757"/>
      <c r="CW688" s="1757"/>
      <c r="CX688" s="1757"/>
      <c r="CY688" s="1757"/>
      <c r="CZ688" s="1757"/>
      <c r="DA688" s="1757"/>
      <c r="DB688" s="1757"/>
      <c r="DC688" s="1757"/>
      <c r="DD688" s="1757"/>
      <c r="DE688" s="1757"/>
      <c r="DF688" s="1757"/>
      <c r="DG688" s="1757"/>
      <c r="DH688" s="1757"/>
      <c r="DI688" s="1757"/>
      <c r="DJ688" s="1757"/>
      <c r="DK688" s="1757"/>
      <c r="DL688" s="1757"/>
      <c r="DM688" s="1757"/>
      <c r="DN688" s="1757"/>
      <c r="DO688" s="1757"/>
      <c r="DP688" s="1757"/>
      <c r="DQ688" s="1757"/>
      <c r="DR688" s="1757"/>
      <c r="DS688" s="1757"/>
      <c r="DT688" s="1757"/>
      <c r="DU688" s="1757"/>
      <c r="DV688" s="1757"/>
      <c r="DW688" s="1757"/>
      <c r="DX688" s="1757"/>
      <c r="DY688" s="1757"/>
      <c r="DZ688" s="1757"/>
      <c r="EA688" s="1757"/>
      <c r="EB688" s="1757"/>
      <c r="EC688" s="1757"/>
      <c r="ED688" s="1757"/>
      <c r="EE688" s="1757"/>
      <c r="EF688" s="1757"/>
      <c r="EG688" s="1757"/>
      <c r="EH688" s="1757"/>
      <c r="EI688" s="1757"/>
      <c r="EJ688" s="1757"/>
      <c r="EK688" s="1757"/>
      <c r="EL688" s="1757"/>
      <c r="EM688" s="1757"/>
      <c r="EN688" s="1757"/>
      <c r="EO688" s="1757"/>
      <c r="EP688" s="1757"/>
      <c r="EQ688" s="1757"/>
      <c r="ER688" s="1757"/>
      <c r="ES688" s="1757"/>
      <c r="ET688" s="1757"/>
      <c r="EU688" s="1757"/>
      <c r="EV688" s="1757"/>
      <c r="EW688" s="1757"/>
      <c r="EX688" s="1757"/>
      <c r="EY688" s="1757"/>
      <c r="EZ688" s="1757"/>
      <c r="FA688" s="1757"/>
      <c r="FB688" s="1757"/>
      <c r="FC688" s="1757"/>
      <c r="FD688" s="1757"/>
      <c r="FE688" s="1757"/>
      <c r="FF688" s="1757"/>
      <c r="FG688" s="1757"/>
      <c r="FH688" s="1757"/>
      <c r="FI688" s="1757"/>
    </row>
    <row r="689" spans="1:165">
      <c r="A689" s="1757"/>
      <c r="B689" s="1757"/>
      <c r="C689" s="1757"/>
      <c r="D689" s="1757"/>
      <c r="E689" s="1757"/>
      <c r="F689" s="1757"/>
      <c r="G689" s="1757"/>
      <c r="H689" s="1757"/>
      <c r="I689" s="1757"/>
      <c r="J689" s="1757"/>
      <c r="K689" s="1757"/>
      <c r="L689" s="1757"/>
      <c r="M689" s="1757"/>
      <c r="N689" s="1757"/>
      <c r="O689" s="1757"/>
      <c r="P689" s="1757"/>
      <c r="Q689" s="1757"/>
      <c r="R689" s="1757"/>
      <c r="S689" s="1757"/>
      <c r="T689" s="1757"/>
      <c r="U689" s="1757"/>
      <c r="V689" s="1757"/>
      <c r="W689" s="1757"/>
      <c r="X689" s="1757"/>
      <c r="Y689" s="1757"/>
      <c r="Z689" s="1757"/>
      <c r="AA689" s="1757"/>
      <c r="AB689" s="1757"/>
      <c r="AC689" s="1757"/>
      <c r="AD689" s="1757"/>
      <c r="AE689" s="1757"/>
      <c r="AF689" s="1757"/>
      <c r="AG689" s="1757"/>
      <c r="AH689" s="1757"/>
      <c r="AI689" s="1757"/>
      <c r="AJ689" s="1757"/>
      <c r="AK689" s="1757"/>
      <c r="AL689" s="1757"/>
      <c r="AM689" s="1757"/>
      <c r="AN689" s="1757"/>
      <c r="AO689" s="1757"/>
      <c r="AP689" s="1757"/>
      <c r="AQ689" s="1757"/>
      <c r="AR689" s="1757"/>
      <c r="AS689" s="1757"/>
      <c r="AT689" s="1757"/>
      <c r="AU689" s="1757"/>
      <c r="AV689" s="1757"/>
      <c r="AW689" s="1757"/>
      <c r="AX689" s="1757"/>
      <c r="AY689" s="1757"/>
      <c r="AZ689" s="1757"/>
      <c r="BA689" s="1757"/>
      <c r="BB689" s="1757"/>
      <c r="BC689" s="1757"/>
      <c r="BD689" s="1757"/>
      <c r="BE689" s="1757"/>
      <c r="BF689" s="1757"/>
      <c r="BG689" s="1757"/>
      <c r="BH689" s="1757"/>
      <c r="BI689" s="1757"/>
      <c r="BJ689" s="1757"/>
      <c r="BK689" s="1757"/>
      <c r="BL689" s="1757"/>
      <c r="BM689" s="1757"/>
      <c r="BN689" s="1757"/>
      <c r="BO689" s="1757"/>
      <c r="BP689" s="1757"/>
      <c r="BQ689" s="1757"/>
      <c r="BR689" s="1757"/>
      <c r="BS689" s="1757"/>
      <c r="BT689" s="1757"/>
      <c r="BU689" s="1757"/>
      <c r="BV689" s="1757"/>
      <c r="BW689" s="1757"/>
      <c r="BX689" s="1757"/>
      <c r="BY689" s="1757"/>
      <c r="BZ689" s="1757"/>
      <c r="CA689" s="1757"/>
      <c r="CB689" s="1757"/>
      <c r="CC689" s="1757"/>
      <c r="CD689" s="1757"/>
      <c r="CE689" s="1757"/>
      <c r="CF689" s="1757"/>
      <c r="CG689" s="1757"/>
      <c r="CH689" s="1757"/>
      <c r="CI689" s="1757"/>
      <c r="CJ689" s="1757"/>
      <c r="CK689" s="1757"/>
      <c r="CL689" s="1757"/>
      <c r="CM689" s="1757"/>
      <c r="CN689" s="1757"/>
      <c r="CO689" s="1757"/>
      <c r="CP689" s="1757"/>
      <c r="CQ689" s="1757"/>
      <c r="CR689" s="1757"/>
      <c r="CS689" s="1757"/>
      <c r="CT689" s="1757"/>
      <c r="CU689" s="1757"/>
      <c r="CV689" s="1757"/>
      <c r="CW689" s="1757"/>
      <c r="CX689" s="1757"/>
      <c r="CY689" s="1757"/>
      <c r="CZ689" s="1757"/>
      <c r="DA689" s="1757"/>
      <c r="DB689" s="1757"/>
      <c r="DC689" s="1757"/>
      <c r="DD689" s="1757"/>
      <c r="DE689" s="1757"/>
      <c r="DF689" s="1757"/>
      <c r="DG689" s="1757"/>
      <c r="DH689" s="1757"/>
      <c r="DI689" s="1757"/>
      <c r="DJ689" s="1757"/>
      <c r="DK689" s="1757"/>
      <c r="DL689" s="1757"/>
      <c r="DM689" s="1757"/>
      <c r="DN689" s="1757"/>
      <c r="DO689" s="1757"/>
      <c r="DP689" s="1757"/>
      <c r="DQ689" s="1757"/>
      <c r="DR689" s="1757"/>
      <c r="DS689" s="1757"/>
      <c r="DT689" s="1757"/>
      <c r="DU689" s="1757"/>
      <c r="DV689" s="1757"/>
      <c r="DW689" s="1757"/>
      <c r="DX689" s="1757"/>
      <c r="DY689" s="1757"/>
      <c r="DZ689" s="1757"/>
      <c r="EA689" s="1757"/>
      <c r="EB689" s="1757"/>
      <c r="EC689" s="1757"/>
      <c r="ED689" s="1757"/>
      <c r="EE689" s="1757"/>
      <c r="EF689" s="1757"/>
      <c r="EG689" s="1757"/>
      <c r="EH689" s="1757"/>
      <c r="EI689" s="1757"/>
      <c r="EJ689" s="1757"/>
      <c r="EK689" s="1757"/>
      <c r="EL689" s="1757"/>
      <c r="EM689" s="1757"/>
      <c r="EN689" s="1757"/>
      <c r="EO689" s="1757"/>
      <c r="EP689" s="1757"/>
      <c r="EQ689" s="1757"/>
      <c r="ER689" s="1757"/>
      <c r="ES689" s="1757"/>
      <c r="ET689" s="1757"/>
      <c r="EU689" s="1757"/>
      <c r="EV689" s="1757"/>
      <c r="EW689" s="1757"/>
      <c r="EX689" s="1757"/>
      <c r="EY689" s="1757"/>
      <c r="EZ689" s="1757"/>
      <c r="FA689" s="1757"/>
      <c r="FB689" s="1757"/>
      <c r="FC689" s="1757"/>
      <c r="FD689" s="1757"/>
      <c r="FE689" s="1757"/>
      <c r="FF689" s="1757"/>
      <c r="FG689" s="1757"/>
      <c r="FH689" s="1757"/>
      <c r="FI689" s="1757"/>
    </row>
    <row r="690" spans="1:165">
      <c r="A690" s="1757"/>
      <c r="B690" s="1757"/>
      <c r="C690" s="1757"/>
      <c r="D690" s="1757"/>
      <c r="E690" s="1757"/>
      <c r="F690" s="1757"/>
      <c r="G690" s="1757"/>
      <c r="H690" s="1757"/>
      <c r="I690" s="1757"/>
      <c r="J690" s="1757"/>
      <c r="K690" s="1757"/>
      <c r="L690" s="1757"/>
      <c r="M690" s="1757"/>
      <c r="N690" s="1757"/>
      <c r="O690" s="1757"/>
      <c r="P690" s="1757"/>
      <c r="Q690" s="1757"/>
      <c r="R690" s="1757"/>
      <c r="S690" s="1757"/>
      <c r="T690" s="1757"/>
      <c r="U690" s="1757"/>
      <c r="V690" s="1757"/>
      <c r="W690" s="1757"/>
      <c r="X690" s="1757"/>
      <c r="Y690" s="1757"/>
      <c r="Z690" s="1757"/>
      <c r="AA690" s="1757"/>
      <c r="AB690" s="1757"/>
      <c r="AC690" s="1757"/>
      <c r="AD690" s="1757"/>
      <c r="AE690" s="1757"/>
      <c r="AF690" s="1757"/>
      <c r="AG690" s="1757"/>
      <c r="AH690" s="1757"/>
      <c r="AI690" s="1757"/>
      <c r="AJ690" s="1757"/>
      <c r="AK690" s="1757"/>
      <c r="AL690" s="1757"/>
      <c r="AM690" s="1757"/>
      <c r="AN690" s="1757"/>
      <c r="AO690" s="1757"/>
      <c r="AP690" s="1757"/>
      <c r="AQ690" s="1757"/>
      <c r="AR690" s="1757"/>
      <c r="AS690" s="1757"/>
      <c r="AT690" s="1757"/>
      <c r="AU690" s="1757"/>
      <c r="AV690" s="1757"/>
      <c r="AW690" s="1757"/>
      <c r="AX690" s="1757"/>
      <c r="AY690" s="1757"/>
      <c r="AZ690" s="1757"/>
      <c r="BA690" s="1757"/>
      <c r="BB690" s="1757"/>
      <c r="BC690" s="1757"/>
      <c r="BD690" s="1757"/>
      <c r="BE690" s="1757"/>
      <c r="BF690" s="1757"/>
      <c r="BG690" s="1757"/>
      <c r="BH690" s="1757"/>
      <c r="BI690" s="1757"/>
      <c r="BJ690" s="1757"/>
      <c r="BK690" s="1757"/>
      <c r="BL690" s="1757"/>
      <c r="BM690" s="1757"/>
      <c r="BN690" s="1757"/>
      <c r="BO690" s="1757"/>
      <c r="BP690" s="1757"/>
      <c r="BQ690" s="1757"/>
      <c r="BR690" s="1757"/>
      <c r="BS690" s="1757"/>
      <c r="BT690" s="1757"/>
      <c r="BU690" s="1757"/>
      <c r="BV690" s="1757"/>
      <c r="BW690" s="1757"/>
      <c r="BX690" s="1757"/>
      <c r="BY690" s="1757"/>
      <c r="BZ690" s="1757"/>
      <c r="CA690" s="1757"/>
      <c r="CB690" s="1757"/>
      <c r="CC690" s="1757"/>
      <c r="CD690" s="1757"/>
      <c r="CE690" s="1757"/>
      <c r="CF690" s="1757"/>
      <c r="CG690" s="1757"/>
      <c r="CH690" s="1757"/>
      <c r="CI690" s="1757"/>
      <c r="CJ690" s="1757"/>
      <c r="CK690" s="1757"/>
      <c r="CL690" s="1757"/>
      <c r="CM690" s="1757"/>
      <c r="CN690" s="1757"/>
      <c r="CO690" s="1757"/>
      <c r="CP690" s="1757"/>
      <c r="CQ690" s="1757"/>
      <c r="CR690" s="1757"/>
      <c r="CS690" s="1757"/>
      <c r="CT690" s="1757"/>
      <c r="CU690" s="1757"/>
      <c r="CV690" s="1757"/>
      <c r="CW690" s="1757"/>
      <c r="CX690" s="1757"/>
      <c r="CY690" s="1757"/>
      <c r="CZ690" s="1757"/>
      <c r="DA690" s="1757"/>
      <c r="DB690" s="1757"/>
      <c r="DC690" s="1757"/>
      <c r="DD690" s="1757"/>
      <c r="DE690" s="1757"/>
      <c r="DF690" s="1757"/>
      <c r="DG690" s="1757"/>
      <c r="DH690" s="1757"/>
      <c r="DI690" s="1757"/>
      <c r="DJ690" s="1757"/>
      <c r="DK690" s="1757"/>
      <c r="DL690" s="1757"/>
      <c r="DM690" s="1757"/>
      <c r="DN690" s="1757"/>
      <c r="DO690" s="1757"/>
      <c r="DP690" s="1757"/>
      <c r="DQ690" s="1757"/>
      <c r="DR690" s="1757"/>
      <c r="DS690" s="1757"/>
      <c r="DT690" s="1757"/>
      <c r="DU690" s="1757"/>
      <c r="DV690" s="1757"/>
      <c r="DW690" s="1757"/>
      <c r="DX690" s="1757"/>
      <c r="DY690" s="1757"/>
      <c r="DZ690" s="1757"/>
      <c r="EA690" s="1757"/>
      <c r="EB690" s="1757"/>
      <c r="EC690" s="1757"/>
      <c r="ED690" s="1757"/>
      <c r="EE690" s="1757"/>
      <c r="EF690" s="1757"/>
      <c r="EG690" s="1757"/>
      <c r="EH690" s="1757"/>
      <c r="EI690" s="1757"/>
      <c r="EJ690" s="1757"/>
      <c r="EK690" s="1757"/>
      <c r="EL690" s="1757"/>
      <c r="EM690" s="1757"/>
      <c r="EN690" s="1757"/>
      <c r="EO690" s="1757"/>
      <c r="EP690" s="1757"/>
      <c r="EQ690" s="1757"/>
      <c r="ER690" s="1757"/>
      <c r="ES690" s="1757"/>
      <c r="ET690" s="1757"/>
      <c r="EU690" s="1757"/>
      <c r="EV690" s="1757"/>
      <c r="EW690" s="1757"/>
      <c r="EX690" s="1757"/>
      <c r="EY690" s="1757"/>
      <c r="EZ690" s="1757"/>
      <c r="FA690" s="1757"/>
      <c r="FB690" s="1757"/>
      <c r="FC690" s="1757"/>
      <c r="FD690" s="1757"/>
      <c r="FE690" s="1757"/>
      <c r="FF690" s="1757"/>
      <c r="FG690" s="1757"/>
      <c r="FH690" s="1757"/>
      <c r="FI690" s="1757"/>
    </row>
    <row r="691" spans="1:165">
      <c r="A691" s="1757"/>
      <c r="B691" s="1757"/>
      <c r="C691" s="1757"/>
      <c r="D691" s="1757"/>
      <c r="E691" s="1757"/>
      <c r="F691" s="1757"/>
      <c r="G691" s="1757"/>
      <c r="H691" s="1757"/>
      <c r="I691" s="1757"/>
      <c r="J691" s="1757"/>
      <c r="K691" s="1757"/>
      <c r="L691" s="1757"/>
      <c r="M691" s="1757"/>
      <c r="N691" s="1757"/>
      <c r="O691" s="1757"/>
      <c r="P691" s="1757"/>
      <c r="Q691" s="1757"/>
      <c r="R691" s="1757"/>
      <c r="S691" s="1757"/>
      <c r="T691" s="1757"/>
      <c r="U691" s="1757"/>
      <c r="V691" s="1757"/>
      <c r="W691" s="1757"/>
      <c r="X691" s="1757"/>
      <c r="Y691" s="1757"/>
      <c r="Z691" s="1757"/>
      <c r="AA691" s="1757"/>
      <c r="AB691" s="1757"/>
      <c r="AC691" s="1757"/>
      <c r="AD691" s="1757"/>
      <c r="AE691" s="1757"/>
      <c r="AF691" s="1757"/>
      <c r="AG691" s="1757"/>
      <c r="AH691" s="1757"/>
      <c r="AI691" s="1757"/>
      <c r="AJ691" s="1757"/>
      <c r="AK691" s="1757"/>
      <c r="AL691" s="1757"/>
      <c r="AM691" s="1757"/>
      <c r="AN691" s="1757"/>
      <c r="AO691" s="1757"/>
      <c r="AP691" s="1757"/>
      <c r="AQ691" s="1757"/>
      <c r="AR691" s="1757"/>
      <c r="AS691" s="1757"/>
      <c r="AT691" s="1757"/>
      <c r="AU691" s="1757"/>
      <c r="AV691" s="1757"/>
      <c r="AW691" s="1757"/>
      <c r="AX691" s="1757"/>
      <c r="AY691" s="1757"/>
      <c r="AZ691" s="1757"/>
      <c r="BA691" s="1757"/>
      <c r="BB691" s="1757"/>
      <c r="BC691" s="1757"/>
      <c r="BD691" s="1757"/>
      <c r="BE691" s="1757"/>
      <c r="BF691" s="1757"/>
      <c r="BG691" s="1757"/>
      <c r="BH691" s="1757"/>
      <c r="BI691" s="1757"/>
      <c r="BJ691" s="1757"/>
      <c r="BK691" s="1757"/>
      <c r="BL691" s="1757"/>
      <c r="BM691" s="1757"/>
      <c r="BN691" s="1757"/>
      <c r="BO691" s="1757"/>
      <c r="BP691" s="1757"/>
      <c r="BQ691" s="1757"/>
      <c r="BR691" s="1757"/>
      <c r="BS691" s="1757"/>
      <c r="BT691" s="1757"/>
      <c r="BU691" s="1757"/>
      <c r="BV691" s="1757"/>
      <c r="BW691" s="1757"/>
      <c r="BX691" s="1757"/>
      <c r="BY691" s="1757"/>
      <c r="BZ691" s="1757"/>
      <c r="CA691" s="1757"/>
      <c r="CB691" s="1757"/>
      <c r="CC691" s="1757"/>
      <c r="CD691" s="1757"/>
      <c r="CE691" s="1757"/>
      <c r="CF691" s="1757"/>
      <c r="CG691" s="1757"/>
      <c r="CH691" s="1757"/>
      <c r="CI691" s="1757"/>
      <c r="CJ691" s="1757"/>
      <c r="CK691" s="1757"/>
      <c r="CL691" s="1757"/>
      <c r="CM691" s="1757"/>
      <c r="CN691" s="1757"/>
      <c r="CO691" s="1757"/>
      <c r="CP691" s="1757"/>
      <c r="CQ691" s="1757"/>
      <c r="CR691" s="1757"/>
      <c r="CS691" s="1757"/>
      <c r="CT691" s="1757"/>
      <c r="CU691" s="1757"/>
      <c r="CV691" s="1757"/>
      <c r="CW691" s="1757"/>
      <c r="CX691" s="1757"/>
      <c r="CY691" s="1757"/>
      <c r="CZ691" s="1757"/>
      <c r="DA691" s="1757"/>
      <c r="DB691" s="1757"/>
      <c r="DC691" s="1757"/>
      <c r="DD691" s="1757"/>
      <c r="DE691" s="1757"/>
      <c r="DF691" s="1757"/>
      <c r="DG691" s="1757"/>
      <c r="DH691" s="1757"/>
      <c r="DI691" s="1757"/>
      <c r="DJ691" s="1757"/>
      <c r="DK691" s="1757"/>
      <c r="DL691" s="1757"/>
      <c r="DM691" s="1757"/>
      <c r="DN691" s="1757"/>
      <c r="DO691" s="1757"/>
      <c r="DP691" s="1757"/>
      <c r="DQ691" s="1757"/>
      <c r="DR691" s="1757"/>
      <c r="DS691" s="1757"/>
      <c r="DT691" s="1757"/>
      <c r="DU691" s="1757"/>
      <c r="DV691" s="1757"/>
      <c r="DW691" s="1757"/>
      <c r="DX691" s="1757"/>
      <c r="DY691" s="1757"/>
      <c r="DZ691" s="1757"/>
      <c r="EA691" s="1757"/>
      <c r="EB691" s="1757"/>
      <c r="EC691" s="1757"/>
      <c r="ED691" s="1757"/>
      <c r="EE691" s="1757"/>
      <c r="EF691" s="1757"/>
      <c r="EG691" s="1757"/>
      <c r="EH691" s="1757"/>
      <c r="EI691" s="1757"/>
      <c r="EJ691" s="1757"/>
      <c r="EK691" s="1757"/>
      <c r="EL691" s="1757"/>
      <c r="EM691" s="1757"/>
      <c r="EN691" s="1757"/>
      <c r="EO691" s="1757"/>
      <c r="EP691" s="1757"/>
      <c r="EQ691" s="1757"/>
      <c r="ER691" s="1757"/>
      <c r="ES691" s="1757"/>
      <c r="ET691" s="1757"/>
      <c r="EU691" s="1757"/>
      <c r="EV691" s="1757"/>
      <c r="EW691" s="1757"/>
      <c r="EX691" s="1757"/>
      <c r="EY691" s="1757"/>
      <c r="EZ691" s="1757"/>
      <c r="FA691" s="1757"/>
      <c r="FB691" s="1757"/>
      <c r="FC691" s="1757"/>
      <c r="FD691" s="1757"/>
      <c r="FE691" s="1757"/>
      <c r="FF691" s="1757"/>
      <c r="FG691" s="1757"/>
      <c r="FH691" s="1757"/>
      <c r="FI691" s="1757"/>
    </row>
    <row r="692" spans="1:165">
      <c r="A692" s="1757"/>
      <c r="B692" s="1757"/>
      <c r="C692" s="1757"/>
      <c r="D692" s="1757"/>
      <c r="E692" s="1757"/>
      <c r="F692" s="1757"/>
      <c r="G692" s="1757"/>
      <c r="H692" s="1757"/>
      <c r="I692" s="1757"/>
      <c r="J692" s="1757"/>
      <c r="K692" s="1757"/>
      <c r="L692" s="1757"/>
      <c r="M692" s="1757"/>
      <c r="N692" s="1757"/>
      <c r="O692" s="1757"/>
      <c r="P692" s="1757"/>
      <c r="Q692" s="1757"/>
      <c r="R692" s="1757"/>
      <c r="S692" s="1757"/>
      <c r="T692" s="1757"/>
      <c r="U692" s="1757"/>
      <c r="V692" s="1757"/>
      <c r="W692" s="1757"/>
      <c r="X692" s="1757"/>
      <c r="Y692" s="1757"/>
      <c r="Z692" s="1757"/>
      <c r="AA692" s="1757"/>
      <c r="AB692" s="1757"/>
      <c r="AC692" s="1757"/>
      <c r="AD692" s="1757"/>
      <c r="AE692" s="1757"/>
      <c r="AF692" s="1757"/>
      <c r="AG692" s="1757"/>
      <c r="AH692" s="1757"/>
      <c r="AI692" s="1757"/>
      <c r="AJ692" s="1757"/>
      <c r="AK692" s="1757"/>
      <c r="AL692" s="1757"/>
      <c r="AM692" s="1757"/>
      <c r="AN692" s="1757"/>
      <c r="AO692" s="1757"/>
      <c r="AP692" s="1757"/>
      <c r="AQ692" s="1757"/>
      <c r="AR692" s="1757"/>
      <c r="AS692" s="1757"/>
      <c r="AT692" s="1757"/>
      <c r="AU692" s="1757"/>
      <c r="AV692" s="1757"/>
      <c r="AW692" s="1757"/>
      <c r="AX692" s="1757"/>
      <c r="AY692" s="1757"/>
      <c r="AZ692" s="1757"/>
      <c r="BA692" s="1757"/>
      <c r="BB692" s="1757"/>
      <c r="BC692" s="1757"/>
      <c r="BD692" s="1757"/>
      <c r="BE692" s="1757"/>
      <c r="BF692" s="1757"/>
      <c r="BG692" s="1757"/>
      <c r="BH692" s="1757"/>
      <c r="BI692" s="1757"/>
      <c r="BJ692" s="1757"/>
      <c r="BK692" s="1757"/>
      <c r="BL692" s="1757"/>
      <c r="BM692" s="1757"/>
      <c r="BN692" s="1757"/>
      <c r="BO692" s="1757"/>
      <c r="BP692" s="1757"/>
      <c r="BQ692" s="1757"/>
      <c r="BR692" s="1757"/>
      <c r="BS692" s="1757"/>
      <c r="BT692" s="1757"/>
      <c r="BU692" s="1757"/>
      <c r="BV692" s="1757"/>
      <c r="BW692" s="1757"/>
      <c r="BX692" s="1757"/>
      <c r="BY692" s="1757"/>
      <c r="BZ692" s="1757"/>
      <c r="CA692" s="1757"/>
      <c r="CB692" s="1757"/>
      <c r="CC692" s="1757"/>
      <c r="CD692" s="1757"/>
      <c r="CE692" s="1757"/>
      <c r="CF692" s="1757"/>
      <c r="CG692" s="1757"/>
      <c r="CH692" s="1757"/>
      <c r="CI692" s="1757"/>
      <c r="CJ692" s="1757"/>
      <c r="CK692" s="1757"/>
      <c r="CL692" s="1757"/>
      <c r="CM692" s="1757"/>
      <c r="CN692" s="1757"/>
      <c r="CO692" s="1757"/>
      <c r="CP692" s="1757"/>
      <c r="CQ692" s="1757"/>
      <c r="CR692" s="1757"/>
      <c r="CS692" s="1757"/>
      <c r="CT692" s="1757"/>
      <c r="CU692" s="1757"/>
      <c r="CV692" s="1757"/>
      <c r="CW692" s="1757"/>
      <c r="CX692" s="1757"/>
      <c r="CY692" s="1757"/>
      <c r="CZ692" s="1757"/>
      <c r="DA692" s="1757"/>
      <c r="DB692" s="1757"/>
      <c r="DC692" s="1757"/>
      <c r="DD692" s="1757"/>
      <c r="DE692" s="1757"/>
      <c r="DF692" s="1757"/>
      <c r="DG692" s="1757"/>
      <c r="DH692" s="1757"/>
      <c r="DI692" s="1757"/>
      <c r="DJ692" s="1757"/>
      <c r="DK692" s="1757"/>
      <c r="DL692" s="1757"/>
      <c r="DM692" s="1757"/>
      <c r="DN692" s="1757"/>
      <c r="DO692" s="1757"/>
      <c r="DP692" s="1757"/>
      <c r="DQ692" s="1757"/>
      <c r="DR692" s="1757"/>
      <c r="DS692" s="1757"/>
      <c r="DT692" s="1757"/>
      <c r="DU692" s="1757"/>
      <c r="DV692" s="1757"/>
      <c r="DW692" s="1757"/>
      <c r="DX692" s="1757"/>
      <c r="DY692" s="1757"/>
      <c r="DZ692" s="1757"/>
      <c r="EA692" s="1757"/>
      <c r="EB692" s="1757"/>
      <c r="EC692" s="1757"/>
      <c r="ED692" s="1757"/>
      <c r="EE692" s="1757"/>
      <c r="EF692" s="1757"/>
      <c r="EG692" s="1757"/>
      <c r="EH692" s="1757"/>
      <c r="EI692" s="1757"/>
      <c r="EJ692" s="1757"/>
      <c r="EK692" s="1757"/>
      <c r="EL692" s="1757"/>
      <c r="EM692" s="1757"/>
      <c r="EN692" s="1757"/>
      <c r="EO692" s="1757"/>
      <c r="EP692" s="1757"/>
      <c r="EQ692" s="1757"/>
      <c r="ER692" s="1757"/>
      <c r="ES692" s="1757"/>
      <c r="ET692" s="1757"/>
      <c r="EU692" s="1757"/>
      <c r="EV692" s="1757"/>
      <c r="EW692" s="1757"/>
      <c r="EX692" s="1757"/>
      <c r="EY692" s="1757"/>
      <c r="EZ692" s="1757"/>
      <c r="FA692" s="1757"/>
      <c r="FB692" s="1757"/>
      <c r="FC692" s="1757"/>
      <c r="FD692" s="1757"/>
      <c r="FE692" s="1757"/>
      <c r="FF692" s="1757"/>
      <c r="FG692" s="1757"/>
      <c r="FH692" s="1757"/>
      <c r="FI692" s="1757"/>
    </row>
    <row r="693" spans="1:165">
      <c r="A693" s="1757"/>
      <c r="B693" s="1757"/>
      <c r="C693" s="1757"/>
      <c r="D693" s="1757"/>
      <c r="E693" s="1757"/>
      <c r="F693" s="1757"/>
      <c r="G693" s="1757"/>
      <c r="H693" s="1757"/>
      <c r="I693" s="1757"/>
      <c r="J693" s="1757"/>
      <c r="K693" s="1757"/>
      <c r="L693" s="1757"/>
      <c r="M693" s="1757"/>
      <c r="N693" s="1757"/>
      <c r="O693" s="1757"/>
      <c r="P693" s="1757"/>
      <c r="Q693" s="1757"/>
      <c r="R693" s="1757"/>
      <c r="S693" s="1757"/>
      <c r="T693" s="1757"/>
      <c r="U693" s="1757"/>
      <c r="V693" s="1757"/>
      <c r="W693" s="1757"/>
      <c r="X693" s="1757"/>
      <c r="Y693" s="1757"/>
      <c r="Z693" s="1757"/>
      <c r="AA693" s="1757"/>
      <c r="AB693" s="1757"/>
      <c r="AC693" s="1757"/>
      <c r="AD693" s="1757"/>
      <c r="AE693" s="1757"/>
      <c r="AF693" s="1757"/>
      <c r="AG693" s="1757"/>
      <c r="AH693" s="1757"/>
      <c r="AI693" s="1757"/>
      <c r="AJ693" s="1757"/>
      <c r="AK693" s="1757"/>
      <c r="AL693" s="1757"/>
      <c r="AM693" s="1757"/>
      <c r="AN693" s="1757"/>
      <c r="AO693" s="1757"/>
      <c r="AP693" s="1757"/>
      <c r="AQ693" s="1757"/>
      <c r="AR693" s="1757"/>
      <c r="AS693" s="1757"/>
      <c r="AT693" s="1757"/>
      <c r="AU693" s="1757"/>
      <c r="AV693" s="1757"/>
      <c r="AW693" s="1757"/>
      <c r="AX693" s="1757"/>
      <c r="AY693" s="1757"/>
      <c r="AZ693" s="1757"/>
      <c r="BA693" s="1757"/>
      <c r="BB693" s="1757"/>
      <c r="BC693" s="1757"/>
      <c r="BD693" s="1757"/>
      <c r="BE693" s="1757"/>
      <c r="BF693" s="1757"/>
      <c r="BG693" s="1757"/>
      <c r="BH693" s="1757"/>
      <c r="BI693" s="1757"/>
      <c r="BJ693" s="1757"/>
      <c r="BK693" s="1757"/>
      <c r="BL693" s="1757"/>
      <c r="BM693" s="1757"/>
      <c r="BN693" s="1757"/>
      <c r="BO693" s="1757"/>
      <c r="BP693" s="1757"/>
      <c r="BQ693" s="1757"/>
      <c r="BR693" s="1757"/>
      <c r="BS693" s="1757"/>
      <c r="BT693" s="1757"/>
      <c r="BU693" s="1757"/>
      <c r="BV693" s="1757"/>
      <c r="BW693" s="1757"/>
      <c r="BX693" s="1757"/>
      <c r="BY693" s="1757"/>
      <c r="BZ693" s="1757"/>
      <c r="CA693" s="1757"/>
      <c r="CB693" s="1757"/>
      <c r="CC693" s="1757"/>
      <c r="CD693" s="1757"/>
      <c r="CE693" s="1757"/>
      <c r="CF693" s="1757"/>
      <c r="CG693" s="1757"/>
      <c r="CH693" s="1757"/>
      <c r="CI693" s="1757"/>
      <c r="CJ693" s="1757"/>
      <c r="CK693" s="1757"/>
      <c r="CL693" s="1757"/>
      <c r="CM693" s="1757"/>
      <c r="CN693" s="1757"/>
      <c r="CO693" s="1757"/>
      <c r="CP693" s="1757"/>
      <c r="CQ693" s="1757"/>
      <c r="CR693" s="1757"/>
      <c r="CS693" s="1757"/>
      <c r="CT693" s="1757"/>
      <c r="CU693" s="1757"/>
      <c r="CV693" s="1757"/>
      <c r="CW693" s="1757"/>
      <c r="CX693" s="1757"/>
      <c r="CY693" s="1757"/>
      <c r="CZ693" s="1757"/>
      <c r="DA693" s="1757"/>
      <c r="DB693" s="1757"/>
      <c r="DC693" s="1757"/>
      <c r="DD693" s="1757"/>
      <c r="DE693" s="1757"/>
      <c r="DF693" s="1757"/>
      <c r="DG693" s="1757"/>
      <c r="DH693" s="1757"/>
      <c r="DI693" s="1757"/>
      <c r="DJ693" s="1757"/>
      <c r="DK693" s="1757"/>
      <c r="DL693" s="1757"/>
      <c r="DM693" s="1757"/>
      <c r="DN693" s="1757"/>
      <c r="DO693" s="1757"/>
      <c r="DP693" s="1757"/>
      <c r="DQ693" s="1757"/>
      <c r="DR693" s="1757"/>
      <c r="DS693" s="1757"/>
      <c r="DT693" s="1757"/>
      <c r="DU693" s="1757"/>
      <c r="DV693" s="1757"/>
      <c r="DW693" s="1757"/>
      <c r="DX693" s="1757"/>
      <c r="DY693" s="1757"/>
      <c r="DZ693" s="1757"/>
      <c r="EA693" s="1757"/>
      <c r="EB693" s="1757"/>
      <c r="EC693" s="1757"/>
      <c r="ED693" s="1757"/>
      <c r="EE693" s="1757"/>
      <c r="EF693" s="1757"/>
      <c r="EG693" s="1757"/>
      <c r="EH693" s="1757"/>
      <c r="EI693" s="1757"/>
      <c r="EJ693" s="1757"/>
      <c r="EK693" s="1757"/>
      <c r="EL693" s="1757"/>
      <c r="EM693" s="1757"/>
      <c r="EN693" s="1757"/>
      <c r="EO693" s="1757"/>
      <c r="EP693" s="1757"/>
      <c r="EQ693" s="1757"/>
      <c r="ER693" s="1757"/>
      <c r="ES693" s="1757"/>
      <c r="ET693" s="1757"/>
      <c r="EU693" s="1757"/>
      <c r="EV693" s="1757"/>
      <c r="EW693" s="1757"/>
      <c r="EX693" s="1757"/>
      <c r="EY693" s="1757"/>
      <c r="EZ693" s="1757"/>
      <c r="FA693" s="1757"/>
      <c r="FB693" s="1757"/>
      <c r="FC693" s="1757"/>
      <c r="FD693" s="1757"/>
      <c r="FE693" s="1757"/>
      <c r="FF693" s="1757"/>
      <c r="FG693" s="1757"/>
      <c r="FH693" s="1757"/>
      <c r="FI693" s="1757"/>
    </row>
    <row r="694" spans="1:165">
      <c r="A694" s="1757"/>
      <c r="B694" s="1757"/>
      <c r="C694" s="1757"/>
      <c r="D694" s="1757"/>
      <c r="E694" s="1757"/>
      <c r="F694" s="1757"/>
      <c r="G694" s="1757"/>
      <c r="H694" s="1757"/>
      <c r="I694" s="1757"/>
      <c r="J694" s="1757"/>
      <c r="K694" s="1757"/>
      <c r="L694" s="1757"/>
      <c r="M694" s="1757"/>
      <c r="N694" s="1757"/>
      <c r="O694" s="1757"/>
      <c r="P694" s="1757"/>
      <c r="Q694" s="1757"/>
      <c r="R694" s="1757"/>
      <c r="S694" s="1757"/>
      <c r="T694" s="1757"/>
      <c r="U694" s="1757"/>
      <c r="V694" s="1757"/>
      <c r="W694" s="1757"/>
      <c r="X694" s="1757"/>
      <c r="Y694" s="1757"/>
      <c r="Z694" s="1757"/>
      <c r="AA694" s="1757"/>
      <c r="AB694" s="1757"/>
      <c r="AC694" s="1757"/>
      <c r="AD694" s="1757"/>
      <c r="AE694" s="1757"/>
      <c r="AF694" s="1757"/>
      <c r="AG694" s="1757"/>
      <c r="AH694" s="1757"/>
      <c r="AI694" s="1757"/>
      <c r="AJ694" s="1757"/>
      <c r="AK694" s="1757"/>
      <c r="AL694" s="1757"/>
      <c r="AM694" s="1757"/>
      <c r="AN694" s="1757"/>
      <c r="AO694" s="1757"/>
      <c r="AP694" s="1757"/>
      <c r="AQ694" s="1757"/>
      <c r="AR694" s="1757"/>
      <c r="AS694" s="1757"/>
      <c r="AT694" s="1757"/>
      <c r="AU694" s="1757"/>
      <c r="AV694" s="1757"/>
      <c r="AW694" s="1757"/>
      <c r="AX694" s="1757"/>
      <c r="AY694" s="1757"/>
      <c r="AZ694" s="1757"/>
      <c r="BA694" s="1757"/>
      <c r="BB694" s="1757"/>
      <c r="BC694" s="1757"/>
      <c r="BD694" s="1757"/>
      <c r="BE694" s="1757"/>
      <c r="BF694" s="1757"/>
      <c r="BG694" s="1757"/>
      <c r="BH694" s="1757"/>
      <c r="BI694" s="1757"/>
      <c r="BJ694" s="1757"/>
      <c r="BK694" s="1757"/>
      <c r="BL694" s="1757"/>
      <c r="BM694" s="1757"/>
      <c r="BN694" s="1757"/>
      <c r="BO694" s="1757"/>
      <c r="BP694" s="1757"/>
      <c r="BQ694" s="1757"/>
      <c r="BR694" s="1757"/>
      <c r="BS694" s="1757"/>
      <c r="BT694" s="1757"/>
      <c r="BU694" s="1757"/>
      <c r="BV694" s="1757"/>
      <c r="BW694" s="1757"/>
      <c r="BX694" s="1757"/>
      <c r="BY694" s="1757"/>
      <c r="BZ694" s="1757"/>
      <c r="CA694" s="1757"/>
      <c r="CB694" s="1757"/>
      <c r="CC694" s="1757"/>
      <c r="CD694" s="1757"/>
      <c r="CE694" s="1757"/>
      <c r="CF694" s="1757"/>
      <c r="CG694" s="1757"/>
      <c r="CH694" s="1757"/>
      <c r="CI694" s="1757"/>
      <c r="CJ694" s="1757"/>
      <c r="CK694" s="1757"/>
      <c r="CL694" s="1757"/>
      <c r="CM694" s="1757"/>
      <c r="CN694" s="1757"/>
      <c r="CO694" s="1757"/>
      <c r="CP694" s="1757"/>
      <c r="CQ694" s="1757"/>
      <c r="CR694" s="1757"/>
      <c r="CS694" s="1757"/>
      <c r="CT694" s="1757"/>
      <c r="CU694" s="1757"/>
      <c r="CV694" s="1757"/>
      <c r="CW694" s="1757"/>
      <c r="CX694" s="1757"/>
      <c r="CY694" s="1757"/>
      <c r="CZ694" s="1757"/>
      <c r="DA694" s="1757"/>
      <c r="DB694" s="1757"/>
      <c r="DC694" s="1757"/>
      <c r="DD694" s="1757"/>
      <c r="DE694" s="1757"/>
      <c r="DF694" s="1757"/>
      <c r="DG694" s="1757"/>
      <c r="DH694" s="1757"/>
      <c r="DI694" s="1757"/>
      <c r="DJ694" s="1757"/>
      <c r="DK694" s="1757"/>
      <c r="DL694" s="1757"/>
      <c r="DM694" s="1757"/>
      <c r="DN694" s="1757"/>
      <c r="DO694" s="1757"/>
      <c r="DP694" s="1757"/>
      <c r="DQ694" s="1757"/>
      <c r="DR694" s="1757"/>
      <c r="DS694" s="1757"/>
      <c r="DT694" s="1757"/>
      <c r="DU694" s="1757"/>
      <c r="DV694" s="1757"/>
      <c r="DW694" s="1757"/>
      <c r="DX694" s="1757"/>
      <c r="DY694" s="1757"/>
      <c r="DZ694" s="1757"/>
      <c r="EA694" s="1757"/>
      <c r="EB694" s="1757"/>
      <c r="EC694" s="1757"/>
      <c r="ED694" s="1757"/>
      <c r="EE694" s="1757"/>
      <c r="EF694" s="1757"/>
      <c r="EG694" s="1757"/>
      <c r="EH694" s="1757"/>
      <c r="EI694" s="1757"/>
      <c r="EJ694" s="1757"/>
      <c r="EK694" s="1757"/>
      <c r="EL694" s="1757"/>
      <c r="EM694" s="1757"/>
      <c r="EN694" s="1757"/>
      <c r="EO694" s="1757"/>
      <c r="EP694" s="1757"/>
      <c r="EQ694" s="1757"/>
      <c r="ER694" s="1757"/>
      <c r="ES694" s="1757"/>
      <c r="ET694" s="1757"/>
      <c r="EU694" s="1757"/>
      <c r="EV694" s="1757"/>
      <c r="EW694" s="1757"/>
      <c r="EX694" s="1757"/>
      <c r="EY694" s="1757"/>
      <c r="EZ694" s="1757"/>
      <c r="FA694" s="1757"/>
      <c r="FB694" s="1757"/>
      <c r="FC694" s="1757"/>
      <c r="FD694" s="1757"/>
      <c r="FE694" s="1757"/>
      <c r="FF694" s="1757"/>
      <c r="FG694" s="1757"/>
      <c r="FH694" s="1757"/>
      <c r="FI694" s="1757"/>
    </row>
    <row r="695" spans="1:165">
      <c r="A695" s="1757"/>
      <c r="B695" s="1757"/>
      <c r="C695" s="1757"/>
      <c r="D695" s="1757"/>
      <c r="E695" s="1757"/>
      <c r="F695" s="1757"/>
      <c r="G695" s="1757"/>
      <c r="H695" s="1757"/>
      <c r="I695" s="1757"/>
      <c r="J695" s="1757"/>
      <c r="K695" s="1757"/>
      <c r="L695" s="1757"/>
      <c r="M695" s="1757"/>
      <c r="N695" s="1757"/>
      <c r="O695" s="1757"/>
      <c r="P695" s="1757"/>
      <c r="Q695" s="1757"/>
      <c r="R695" s="1757"/>
      <c r="S695" s="1757"/>
      <c r="T695" s="1757"/>
      <c r="U695" s="1757"/>
      <c r="V695" s="1757"/>
      <c r="W695" s="1757"/>
      <c r="X695" s="1757"/>
      <c r="Y695" s="1757"/>
      <c r="Z695" s="1757"/>
      <c r="AA695" s="1757"/>
      <c r="AB695" s="1757"/>
      <c r="AC695" s="1757"/>
      <c r="AD695" s="1757"/>
      <c r="AE695" s="1757"/>
      <c r="AF695" s="1757"/>
      <c r="AG695" s="1757"/>
      <c r="AH695" s="1757"/>
      <c r="AI695" s="1757"/>
      <c r="AJ695" s="1757"/>
      <c r="AK695" s="1757"/>
      <c r="AL695" s="1757"/>
      <c r="AM695" s="1757"/>
      <c r="AN695" s="1757"/>
      <c r="AO695" s="1757"/>
      <c r="AP695" s="1757"/>
      <c r="AQ695" s="1757"/>
      <c r="AR695" s="1757"/>
      <c r="AS695" s="1757"/>
      <c r="AT695" s="1757"/>
      <c r="AU695" s="1757"/>
      <c r="AV695" s="1757"/>
      <c r="AW695" s="1757"/>
      <c r="AX695" s="1757"/>
      <c r="AY695" s="1757"/>
      <c r="AZ695" s="1757"/>
      <c r="BA695" s="1757"/>
      <c r="BB695" s="1757"/>
      <c r="BC695" s="1757"/>
      <c r="BD695" s="1757"/>
      <c r="BE695" s="1757"/>
      <c r="BF695" s="1757"/>
      <c r="BG695" s="1757"/>
      <c r="BH695" s="1757"/>
      <c r="BI695" s="1757"/>
      <c r="BJ695" s="1757"/>
      <c r="BK695" s="1757"/>
      <c r="BL695" s="1757"/>
      <c r="BM695" s="1757"/>
      <c r="BN695" s="1757"/>
      <c r="BO695" s="1757"/>
      <c r="BP695" s="1757"/>
      <c r="BQ695" s="1757"/>
      <c r="BR695" s="1757"/>
      <c r="BS695" s="1757"/>
      <c r="BT695" s="1757"/>
      <c r="BU695" s="1757"/>
      <c r="BV695" s="1757"/>
      <c r="BW695" s="1757"/>
      <c r="BX695" s="1757"/>
      <c r="BY695" s="1757"/>
      <c r="BZ695" s="1757"/>
      <c r="CA695" s="1757"/>
      <c r="CB695" s="1757"/>
      <c r="CC695" s="1757"/>
      <c r="CD695" s="1757"/>
      <c r="CE695" s="1757"/>
      <c r="CF695" s="1757"/>
      <c r="CG695" s="1757"/>
      <c r="CH695" s="1757"/>
      <c r="CI695" s="1757"/>
      <c r="CJ695" s="1757"/>
      <c r="CK695" s="1757"/>
      <c r="CL695" s="1757"/>
      <c r="CM695" s="1757"/>
      <c r="CN695" s="1757"/>
      <c r="CO695" s="1757"/>
      <c r="CP695" s="1757"/>
      <c r="CQ695" s="1757"/>
      <c r="CR695" s="1757"/>
      <c r="CS695" s="1757"/>
      <c r="CT695" s="1757"/>
      <c r="CU695" s="1757"/>
      <c r="CV695" s="1757"/>
      <c r="CW695" s="1757"/>
      <c r="CX695" s="1757"/>
      <c r="CY695" s="1757"/>
      <c r="CZ695" s="1757"/>
      <c r="DA695" s="1757"/>
      <c r="DB695" s="1757"/>
      <c r="DC695" s="1757"/>
      <c r="DD695" s="1757"/>
      <c r="DE695" s="1757"/>
      <c r="DF695" s="1757"/>
      <c r="DG695" s="1757"/>
      <c r="DH695" s="1757"/>
      <c r="DI695" s="1757"/>
      <c r="DJ695" s="1757"/>
      <c r="DK695" s="1757"/>
      <c r="DL695" s="1757"/>
      <c r="DM695" s="1757"/>
      <c r="DN695" s="1757"/>
      <c r="DO695" s="1757"/>
      <c r="DP695" s="1757"/>
      <c r="DQ695" s="1757"/>
      <c r="DR695" s="1757"/>
      <c r="DS695" s="1757"/>
      <c r="DT695" s="1757"/>
      <c r="DU695" s="1757"/>
      <c r="DV695" s="1757"/>
      <c r="DW695" s="1757"/>
      <c r="DX695" s="1757"/>
      <c r="DY695" s="1757"/>
      <c r="DZ695" s="1757"/>
      <c r="EA695" s="1757"/>
      <c r="EB695" s="1757"/>
      <c r="EC695" s="1757"/>
      <c r="ED695" s="1757"/>
      <c r="EE695" s="1757"/>
      <c r="EF695" s="1757"/>
      <c r="EG695" s="1757"/>
      <c r="EH695" s="1757"/>
      <c r="EI695" s="1757"/>
      <c r="EJ695" s="1757"/>
      <c r="EK695" s="1757"/>
      <c r="EL695" s="1757"/>
      <c r="EM695" s="1757"/>
      <c r="EN695" s="1757"/>
      <c r="EO695" s="1757"/>
      <c r="EP695" s="1757"/>
      <c r="EQ695" s="1757"/>
      <c r="ER695" s="1757"/>
      <c r="ES695" s="1757"/>
      <c r="ET695" s="1757"/>
      <c r="EU695" s="1757"/>
      <c r="EV695" s="1757"/>
      <c r="EW695" s="1757"/>
      <c r="EX695" s="1757"/>
      <c r="EY695" s="1757"/>
      <c r="EZ695" s="1757"/>
      <c r="FA695" s="1757"/>
      <c r="FB695" s="1757"/>
      <c r="FC695" s="1757"/>
      <c r="FD695" s="1757"/>
      <c r="FE695" s="1757"/>
      <c r="FF695" s="1757"/>
      <c r="FG695" s="1757"/>
      <c r="FH695" s="1757"/>
      <c r="FI695" s="1757"/>
    </row>
    <row r="696" spans="1:165">
      <c r="A696" s="1757"/>
      <c r="B696" s="1757"/>
      <c r="C696" s="1757"/>
      <c r="D696" s="1757"/>
      <c r="E696" s="1757"/>
      <c r="F696" s="1757"/>
      <c r="G696" s="1757"/>
      <c r="H696" s="1757"/>
      <c r="I696" s="1757"/>
      <c r="J696" s="1757"/>
      <c r="K696" s="1757"/>
      <c r="L696" s="1757"/>
      <c r="M696" s="1757"/>
      <c r="N696" s="1757"/>
      <c r="O696" s="1757"/>
      <c r="P696" s="1757"/>
      <c r="Q696" s="1757"/>
      <c r="R696" s="1757"/>
      <c r="S696" s="1757"/>
      <c r="T696" s="1757"/>
      <c r="U696" s="1757"/>
      <c r="V696" s="1757"/>
      <c r="W696" s="1757"/>
      <c r="X696" s="1757"/>
      <c r="Y696" s="1757"/>
      <c r="Z696" s="1757"/>
      <c r="AA696" s="1757"/>
      <c r="AB696" s="1757"/>
      <c r="AC696" s="1757"/>
      <c r="AD696" s="1757"/>
      <c r="AE696" s="1757"/>
      <c r="AF696" s="1757"/>
      <c r="AG696" s="1757"/>
      <c r="AH696" s="1757"/>
      <c r="AI696" s="1757"/>
      <c r="AJ696" s="1757"/>
      <c r="AK696" s="1757"/>
      <c r="AL696" s="1757"/>
      <c r="AM696" s="1757"/>
      <c r="AN696" s="1757"/>
      <c r="AO696" s="1757"/>
      <c r="AP696" s="1757"/>
      <c r="AQ696" s="1757"/>
      <c r="AR696" s="1757"/>
      <c r="AS696" s="1757"/>
      <c r="AT696" s="1757"/>
      <c r="AU696" s="1757"/>
      <c r="AV696" s="1757"/>
      <c r="AW696" s="1757"/>
      <c r="AX696" s="1757"/>
      <c r="AY696" s="1757"/>
      <c r="AZ696" s="1757"/>
      <c r="BA696" s="1757"/>
      <c r="BB696" s="1757"/>
      <c r="BC696" s="1757"/>
      <c r="BD696" s="1757"/>
      <c r="BE696" s="1757"/>
      <c r="BF696" s="1757"/>
      <c r="BG696" s="1757"/>
      <c r="BH696" s="1757"/>
      <c r="BI696" s="1757"/>
      <c r="BJ696" s="1757"/>
      <c r="BK696" s="1757"/>
      <c r="BL696" s="1757"/>
      <c r="BM696" s="1757"/>
      <c r="BN696" s="1757"/>
      <c r="BO696" s="1757"/>
      <c r="BP696" s="1757"/>
      <c r="BQ696" s="1757"/>
      <c r="BR696" s="1757"/>
      <c r="BS696" s="1757"/>
      <c r="BT696" s="1757"/>
      <c r="BU696" s="1757"/>
      <c r="BV696" s="1757"/>
      <c r="BW696" s="1757"/>
      <c r="BX696" s="1757"/>
      <c r="BY696" s="1757"/>
      <c r="BZ696" s="1757"/>
      <c r="CA696" s="1757"/>
      <c r="CB696" s="1757"/>
      <c r="CC696" s="1757"/>
      <c r="CD696" s="1757"/>
      <c r="CE696" s="1757"/>
      <c r="CF696" s="1757"/>
      <c r="CG696" s="1757"/>
      <c r="CH696" s="1757"/>
      <c r="CI696" s="1757"/>
      <c r="CJ696" s="1757"/>
      <c r="CK696" s="1757"/>
      <c r="CL696" s="1757"/>
      <c r="CM696" s="1757"/>
      <c r="CN696" s="1757"/>
      <c r="CO696" s="1757"/>
      <c r="CP696" s="1757"/>
      <c r="CQ696" s="1757"/>
      <c r="CR696" s="1757"/>
      <c r="CS696" s="1757"/>
      <c r="CT696" s="1757"/>
      <c r="CU696" s="1757"/>
      <c r="CV696" s="1757"/>
      <c r="CW696" s="1757"/>
      <c r="CX696" s="1757"/>
      <c r="CY696" s="1757"/>
      <c r="CZ696" s="1757"/>
      <c r="DA696" s="1757"/>
      <c r="DB696" s="1757"/>
      <c r="DC696" s="1757"/>
      <c r="DD696" s="1757"/>
      <c r="DE696" s="1757"/>
      <c r="DF696" s="1757"/>
      <c r="DG696" s="1757"/>
      <c r="DH696" s="1757"/>
      <c r="DI696" s="1757"/>
      <c r="DJ696" s="1757"/>
      <c r="DK696" s="1757"/>
      <c r="DL696" s="1757"/>
      <c r="DM696" s="1757"/>
      <c r="DN696" s="1757"/>
      <c r="DO696" s="1757"/>
      <c r="DP696" s="1757"/>
      <c r="DQ696" s="1757"/>
      <c r="DR696" s="1757"/>
      <c r="DS696" s="1757"/>
      <c r="DT696" s="1757"/>
      <c r="DU696" s="1757"/>
      <c r="DV696" s="1757"/>
      <c r="DW696" s="1757"/>
      <c r="DX696" s="1757"/>
      <c r="DY696" s="1757"/>
      <c r="DZ696" s="1757"/>
      <c r="EA696" s="1757"/>
      <c r="EB696" s="1757"/>
      <c r="EC696" s="1757"/>
      <c r="ED696" s="1757"/>
      <c r="EE696" s="1757"/>
      <c r="EF696" s="1757"/>
      <c r="EG696" s="1757"/>
      <c r="EH696" s="1757"/>
      <c r="EI696" s="1757"/>
      <c r="EJ696" s="1757"/>
      <c r="EK696" s="1757"/>
      <c r="EL696" s="1757"/>
      <c r="EM696" s="1757"/>
      <c r="EN696" s="1757"/>
      <c r="EO696" s="1757"/>
      <c r="EP696" s="1757"/>
      <c r="EQ696" s="1757"/>
      <c r="ER696" s="1757"/>
      <c r="ES696" s="1757"/>
      <c r="ET696" s="1757"/>
      <c r="EU696" s="1757"/>
      <c r="EV696" s="1757"/>
      <c r="EW696" s="1757"/>
      <c r="EX696" s="1757"/>
      <c r="EY696" s="1757"/>
      <c r="EZ696" s="1757"/>
      <c r="FA696" s="1757"/>
      <c r="FB696" s="1757"/>
      <c r="FC696" s="1757"/>
      <c r="FD696" s="1757"/>
      <c r="FE696" s="1757"/>
      <c r="FF696" s="1757"/>
      <c r="FG696" s="1757"/>
      <c r="FH696" s="1757"/>
      <c r="FI696" s="1757"/>
    </row>
    <row r="697" spans="1:165">
      <c r="A697" s="1757"/>
      <c r="B697" s="1757"/>
      <c r="C697" s="1757"/>
      <c r="D697" s="1757"/>
      <c r="E697" s="1757"/>
      <c r="F697" s="1757"/>
      <c r="G697" s="1757"/>
      <c r="H697" s="1757"/>
      <c r="I697" s="1757"/>
      <c r="J697" s="1757"/>
      <c r="K697" s="1757"/>
      <c r="L697" s="1757"/>
      <c r="M697" s="1757"/>
      <c r="N697" s="1757"/>
      <c r="O697" s="1757"/>
      <c r="P697" s="1757"/>
      <c r="Q697" s="1757"/>
      <c r="R697" s="1757"/>
      <c r="S697" s="1757"/>
      <c r="T697" s="1757"/>
      <c r="U697" s="1757"/>
      <c r="V697" s="1757"/>
      <c r="W697" s="1757"/>
      <c r="X697" s="1757"/>
      <c r="Y697" s="1757"/>
      <c r="Z697" s="1757"/>
      <c r="AA697" s="1757"/>
      <c r="AB697" s="1757"/>
      <c r="AC697" s="1757"/>
      <c r="AD697" s="1757"/>
      <c r="AE697" s="1757"/>
      <c r="AF697" s="1757"/>
      <c r="AG697" s="1757"/>
      <c r="AH697" s="1757"/>
      <c r="AI697" s="1757"/>
      <c r="AJ697" s="1757"/>
      <c r="AK697" s="1757"/>
      <c r="AL697" s="1757"/>
      <c r="AM697" s="1757"/>
      <c r="AN697" s="1757"/>
      <c r="AO697" s="1757"/>
      <c r="AP697" s="1757"/>
      <c r="AQ697" s="1757"/>
      <c r="AR697" s="1757"/>
      <c r="AS697" s="1757"/>
      <c r="AT697" s="1757"/>
      <c r="AU697" s="1757"/>
      <c r="AV697" s="1757"/>
      <c r="AW697" s="1757"/>
      <c r="AX697" s="1757"/>
      <c r="AY697" s="1757"/>
      <c r="AZ697" s="1757"/>
      <c r="BA697" s="1757"/>
      <c r="BB697" s="1757"/>
      <c r="BC697" s="1757"/>
      <c r="BD697" s="1757"/>
      <c r="BE697" s="1757"/>
      <c r="BF697" s="1757"/>
      <c r="BG697" s="1757"/>
      <c r="BH697" s="1757"/>
      <c r="BI697" s="1757"/>
      <c r="BJ697" s="1757"/>
      <c r="BK697" s="1757"/>
      <c r="BL697" s="1757"/>
      <c r="BM697" s="1757"/>
      <c r="BN697" s="1757"/>
      <c r="BO697" s="1757"/>
      <c r="BP697" s="1757"/>
      <c r="BQ697" s="1757"/>
      <c r="BR697" s="1757"/>
      <c r="BS697" s="1757"/>
      <c r="BT697" s="1757"/>
      <c r="BU697" s="1757"/>
      <c r="BV697" s="1757"/>
      <c r="BW697" s="1757"/>
      <c r="BX697" s="1757"/>
      <c r="BY697" s="1757"/>
      <c r="BZ697" s="1757"/>
      <c r="CA697" s="1757"/>
      <c r="CB697" s="1757"/>
      <c r="CC697" s="1757"/>
      <c r="CD697" s="1757"/>
      <c r="CE697" s="1757"/>
      <c r="CF697" s="1757"/>
      <c r="CG697" s="1757"/>
      <c r="CH697" s="1757"/>
      <c r="CI697" s="1757"/>
      <c r="CJ697" s="1757"/>
      <c r="CK697" s="1757"/>
      <c r="CL697" s="1757"/>
      <c r="CM697" s="1757"/>
      <c r="CN697" s="1757"/>
      <c r="CO697" s="1757"/>
      <c r="CP697" s="1757"/>
      <c r="CQ697" s="1757"/>
      <c r="CR697" s="1757"/>
      <c r="CS697" s="1757"/>
      <c r="CT697" s="1757"/>
      <c r="CU697" s="1757"/>
      <c r="CV697" s="1757"/>
      <c r="CW697" s="1757"/>
      <c r="CX697" s="1757"/>
      <c r="CY697" s="1757"/>
      <c r="CZ697" s="1757"/>
      <c r="DA697" s="1757"/>
      <c r="DB697" s="1757"/>
      <c r="DC697" s="1757"/>
      <c r="DD697" s="1757"/>
      <c r="DE697" s="1757"/>
      <c r="DF697" s="1757"/>
      <c r="DG697" s="1757"/>
      <c r="DH697" s="1757"/>
      <c r="DI697" s="1757"/>
      <c r="DJ697" s="1757"/>
      <c r="DK697" s="1757"/>
      <c r="DL697" s="1757"/>
      <c r="DM697" s="1757"/>
      <c r="DN697" s="1757"/>
      <c r="DO697" s="1757"/>
      <c r="DP697" s="1757"/>
      <c r="DQ697" s="1757"/>
      <c r="DR697" s="1757"/>
      <c r="DS697" s="1757"/>
      <c r="DT697" s="1757"/>
      <c r="DU697" s="1757"/>
      <c r="DV697" s="1757"/>
      <c r="DW697" s="1757"/>
      <c r="DX697" s="1757"/>
      <c r="DY697" s="1757"/>
      <c r="DZ697" s="1757"/>
      <c r="EA697" s="1757"/>
      <c r="EB697" s="1757"/>
      <c r="EC697" s="1757"/>
      <c r="ED697" s="1757"/>
      <c r="EE697" s="1757"/>
      <c r="EF697" s="1757"/>
      <c r="EG697" s="1757"/>
      <c r="EH697" s="1757"/>
      <c r="EI697" s="1757"/>
      <c r="EJ697" s="1757"/>
      <c r="EK697" s="1757"/>
      <c r="EL697" s="1757"/>
      <c r="EM697" s="1757"/>
      <c r="EN697" s="1757"/>
      <c r="EO697" s="1757"/>
      <c r="EP697" s="1757"/>
      <c r="EQ697" s="1757"/>
      <c r="ER697" s="1757"/>
      <c r="ES697" s="1757"/>
      <c r="ET697" s="1757"/>
      <c r="EU697" s="1757"/>
      <c r="EV697" s="1757"/>
      <c r="EW697" s="1757"/>
      <c r="EX697" s="1757"/>
      <c r="EY697" s="1757"/>
      <c r="EZ697" s="1757"/>
      <c r="FA697" s="1757"/>
      <c r="FB697" s="1757"/>
      <c r="FC697" s="1757"/>
      <c r="FD697" s="1757"/>
      <c r="FE697" s="1757"/>
      <c r="FF697" s="1757"/>
      <c r="FG697" s="1757"/>
      <c r="FH697" s="1757"/>
      <c r="FI697" s="1757"/>
    </row>
    <row r="698" spans="1:165">
      <c r="A698" s="1757"/>
      <c r="B698" s="1757"/>
      <c r="C698" s="1757"/>
      <c r="D698" s="1757"/>
      <c r="E698" s="1757"/>
      <c r="F698" s="1757"/>
      <c r="G698" s="1757"/>
      <c r="H698" s="1757"/>
      <c r="I698" s="1757"/>
      <c r="J698" s="1757"/>
      <c r="K698" s="1757"/>
      <c r="L698" s="1757"/>
      <c r="M698" s="1757"/>
      <c r="N698" s="1757"/>
      <c r="O698" s="1757"/>
      <c r="P698" s="1757"/>
      <c r="Q698" s="1757"/>
      <c r="R698" s="1757"/>
      <c r="S698" s="1757"/>
      <c r="T698" s="1757"/>
      <c r="U698" s="1757"/>
      <c r="V698" s="1757"/>
      <c r="W698" s="1757"/>
      <c r="X698" s="1757"/>
      <c r="Y698" s="1757"/>
      <c r="Z698" s="1757"/>
      <c r="AA698" s="1757"/>
      <c r="AB698" s="1757"/>
      <c r="AC698" s="1757"/>
      <c r="AD698" s="1757"/>
      <c r="AE698" s="1757"/>
      <c r="AF698" s="1757"/>
      <c r="AG698" s="1757"/>
      <c r="AH698" s="1757"/>
      <c r="AI698" s="1757"/>
      <c r="AJ698" s="1757"/>
      <c r="AK698" s="1757"/>
      <c r="AL698" s="1757"/>
      <c r="AM698" s="1757"/>
      <c r="AN698" s="1757"/>
      <c r="AO698" s="1757"/>
      <c r="AP698" s="1757"/>
      <c r="AQ698" s="1757"/>
      <c r="AR698" s="1757"/>
      <c r="AS698" s="1757"/>
      <c r="AT698" s="1757"/>
      <c r="AU698" s="1757"/>
      <c r="AV698" s="1757"/>
      <c r="AW698" s="1757"/>
      <c r="AX698" s="1757"/>
      <c r="AY698" s="1757"/>
      <c r="AZ698" s="1757"/>
      <c r="BA698" s="1757"/>
      <c r="BB698" s="1757"/>
      <c r="BC698" s="1757"/>
      <c r="BD698" s="1757"/>
      <c r="BE698" s="1757"/>
      <c r="BF698" s="1757"/>
      <c r="BG698" s="1757"/>
      <c r="BH698" s="1757"/>
      <c r="BI698" s="1757"/>
      <c r="BJ698" s="1757"/>
      <c r="BK698" s="1757"/>
      <c r="BL698" s="1757"/>
      <c r="BM698" s="1757"/>
      <c r="BN698" s="1757"/>
      <c r="BO698" s="1757"/>
      <c r="BP698" s="1757"/>
      <c r="BQ698" s="1757"/>
      <c r="BR698" s="1757"/>
      <c r="BS698" s="1757"/>
      <c r="BT698" s="1757"/>
      <c r="BU698" s="1757"/>
      <c r="BV698" s="1757"/>
      <c r="BW698" s="1757"/>
      <c r="BX698" s="1757"/>
      <c r="BY698" s="1757"/>
      <c r="BZ698" s="1757"/>
      <c r="CA698" s="1757"/>
      <c r="CB698" s="1757"/>
      <c r="CC698" s="1757"/>
      <c r="CD698" s="1757"/>
      <c r="CE698" s="1757"/>
      <c r="CF698" s="1757"/>
      <c r="CG698" s="1757"/>
      <c r="CH698" s="1757"/>
      <c r="CI698" s="1757"/>
      <c r="CJ698" s="1757"/>
      <c r="CK698" s="1757"/>
      <c r="CL698" s="1757"/>
      <c r="CM698" s="1757"/>
      <c r="CN698" s="1757"/>
      <c r="CO698" s="1757"/>
      <c r="CP698" s="1757"/>
      <c r="CQ698" s="1757"/>
      <c r="CR698" s="1757"/>
      <c r="CS698" s="1757"/>
      <c r="CT698" s="1757"/>
      <c r="CU698" s="1757"/>
      <c r="CV698" s="1757"/>
      <c r="CW698" s="1757"/>
      <c r="CX698" s="1757"/>
      <c r="CY698" s="1757"/>
      <c r="CZ698" s="1757"/>
      <c r="DA698" s="1757"/>
      <c r="DB698" s="1757"/>
      <c r="DC698" s="1757"/>
      <c r="DD698" s="1757"/>
      <c r="DE698" s="1757"/>
      <c r="DF698" s="1757"/>
      <c r="DG698" s="1757"/>
      <c r="DH698" s="1757"/>
      <c r="DI698" s="1757"/>
      <c r="DJ698" s="1757"/>
      <c r="DK698" s="1757"/>
      <c r="DL698" s="1757"/>
      <c r="DM698" s="1757"/>
      <c r="DN698" s="1757"/>
      <c r="DO698" s="1757"/>
      <c r="DP698" s="1757"/>
      <c r="DQ698" s="1757"/>
      <c r="DR698" s="1757"/>
      <c r="DS698" s="1757"/>
      <c r="DT698" s="1757"/>
      <c r="DU698" s="1757"/>
      <c r="DV698" s="1757"/>
      <c r="DW698" s="1757"/>
      <c r="DX698" s="1757"/>
      <c r="DY698" s="1757"/>
      <c r="DZ698" s="1757"/>
      <c r="EA698" s="1757"/>
      <c r="EB698" s="1757"/>
      <c r="EC698" s="1757"/>
      <c r="ED698" s="1757"/>
      <c r="EE698" s="1757"/>
      <c r="EF698" s="1757"/>
      <c r="EG698" s="1757"/>
      <c r="EH698" s="1757"/>
      <c r="EI698" s="1757"/>
      <c r="EJ698" s="1757"/>
      <c r="EK698" s="1757"/>
      <c r="EL698" s="1757"/>
      <c r="EM698" s="1757"/>
      <c r="EN698" s="1757"/>
      <c r="EO698" s="1757"/>
      <c r="EP698" s="1757"/>
      <c r="EQ698" s="1757"/>
      <c r="ER698" s="1757"/>
      <c r="ES698" s="1757"/>
      <c r="ET698" s="1757"/>
      <c r="EU698" s="1757"/>
      <c r="EV698" s="1757"/>
      <c r="EW698" s="1757"/>
      <c r="EX698" s="1757"/>
      <c r="EY698" s="1757"/>
      <c r="EZ698" s="1757"/>
      <c r="FA698" s="1757"/>
      <c r="FB698" s="1757"/>
      <c r="FC698" s="1757"/>
      <c r="FD698" s="1757"/>
      <c r="FE698" s="1757"/>
      <c r="FF698" s="1757"/>
      <c r="FG698" s="1757"/>
      <c r="FH698" s="1757"/>
      <c r="FI698" s="1757"/>
    </row>
    <row r="699" spans="1:165">
      <c r="A699" s="1757"/>
      <c r="B699" s="1757"/>
      <c r="C699" s="1757"/>
      <c r="D699" s="1757"/>
      <c r="E699" s="1757"/>
      <c r="F699" s="1757"/>
      <c r="G699" s="1757"/>
      <c r="H699" s="1757"/>
      <c r="I699" s="1757"/>
      <c r="J699" s="1757"/>
      <c r="K699" s="1757"/>
      <c r="L699" s="1757"/>
      <c r="M699" s="1757"/>
      <c r="N699" s="1757"/>
      <c r="O699" s="1757"/>
      <c r="P699" s="1757"/>
      <c r="Q699" s="1757"/>
      <c r="R699" s="1757"/>
      <c r="S699" s="1757"/>
      <c r="T699" s="1757"/>
      <c r="U699" s="1757"/>
      <c r="V699" s="1757"/>
      <c r="W699" s="1757"/>
      <c r="X699" s="1757"/>
      <c r="Y699" s="1757"/>
      <c r="Z699" s="1757"/>
      <c r="AA699" s="1757"/>
      <c r="AB699" s="1757"/>
      <c r="AC699" s="1757"/>
      <c r="AD699" s="1757"/>
      <c r="AE699" s="1757"/>
      <c r="AF699" s="1757"/>
      <c r="AG699" s="1757"/>
      <c r="AH699" s="1757"/>
      <c r="AI699" s="1757"/>
      <c r="AJ699" s="1757"/>
      <c r="AK699" s="1757"/>
      <c r="AL699" s="1757"/>
      <c r="AM699" s="1757"/>
      <c r="AN699" s="1757"/>
      <c r="AO699" s="1757"/>
      <c r="AP699" s="1757"/>
      <c r="AQ699" s="1757"/>
      <c r="AR699" s="1757"/>
      <c r="AS699" s="1757"/>
      <c r="AT699" s="1757"/>
      <c r="AU699" s="1757"/>
      <c r="AV699" s="1757"/>
      <c r="AW699" s="1757"/>
      <c r="AX699" s="1757"/>
      <c r="AY699" s="1757"/>
      <c r="AZ699" s="1757"/>
      <c r="BA699" s="1757"/>
      <c r="BB699" s="1757"/>
      <c r="BC699" s="1757"/>
      <c r="BD699" s="1757"/>
      <c r="BE699" s="1757"/>
      <c r="BF699" s="1757"/>
      <c r="BG699" s="1757"/>
      <c r="BH699" s="1757"/>
      <c r="BI699" s="1757"/>
      <c r="BJ699" s="1757"/>
      <c r="BK699" s="1757"/>
      <c r="BL699" s="1757"/>
      <c r="BM699" s="1757"/>
      <c r="BN699" s="1757"/>
      <c r="BO699" s="1757"/>
      <c r="BP699" s="1757"/>
      <c r="BQ699" s="1757"/>
      <c r="BR699" s="1757"/>
      <c r="BS699" s="1757"/>
      <c r="BT699" s="1757"/>
      <c r="BU699" s="1757"/>
      <c r="BV699" s="1757"/>
      <c r="BW699" s="1757"/>
      <c r="BX699" s="1757"/>
      <c r="BY699" s="1757"/>
      <c r="BZ699" s="1757"/>
      <c r="CA699" s="1757"/>
      <c r="CB699" s="1757"/>
      <c r="CC699" s="1757"/>
      <c r="CD699" s="1757"/>
      <c r="CE699" s="1757"/>
      <c r="CF699" s="1757"/>
      <c r="CG699" s="1757"/>
      <c r="CH699" s="1757"/>
      <c r="CI699" s="1757"/>
      <c r="CJ699" s="1757"/>
      <c r="CK699" s="1757"/>
      <c r="CL699" s="1757"/>
      <c r="CM699" s="1757"/>
      <c r="CN699" s="1757"/>
      <c r="CO699" s="1757"/>
      <c r="CP699" s="1757"/>
      <c r="CQ699" s="1757"/>
      <c r="CR699" s="1757"/>
      <c r="CS699" s="1757"/>
      <c r="CT699" s="1757"/>
      <c r="CU699" s="1757"/>
      <c r="CV699" s="1757"/>
      <c r="CW699" s="1757"/>
      <c r="CX699" s="1757"/>
      <c r="CY699" s="1757"/>
      <c r="CZ699" s="1757"/>
      <c r="DA699" s="1757"/>
      <c r="DB699" s="1757"/>
      <c r="DC699" s="1757"/>
      <c r="DD699" s="1757"/>
      <c r="DE699" s="1757"/>
      <c r="DF699" s="1757"/>
      <c r="DG699" s="1757"/>
      <c r="DH699" s="1757"/>
      <c r="DI699" s="1757"/>
      <c r="DJ699" s="1757"/>
      <c r="DK699" s="1757"/>
      <c r="DL699" s="1757"/>
      <c r="DM699" s="1757"/>
      <c r="DN699" s="1757"/>
      <c r="DO699" s="1757"/>
      <c r="DP699" s="1757"/>
      <c r="DQ699" s="1757"/>
      <c r="DR699" s="1757"/>
      <c r="DS699" s="1757"/>
      <c r="DT699" s="1757"/>
      <c r="DU699" s="1757"/>
      <c r="DV699" s="1757"/>
      <c r="DW699" s="1757"/>
      <c r="DX699" s="1757"/>
      <c r="DY699" s="1757"/>
      <c r="DZ699" s="1757"/>
      <c r="EA699" s="1757"/>
      <c r="EB699" s="1757"/>
      <c r="EC699" s="1757"/>
      <c r="ED699" s="1757"/>
      <c r="EE699" s="1757"/>
      <c r="EF699" s="1757"/>
      <c r="EG699" s="1757"/>
      <c r="EH699" s="1757"/>
      <c r="EI699" s="1757"/>
      <c r="EJ699" s="1757"/>
      <c r="EK699" s="1757"/>
      <c r="EL699" s="1757"/>
      <c r="EM699" s="1757"/>
      <c r="EN699" s="1757"/>
      <c r="EO699" s="1757"/>
      <c r="EP699" s="1757"/>
      <c r="EQ699" s="1757"/>
      <c r="ER699" s="1757"/>
      <c r="ES699" s="1757"/>
      <c r="ET699" s="1757"/>
      <c r="EU699" s="1757"/>
      <c r="EV699" s="1757"/>
      <c r="EW699" s="1757"/>
      <c r="EX699" s="1757"/>
      <c r="EY699" s="1757"/>
      <c r="EZ699" s="1757"/>
      <c r="FA699" s="1757"/>
      <c r="FB699" s="1757"/>
      <c r="FC699" s="1757"/>
      <c r="FD699" s="1757"/>
      <c r="FE699" s="1757"/>
      <c r="FF699" s="1757"/>
      <c r="FG699" s="1757"/>
      <c r="FH699" s="1757"/>
      <c r="FI699" s="1757"/>
    </row>
    <row r="700" spans="1:165">
      <c r="A700" s="1757"/>
      <c r="B700" s="1757"/>
      <c r="C700" s="1757"/>
      <c r="D700" s="1757"/>
      <c r="E700" s="1757"/>
      <c r="F700" s="1757"/>
      <c r="G700" s="1757"/>
      <c r="H700" s="1757"/>
      <c r="I700" s="1757"/>
      <c r="J700" s="1757"/>
      <c r="K700" s="1757"/>
      <c r="L700" s="1757"/>
      <c r="M700" s="1757"/>
      <c r="N700" s="1757"/>
      <c r="O700" s="1757"/>
      <c r="P700" s="1757"/>
      <c r="Q700" s="1757"/>
      <c r="R700" s="1757"/>
      <c r="S700" s="1757"/>
      <c r="T700" s="1757"/>
      <c r="U700" s="1757"/>
      <c r="V700" s="1757"/>
      <c r="W700" s="1757"/>
      <c r="X700" s="1757"/>
      <c r="Y700" s="1757"/>
      <c r="Z700" s="1757"/>
      <c r="AA700" s="1757"/>
      <c r="AB700" s="1757"/>
      <c r="AC700" s="1757"/>
      <c r="AD700" s="1757"/>
      <c r="AE700" s="1757"/>
      <c r="AF700" s="1757"/>
      <c r="AG700" s="1757"/>
      <c r="AH700" s="1757"/>
      <c r="AI700" s="1757"/>
      <c r="AJ700" s="1757"/>
      <c r="AK700" s="1757"/>
      <c r="AL700" s="1757"/>
      <c r="AM700" s="1757"/>
      <c r="AN700" s="1757"/>
      <c r="AO700" s="1757"/>
      <c r="AP700" s="1757"/>
      <c r="AQ700" s="1757"/>
      <c r="AR700" s="1757"/>
      <c r="AS700" s="1757"/>
      <c r="AT700" s="1757"/>
      <c r="AU700" s="1757"/>
      <c r="AV700" s="1757"/>
      <c r="AW700" s="1757"/>
      <c r="AX700" s="1757"/>
      <c r="AY700" s="1757"/>
      <c r="AZ700" s="1757"/>
      <c r="BA700" s="1757"/>
      <c r="BB700" s="1757"/>
      <c r="BC700" s="1757"/>
      <c r="BD700" s="1757"/>
      <c r="BE700" s="1757"/>
      <c r="BF700" s="1757"/>
      <c r="BG700" s="1757"/>
      <c r="BH700" s="1757"/>
      <c r="BI700" s="1757"/>
      <c r="BJ700" s="1757"/>
      <c r="BK700" s="1757"/>
      <c r="BL700" s="1757"/>
      <c r="BM700" s="1757"/>
      <c r="BN700" s="1757"/>
      <c r="BO700" s="1757"/>
      <c r="BP700" s="1757"/>
      <c r="BQ700" s="1757"/>
      <c r="BR700" s="1757"/>
      <c r="BS700" s="1757"/>
      <c r="BT700" s="1757"/>
      <c r="BU700" s="1757"/>
      <c r="BV700" s="1757"/>
      <c r="BW700" s="1757"/>
      <c r="BX700" s="1757"/>
      <c r="BY700" s="1757"/>
      <c r="BZ700" s="1757"/>
      <c r="CA700" s="1757"/>
      <c r="CB700" s="1757"/>
      <c r="CC700" s="1757"/>
      <c r="CD700" s="1757"/>
      <c r="CE700" s="1757"/>
      <c r="CF700" s="1757"/>
      <c r="CG700" s="1757"/>
      <c r="CH700" s="1757"/>
      <c r="CI700" s="1757"/>
      <c r="CJ700" s="1757"/>
      <c r="CK700" s="1757"/>
      <c r="CL700" s="1757"/>
      <c r="CM700" s="1757"/>
      <c r="CN700" s="1757"/>
      <c r="CO700" s="1757"/>
      <c r="CP700" s="1757"/>
      <c r="CQ700" s="1757"/>
      <c r="CR700" s="1757"/>
      <c r="CS700" s="1757"/>
      <c r="CT700" s="1757"/>
      <c r="CU700" s="1757"/>
      <c r="CV700" s="1757"/>
      <c r="CW700" s="1757"/>
      <c r="CX700" s="1757"/>
      <c r="CY700" s="1757"/>
      <c r="CZ700" s="1757"/>
      <c r="DA700" s="1757"/>
      <c r="DB700" s="1757"/>
      <c r="DC700" s="1757"/>
      <c r="DD700" s="1757"/>
      <c r="DE700" s="1757"/>
      <c r="DF700" s="1757"/>
      <c r="DG700" s="1757"/>
      <c r="DH700" s="1757"/>
      <c r="DI700" s="1757"/>
      <c r="DJ700" s="1757"/>
      <c r="DK700" s="1757"/>
      <c r="DL700" s="1757"/>
      <c r="DM700" s="1757"/>
      <c r="DN700" s="1757"/>
      <c r="DO700" s="1757"/>
      <c r="DP700" s="1757"/>
      <c r="DQ700" s="1757"/>
      <c r="DR700" s="1757"/>
      <c r="DS700" s="1757"/>
      <c r="DT700" s="1757"/>
      <c r="DU700" s="1757"/>
      <c r="DV700" s="1757"/>
      <c r="DW700" s="1757"/>
      <c r="DX700" s="1757"/>
      <c r="DY700" s="1757"/>
      <c r="DZ700" s="1757"/>
      <c r="EA700" s="1757"/>
      <c r="EB700" s="1757"/>
      <c r="EC700" s="1757"/>
      <c r="ED700" s="1757"/>
      <c r="EE700" s="1757"/>
      <c r="EF700" s="1757"/>
      <c r="EG700" s="1757"/>
      <c r="EH700" s="1757"/>
      <c r="EI700" s="1757"/>
      <c r="EJ700" s="1757"/>
      <c r="EK700" s="1757"/>
      <c r="EL700" s="1757"/>
      <c r="EM700" s="1757"/>
      <c r="EN700" s="1757"/>
      <c r="EO700" s="1757"/>
      <c r="EP700" s="1757"/>
      <c r="EQ700" s="1757"/>
      <c r="ER700" s="1757"/>
      <c r="ES700" s="1757"/>
      <c r="ET700" s="1757"/>
      <c r="EU700" s="1757"/>
      <c r="EV700" s="1757"/>
      <c r="EW700" s="1757"/>
      <c r="EX700" s="1757"/>
      <c r="EY700" s="1757"/>
      <c r="EZ700" s="1757"/>
      <c r="FA700" s="1757"/>
      <c r="FB700" s="1757"/>
      <c r="FC700" s="1757"/>
      <c r="FD700" s="1757"/>
      <c r="FE700" s="1757"/>
      <c r="FF700" s="1757"/>
      <c r="FG700" s="1757"/>
      <c r="FH700" s="1757"/>
      <c r="FI700" s="1757"/>
    </row>
    <row r="701" spans="1:165">
      <c r="A701" s="1757"/>
      <c r="B701" s="1757"/>
      <c r="C701" s="1757"/>
      <c r="D701" s="1757"/>
      <c r="E701" s="1757"/>
      <c r="F701" s="1757"/>
      <c r="G701" s="1757"/>
      <c r="H701" s="1757"/>
      <c r="I701" s="1757"/>
      <c r="J701" s="1757"/>
      <c r="K701" s="1757"/>
      <c r="L701" s="1757"/>
      <c r="M701" s="1757"/>
      <c r="N701" s="1757"/>
      <c r="O701" s="1757"/>
      <c r="P701" s="1757"/>
      <c r="Q701" s="1757"/>
      <c r="R701" s="1757"/>
      <c r="S701" s="1757"/>
      <c r="T701" s="1757"/>
      <c r="U701" s="1757"/>
      <c r="V701" s="1757"/>
      <c r="W701" s="1757"/>
      <c r="X701" s="1757"/>
      <c r="Y701" s="1757"/>
      <c r="Z701" s="1757"/>
      <c r="AA701" s="1757"/>
      <c r="AB701" s="1757"/>
      <c r="AC701" s="1757"/>
      <c r="AD701" s="1757"/>
      <c r="AE701" s="1757"/>
      <c r="AF701" s="1757"/>
      <c r="AG701" s="1757"/>
      <c r="AH701" s="1757"/>
      <c r="AI701" s="1757"/>
      <c r="AJ701" s="1757"/>
      <c r="AK701" s="1757"/>
      <c r="AL701" s="1757"/>
      <c r="AM701" s="1757"/>
      <c r="AN701" s="1757"/>
      <c r="AO701" s="1757"/>
      <c r="AP701" s="1757"/>
      <c r="AQ701" s="1757"/>
      <c r="AR701" s="1757"/>
      <c r="AS701" s="1757"/>
      <c r="AT701" s="1757"/>
      <c r="AU701" s="1757"/>
      <c r="AV701" s="1757"/>
      <c r="AW701" s="1757"/>
      <c r="AX701" s="1757"/>
      <c r="AY701" s="1757"/>
      <c r="AZ701" s="1757"/>
      <c r="BA701" s="1757"/>
      <c r="BB701" s="1757"/>
      <c r="BC701" s="1757"/>
      <c r="BD701" s="1757"/>
      <c r="BE701" s="1757"/>
      <c r="BF701" s="1757"/>
      <c r="BG701" s="1757"/>
      <c r="BH701" s="1757"/>
      <c r="BI701" s="1757"/>
      <c r="BJ701" s="1757"/>
      <c r="BK701" s="1757"/>
      <c r="BL701" s="1757"/>
      <c r="BM701" s="1757"/>
      <c r="BN701" s="1757"/>
      <c r="BO701" s="1757"/>
      <c r="BP701" s="1757"/>
      <c r="BQ701" s="1757"/>
      <c r="BR701" s="1757"/>
      <c r="BS701" s="1757"/>
      <c r="BT701" s="1757"/>
      <c r="BU701" s="1757"/>
      <c r="BV701" s="1757"/>
      <c r="BW701" s="1757"/>
      <c r="BX701" s="1757"/>
      <c r="BY701" s="1757"/>
      <c r="BZ701" s="1757"/>
      <c r="CA701" s="1757"/>
      <c r="CB701" s="1757"/>
      <c r="CC701" s="1757"/>
      <c r="CD701" s="1757"/>
      <c r="CE701" s="1757"/>
      <c r="CF701" s="1757"/>
      <c r="CG701" s="1757"/>
      <c r="CH701" s="1757"/>
      <c r="CI701" s="1757"/>
      <c r="CJ701" s="1757"/>
      <c r="CK701" s="1757"/>
      <c r="CL701" s="1757"/>
      <c r="CM701" s="1757"/>
      <c r="CN701" s="1757"/>
      <c r="CO701" s="1757"/>
      <c r="CP701" s="1757"/>
      <c r="CQ701" s="1757"/>
      <c r="CR701" s="1757"/>
      <c r="CS701" s="1757"/>
      <c r="CT701" s="1757"/>
      <c r="CU701" s="1757"/>
      <c r="CV701" s="1757"/>
      <c r="CW701" s="1757"/>
      <c r="CX701" s="1757"/>
      <c r="CY701" s="1757"/>
      <c r="CZ701" s="1757"/>
      <c r="DA701" s="1757"/>
      <c r="DB701" s="1757"/>
      <c r="DC701" s="1757"/>
      <c r="DD701" s="1757"/>
      <c r="DE701" s="1757"/>
      <c r="DF701" s="1757"/>
      <c r="DG701" s="1757"/>
      <c r="DH701" s="1757"/>
      <c r="DI701" s="1757"/>
      <c r="DJ701" s="1757"/>
      <c r="DK701" s="1757"/>
      <c r="DL701" s="1757"/>
      <c r="DM701" s="1757"/>
      <c r="DN701" s="1757"/>
      <c r="DO701" s="1757"/>
      <c r="DP701" s="1757"/>
      <c r="DQ701" s="1757"/>
      <c r="DR701" s="1757"/>
      <c r="DS701" s="1757"/>
      <c r="DT701" s="1757"/>
      <c r="DU701" s="1757"/>
      <c r="DV701" s="1757"/>
      <c r="DW701" s="1757"/>
      <c r="DX701" s="1757"/>
      <c r="DY701" s="1757"/>
      <c r="DZ701" s="1757"/>
      <c r="EA701" s="1757"/>
      <c r="EB701" s="1757"/>
      <c r="EC701" s="1757"/>
      <c r="ED701" s="1757"/>
      <c r="EE701" s="1757"/>
      <c r="EF701" s="1757"/>
      <c r="EG701" s="1757"/>
      <c r="EH701" s="1757"/>
      <c r="EI701" s="1757"/>
      <c r="EJ701" s="1757"/>
      <c r="EK701" s="1757"/>
      <c r="EL701" s="1757"/>
      <c r="EM701" s="1757"/>
      <c r="EN701" s="1757"/>
      <c r="EO701" s="1757"/>
      <c r="EP701" s="1757"/>
      <c r="EQ701" s="1757"/>
      <c r="ER701" s="1757"/>
      <c r="ES701" s="1757"/>
      <c r="ET701" s="1757"/>
      <c r="EU701" s="1757"/>
      <c r="EV701" s="1757"/>
      <c r="EW701" s="1757"/>
      <c r="EX701" s="1757"/>
      <c r="EY701" s="1757"/>
      <c r="EZ701" s="1757"/>
      <c r="FA701" s="1757"/>
      <c r="FB701" s="1757"/>
      <c r="FC701" s="1757"/>
      <c r="FD701" s="1757"/>
      <c r="FE701" s="1757"/>
      <c r="FF701" s="1757"/>
      <c r="FG701" s="1757"/>
      <c r="FH701" s="1757"/>
      <c r="FI701" s="1757"/>
    </row>
    <row r="702" spans="1:165">
      <c r="A702" s="1757"/>
      <c r="B702" s="1757"/>
      <c r="C702" s="1757"/>
      <c r="D702" s="1757"/>
      <c r="E702" s="1757"/>
      <c r="F702" s="1757"/>
      <c r="G702" s="1757"/>
      <c r="H702" s="1757"/>
      <c r="I702" s="1757"/>
      <c r="J702" s="1757"/>
      <c r="K702" s="1757"/>
      <c r="L702" s="1757"/>
      <c r="M702" s="1757"/>
      <c r="N702" s="1757"/>
      <c r="O702" s="1757"/>
      <c r="P702" s="1757"/>
      <c r="Q702" s="1757"/>
      <c r="R702" s="1757"/>
      <c r="S702" s="1757"/>
      <c r="T702" s="1757"/>
      <c r="U702" s="1757"/>
      <c r="V702" s="1757"/>
      <c r="W702" s="1757"/>
      <c r="X702" s="1757"/>
      <c r="Y702" s="1757"/>
      <c r="Z702" s="1757"/>
      <c r="AA702" s="1757"/>
      <c r="AB702" s="1757"/>
      <c r="AC702" s="1757"/>
      <c r="AD702" s="1757"/>
      <c r="AE702" s="1757"/>
      <c r="AF702" s="1757"/>
      <c r="AG702" s="1757"/>
      <c r="AH702" s="1757"/>
      <c r="AI702" s="1757"/>
      <c r="AJ702" s="1757"/>
      <c r="AK702" s="1757"/>
      <c r="AL702" s="1757"/>
      <c r="AM702" s="1757"/>
      <c r="AN702" s="1757"/>
      <c r="AO702" s="1757"/>
      <c r="AP702" s="1757"/>
      <c r="AQ702" s="1757"/>
      <c r="AR702" s="1757"/>
      <c r="AS702" s="1757"/>
      <c r="AT702" s="1757"/>
      <c r="AU702" s="1757"/>
      <c r="AV702" s="1757"/>
      <c r="AW702" s="1757"/>
      <c r="AX702" s="1757"/>
      <c r="AY702" s="1757"/>
      <c r="AZ702" s="1757"/>
      <c r="BA702" s="1757"/>
      <c r="BB702" s="1757"/>
      <c r="BC702" s="1757"/>
      <c r="BD702" s="1757"/>
      <c r="BE702" s="1757"/>
      <c r="BF702" s="1757"/>
      <c r="BG702" s="1757"/>
      <c r="BH702" s="1757"/>
      <c r="BI702" s="1757"/>
      <c r="BJ702" s="1757"/>
      <c r="BK702" s="1757"/>
      <c r="BL702" s="1757"/>
      <c r="BM702" s="1757"/>
      <c r="BN702" s="1757"/>
      <c r="BO702" s="1757"/>
      <c r="BP702" s="1757"/>
      <c r="BQ702" s="1757"/>
      <c r="BR702" s="1757"/>
      <c r="BS702" s="1757"/>
      <c r="BT702" s="1757"/>
      <c r="BU702" s="1757"/>
      <c r="BV702" s="1757"/>
      <c r="BW702" s="1757"/>
      <c r="BX702" s="1757"/>
      <c r="BY702" s="1757"/>
      <c r="BZ702" s="1757"/>
      <c r="CA702" s="1757"/>
      <c r="CB702" s="1757"/>
      <c r="CC702" s="1757"/>
      <c r="CD702" s="1757"/>
      <c r="CE702" s="1757"/>
      <c r="CF702" s="1757"/>
      <c r="CG702" s="1757"/>
      <c r="CH702" s="1757"/>
      <c r="CI702" s="1757"/>
      <c r="CJ702" s="1757"/>
      <c r="CK702" s="1757"/>
      <c r="CL702" s="1757"/>
      <c r="CM702" s="1757"/>
      <c r="CN702" s="1757"/>
      <c r="CO702" s="1757"/>
      <c r="CP702" s="1757"/>
      <c r="CQ702" s="1757"/>
      <c r="CR702" s="1757"/>
      <c r="CS702" s="1757"/>
      <c r="CT702" s="1757"/>
      <c r="CU702" s="1757"/>
      <c r="CV702" s="1757"/>
      <c r="CW702" s="1757"/>
      <c r="CX702" s="1757"/>
      <c r="CY702" s="1757"/>
      <c r="CZ702" s="1757"/>
      <c r="DA702" s="1757"/>
      <c r="DB702" s="1757"/>
      <c r="DC702" s="1757"/>
      <c r="DD702" s="1757"/>
      <c r="DE702" s="1757"/>
      <c r="DF702" s="1757"/>
      <c r="DG702" s="1757"/>
      <c r="DH702" s="1757"/>
      <c r="DI702" s="1757"/>
      <c r="DJ702" s="1757"/>
      <c r="DK702" s="1757"/>
      <c r="DL702" s="1757"/>
      <c r="DM702" s="1757"/>
      <c r="DN702" s="1757"/>
      <c r="DO702" s="1757"/>
      <c r="DP702" s="1757"/>
      <c r="DQ702" s="1757"/>
      <c r="DR702" s="1757"/>
      <c r="DS702" s="1757"/>
      <c r="DT702" s="1757"/>
      <c r="DU702" s="1757"/>
      <c r="DV702" s="1757"/>
      <c r="DW702" s="1757"/>
      <c r="DX702" s="1757"/>
      <c r="DY702" s="1757"/>
      <c r="DZ702" s="1757"/>
      <c r="EA702" s="1757"/>
      <c r="EB702" s="1757"/>
      <c r="EC702" s="1757"/>
      <c r="ED702" s="1757"/>
      <c r="EE702" s="1757"/>
      <c r="EF702" s="1757"/>
      <c r="EG702" s="1757"/>
      <c r="EH702" s="1757"/>
      <c r="EI702" s="1757"/>
      <c r="EJ702" s="1757"/>
      <c r="EK702" s="1757"/>
      <c r="EL702" s="1757"/>
      <c r="EM702" s="1757"/>
      <c r="EN702" s="1757"/>
      <c r="EO702" s="1757"/>
      <c r="EP702" s="1757"/>
      <c r="EQ702" s="1757"/>
      <c r="ER702" s="1757"/>
      <c r="ES702" s="1757"/>
      <c r="ET702" s="1757"/>
      <c r="EU702" s="1757"/>
      <c r="EV702" s="1757"/>
      <c r="EW702" s="1757"/>
      <c r="EX702" s="1757"/>
      <c r="EY702" s="1757"/>
      <c r="EZ702" s="1757"/>
      <c r="FA702" s="1757"/>
      <c r="FB702" s="1757"/>
      <c r="FC702" s="1757"/>
      <c r="FD702" s="1757"/>
      <c r="FE702" s="1757"/>
      <c r="FF702" s="1757"/>
      <c r="FG702" s="1757"/>
      <c r="FH702" s="1757"/>
      <c r="FI702" s="1757"/>
    </row>
    <row r="703" spans="1:165">
      <c r="A703" s="1757"/>
      <c r="B703" s="1757"/>
      <c r="C703" s="1757"/>
      <c r="D703" s="1757"/>
      <c r="E703" s="1757"/>
      <c r="F703" s="1757"/>
      <c r="G703" s="1757"/>
      <c r="H703" s="1757"/>
      <c r="I703" s="1757"/>
      <c r="J703" s="1757"/>
      <c r="K703" s="1757"/>
      <c r="L703" s="1757"/>
      <c r="M703" s="1757"/>
      <c r="N703" s="1757"/>
      <c r="O703" s="1757"/>
      <c r="P703" s="1757"/>
      <c r="Q703" s="1757"/>
      <c r="R703" s="1757"/>
      <c r="S703" s="1757"/>
      <c r="T703" s="1757"/>
      <c r="U703" s="1757"/>
      <c r="V703" s="1757"/>
      <c r="W703" s="1757"/>
      <c r="X703" s="1757"/>
      <c r="Y703" s="1757"/>
      <c r="Z703" s="1757"/>
      <c r="AA703" s="1757"/>
      <c r="AB703" s="1757"/>
      <c r="AC703" s="1757"/>
      <c r="AD703" s="1757"/>
      <c r="AE703" s="1757"/>
      <c r="AF703" s="1757"/>
      <c r="AG703" s="1757"/>
      <c r="AH703" s="1757"/>
      <c r="AI703" s="1757"/>
      <c r="AJ703" s="1757"/>
      <c r="AK703" s="1757"/>
      <c r="AL703" s="1757"/>
      <c r="AM703" s="1757"/>
      <c r="AN703" s="1757"/>
      <c r="AO703" s="1757"/>
      <c r="AP703" s="1757"/>
      <c r="AQ703" s="1757"/>
      <c r="AR703" s="1757"/>
      <c r="AS703" s="1757"/>
      <c r="AT703" s="1757"/>
      <c r="AU703" s="1757"/>
      <c r="AV703" s="1757"/>
      <c r="AW703" s="1757"/>
      <c r="AX703" s="1757"/>
      <c r="AY703" s="1757"/>
      <c r="AZ703" s="1757"/>
      <c r="BA703" s="1757"/>
      <c r="BB703" s="1757"/>
      <c r="BC703" s="1757"/>
      <c r="BD703" s="1757"/>
      <c r="BE703" s="1757"/>
      <c r="BF703" s="1757"/>
      <c r="BG703" s="1757"/>
      <c r="BH703" s="1757"/>
      <c r="BI703" s="1757"/>
      <c r="BJ703" s="1757"/>
      <c r="BK703" s="1757"/>
      <c r="BL703" s="1757"/>
      <c r="BM703" s="1757"/>
      <c r="BN703" s="1757"/>
      <c r="BO703" s="1757"/>
      <c r="BP703" s="1757"/>
      <c r="BQ703" s="1757"/>
      <c r="BR703" s="1757"/>
      <c r="BS703" s="1757"/>
      <c r="BT703" s="1757"/>
      <c r="BU703" s="1757"/>
      <c r="BV703" s="1757"/>
      <c r="BW703" s="1757"/>
      <c r="BX703" s="1757"/>
      <c r="BY703" s="1757"/>
      <c r="BZ703" s="1757"/>
      <c r="CA703" s="1757"/>
      <c r="CB703" s="1757"/>
      <c r="CC703" s="1757"/>
      <c r="CD703" s="1757"/>
      <c r="CE703" s="1757"/>
      <c r="CF703" s="1757"/>
      <c r="CG703" s="1757"/>
      <c r="CH703" s="1757"/>
      <c r="CI703" s="1757"/>
      <c r="CJ703" s="1757"/>
      <c r="CK703" s="1757"/>
      <c r="CL703" s="1757"/>
      <c r="CM703" s="1757"/>
      <c r="CN703" s="1757"/>
      <c r="CO703" s="1757"/>
      <c r="CP703" s="1757"/>
      <c r="CQ703" s="1757"/>
      <c r="CR703" s="1757"/>
      <c r="CS703" s="1757"/>
      <c r="CT703" s="1757"/>
      <c r="CU703" s="1757"/>
      <c r="CV703" s="1757"/>
      <c r="CW703" s="1757"/>
      <c r="CX703" s="1757"/>
      <c r="CY703" s="1757"/>
      <c r="CZ703" s="1757"/>
      <c r="DA703" s="1757"/>
      <c r="DB703" s="1757"/>
      <c r="DC703" s="1757"/>
      <c r="DD703" s="1757"/>
      <c r="DE703" s="1757"/>
      <c r="DF703" s="1757"/>
      <c r="DG703" s="1757"/>
      <c r="DH703" s="1757"/>
      <c r="DI703" s="1757"/>
      <c r="DJ703" s="1757"/>
      <c r="DK703" s="1757"/>
      <c r="DL703" s="1757"/>
      <c r="DM703" s="1757"/>
      <c r="DN703" s="1757"/>
      <c r="DO703" s="1757"/>
      <c r="DP703" s="1757"/>
      <c r="DQ703" s="1757"/>
      <c r="DR703" s="1757"/>
      <c r="DS703" s="1757"/>
      <c r="DT703" s="1757"/>
      <c r="DU703" s="1757"/>
      <c r="DV703" s="1757"/>
      <c r="DW703" s="1757"/>
      <c r="DX703" s="1757"/>
      <c r="DY703" s="1757"/>
      <c r="DZ703" s="1757"/>
      <c r="EA703" s="1757"/>
      <c r="EB703" s="1757"/>
      <c r="EC703" s="1757"/>
      <c r="ED703" s="1757"/>
      <c r="EE703" s="1757"/>
      <c r="EF703" s="1757"/>
      <c r="EG703" s="1757"/>
      <c r="EH703" s="1757"/>
      <c r="EI703" s="1757"/>
      <c r="EJ703" s="1757"/>
      <c r="EK703" s="1757"/>
      <c r="EL703" s="1757"/>
      <c r="EM703" s="1757"/>
      <c r="EN703" s="1757"/>
      <c r="EO703" s="1757"/>
      <c r="EP703" s="1757"/>
      <c r="EQ703" s="1757"/>
      <c r="ER703" s="1757"/>
      <c r="ES703" s="1757"/>
      <c r="ET703" s="1757"/>
      <c r="EU703" s="1757"/>
      <c r="EV703" s="1757"/>
      <c r="EW703" s="1757"/>
      <c r="EX703" s="1757"/>
      <c r="EY703" s="1757"/>
      <c r="EZ703" s="1757"/>
      <c r="FA703" s="1757"/>
      <c r="FB703" s="1757"/>
      <c r="FC703" s="1757"/>
      <c r="FD703" s="1757"/>
      <c r="FE703" s="1757"/>
      <c r="FF703" s="1757"/>
      <c r="FG703" s="1757"/>
      <c r="FH703" s="1757"/>
      <c r="FI703" s="1757"/>
    </row>
    <row r="704" spans="1:165">
      <c r="A704" s="1757"/>
      <c r="B704" s="1757"/>
      <c r="C704" s="1757"/>
      <c r="D704" s="1757"/>
      <c r="E704" s="1757"/>
      <c r="F704" s="1757"/>
      <c r="G704" s="1757"/>
      <c r="H704" s="1757"/>
      <c r="I704" s="1757"/>
      <c r="J704" s="1757"/>
      <c r="K704" s="1757"/>
      <c r="L704" s="1757"/>
      <c r="M704" s="1757"/>
      <c r="N704" s="1757"/>
      <c r="O704" s="1757"/>
      <c r="P704" s="1757"/>
      <c r="Q704" s="1757"/>
      <c r="R704" s="1757"/>
      <c r="S704" s="1757"/>
      <c r="T704" s="1757"/>
      <c r="U704" s="1757"/>
      <c r="V704" s="1757"/>
      <c r="W704" s="1757"/>
      <c r="X704" s="1757"/>
      <c r="Y704" s="1757"/>
      <c r="Z704" s="1757"/>
      <c r="AA704" s="1757"/>
      <c r="AB704" s="1757"/>
      <c r="AC704" s="1757"/>
      <c r="AD704" s="1757"/>
      <c r="AE704" s="1757"/>
      <c r="AF704" s="1757"/>
      <c r="AG704" s="1757"/>
      <c r="AH704" s="1757"/>
      <c r="AI704" s="1757"/>
      <c r="AJ704" s="1757"/>
      <c r="AK704" s="1757"/>
      <c r="AL704" s="1757"/>
      <c r="AM704" s="1757"/>
      <c r="AN704" s="1757"/>
      <c r="AO704" s="1757"/>
      <c r="AP704" s="1757"/>
      <c r="AQ704" s="1757"/>
      <c r="AR704" s="1757"/>
      <c r="AS704" s="1757"/>
      <c r="AT704" s="1757"/>
      <c r="AU704" s="1757"/>
      <c r="AV704" s="1757"/>
      <c r="AW704" s="1757"/>
      <c r="AX704" s="1757"/>
      <c r="AY704" s="1757"/>
      <c r="AZ704" s="1757"/>
      <c r="BA704" s="1757"/>
      <c r="BB704" s="1757"/>
      <c r="BC704" s="1757"/>
      <c r="BD704" s="1757"/>
      <c r="BE704" s="1757"/>
      <c r="BF704" s="1757"/>
      <c r="BG704" s="1757"/>
      <c r="BH704" s="1757"/>
      <c r="BI704" s="1757"/>
      <c r="BJ704" s="1757"/>
      <c r="BK704" s="1757"/>
      <c r="BL704" s="1757"/>
      <c r="BM704" s="1757"/>
      <c r="BN704" s="1757"/>
      <c r="BO704" s="1757"/>
      <c r="BP704" s="1757"/>
      <c r="BQ704" s="1757"/>
      <c r="BR704" s="1757"/>
      <c r="BS704" s="1757"/>
      <c r="BT704" s="1757"/>
      <c r="BU704" s="1757"/>
      <c r="BV704" s="1757"/>
      <c r="BW704" s="1757"/>
      <c r="BX704" s="1757"/>
      <c r="BY704" s="1757"/>
      <c r="BZ704" s="1757"/>
      <c r="CA704" s="1757"/>
      <c r="CB704" s="1757"/>
      <c r="CC704" s="1757"/>
      <c r="CD704" s="1757"/>
      <c r="CE704" s="1757"/>
      <c r="CF704" s="1757"/>
      <c r="CG704" s="1757"/>
      <c r="CH704" s="1757"/>
      <c r="CI704" s="1757"/>
      <c r="CJ704" s="1757"/>
      <c r="CK704" s="1757"/>
      <c r="CL704" s="1757"/>
      <c r="CM704" s="1757"/>
      <c r="CN704" s="1757"/>
      <c r="CO704" s="1757"/>
      <c r="CP704" s="1757"/>
      <c r="CQ704" s="1757"/>
      <c r="CR704" s="1757"/>
      <c r="CS704" s="1757"/>
      <c r="CT704" s="1757"/>
      <c r="CU704" s="1757"/>
      <c r="CV704" s="1757"/>
      <c r="CW704" s="1757"/>
      <c r="CX704" s="1757"/>
      <c r="CY704" s="1757"/>
      <c r="CZ704" s="1757"/>
      <c r="DA704" s="1757"/>
      <c r="DB704" s="1757"/>
      <c r="DC704" s="1757"/>
      <c r="DD704" s="1757"/>
      <c r="DE704" s="1757"/>
      <c r="DF704" s="1757"/>
      <c r="DG704" s="1757"/>
      <c r="DH704" s="1757"/>
      <c r="DI704" s="1757"/>
      <c r="DJ704" s="1757"/>
      <c r="DK704" s="1757"/>
      <c r="DL704" s="1757"/>
      <c r="DM704" s="1757"/>
      <c r="DN704" s="1757"/>
      <c r="DO704" s="1757"/>
      <c r="DP704" s="1757"/>
      <c r="DQ704" s="1757"/>
      <c r="DR704" s="1757"/>
      <c r="DS704" s="1757"/>
      <c r="DT704" s="1757"/>
      <c r="DU704" s="1757"/>
      <c r="DV704" s="1757"/>
      <c r="DW704" s="1757"/>
      <c r="DX704" s="1757"/>
      <c r="DY704" s="1757"/>
      <c r="DZ704" s="1757"/>
      <c r="EA704" s="1757"/>
      <c r="EB704" s="1757"/>
      <c r="EC704" s="1757"/>
      <c r="ED704" s="1757"/>
      <c r="EE704" s="1757"/>
      <c r="EF704" s="1757"/>
      <c r="EG704" s="1757"/>
      <c r="EH704" s="1757"/>
      <c r="EI704" s="1757"/>
      <c r="EJ704" s="1757"/>
      <c r="EK704" s="1757"/>
      <c r="EL704" s="1757"/>
      <c r="EM704" s="1757"/>
      <c r="EN704" s="1757"/>
      <c r="EO704" s="1757"/>
      <c r="EP704" s="1757"/>
      <c r="EQ704" s="1757"/>
      <c r="ER704" s="1757"/>
      <c r="ES704" s="1757"/>
      <c r="ET704" s="1757"/>
      <c r="EU704" s="1757"/>
      <c r="EV704" s="1757"/>
      <c r="EW704" s="1757"/>
      <c r="EX704" s="1757"/>
      <c r="EY704" s="1757"/>
      <c r="EZ704" s="1757"/>
      <c r="FA704" s="1757"/>
      <c r="FB704" s="1757"/>
      <c r="FC704" s="1757"/>
      <c r="FD704" s="1757"/>
      <c r="FE704" s="1757"/>
      <c r="FF704" s="1757"/>
      <c r="FG704" s="1757"/>
      <c r="FH704" s="1757"/>
      <c r="FI704" s="1757"/>
    </row>
    <row r="705" spans="1:165">
      <c r="A705" s="1757"/>
      <c r="B705" s="1757"/>
      <c r="C705" s="1757"/>
      <c r="D705" s="1757"/>
      <c r="E705" s="1757"/>
      <c r="F705" s="1757"/>
      <c r="G705" s="1757"/>
      <c r="H705" s="1757"/>
      <c r="I705" s="1757"/>
      <c r="J705" s="1757"/>
      <c r="K705" s="1757"/>
      <c r="L705" s="1757"/>
      <c r="M705" s="1757"/>
      <c r="N705" s="1757"/>
      <c r="O705" s="1757"/>
      <c r="P705" s="1757"/>
      <c r="Q705" s="1757"/>
      <c r="R705" s="1757"/>
      <c r="S705" s="1757"/>
      <c r="T705" s="1757"/>
      <c r="U705" s="1757"/>
      <c r="V705" s="1757"/>
      <c r="W705" s="1757"/>
      <c r="X705" s="1757"/>
      <c r="Y705" s="1757"/>
      <c r="Z705" s="1757"/>
      <c r="AA705" s="1757"/>
      <c r="AB705" s="1757"/>
      <c r="AC705" s="1757"/>
      <c r="AD705" s="1757"/>
      <c r="AE705" s="1757"/>
      <c r="AF705" s="1757"/>
      <c r="AG705" s="1757"/>
      <c r="AH705" s="1757"/>
      <c r="AI705" s="1757"/>
      <c r="AJ705" s="1757"/>
      <c r="AK705" s="1757"/>
      <c r="AL705" s="1757"/>
      <c r="AM705" s="1757"/>
      <c r="AN705" s="1757"/>
      <c r="AO705" s="1757"/>
      <c r="AP705" s="1757"/>
      <c r="AQ705" s="1757"/>
      <c r="AR705" s="1757"/>
      <c r="AS705" s="1757"/>
      <c r="AT705" s="1757"/>
      <c r="AU705" s="1757"/>
      <c r="AV705" s="1757"/>
      <c r="AW705" s="1757"/>
      <c r="AX705" s="1757"/>
      <c r="AY705" s="1757"/>
      <c r="AZ705" s="1757"/>
      <c r="BA705" s="1757"/>
      <c r="BB705" s="1757"/>
      <c r="BC705" s="1757"/>
      <c r="BD705" s="1757"/>
      <c r="BE705" s="1757"/>
      <c r="BF705" s="1757"/>
      <c r="BG705" s="1757"/>
      <c r="BH705" s="1757"/>
      <c r="BI705" s="1757"/>
      <c r="BJ705" s="1757"/>
      <c r="BK705" s="1757"/>
      <c r="BL705" s="1757"/>
      <c r="BM705" s="1757"/>
      <c r="BN705" s="1757"/>
      <c r="BO705" s="1757"/>
      <c r="BP705" s="1757"/>
      <c r="BQ705" s="1757"/>
      <c r="BR705" s="1757"/>
      <c r="BS705" s="1757"/>
      <c r="BT705" s="1757"/>
      <c r="BU705" s="1757"/>
      <c r="BV705" s="1757"/>
      <c r="BW705" s="1757"/>
      <c r="BX705" s="1757"/>
      <c r="BY705" s="1757"/>
      <c r="BZ705" s="1757"/>
      <c r="CA705" s="1757"/>
      <c r="CB705" s="1757"/>
      <c r="CC705" s="1757"/>
      <c r="CD705" s="1757"/>
      <c r="CE705" s="1757"/>
      <c r="CF705" s="1757"/>
      <c r="CG705" s="1757"/>
      <c r="CH705" s="1757"/>
      <c r="CI705" s="1757"/>
      <c r="CJ705" s="1757"/>
      <c r="CK705" s="1757"/>
      <c r="CL705" s="1757"/>
      <c r="CM705" s="1757"/>
      <c r="CN705" s="1757"/>
      <c r="CO705" s="1757"/>
      <c r="CP705" s="1757"/>
      <c r="CQ705" s="1757"/>
      <c r="CR705" s="1757"/>
      <c r="CS705" s="1757"/>
      <c r="CT705" s="1757"/>
      <c r="CU705" s="1757"/>
      <c r="CV705" s="1757"/>
      <c r="CW705" s="1757"/>
      <c r="CX705" s="1757"/>
      <c r="CY705" s="1757"/>
      <c r="CZ705" s="1757"/>
      <c r="DA705" s="1757"/>
      <c r="DB705" s="1757"/>
      <c r="DC705" s="1757"/>
      <c r="DD705" s="1757"/>
      <c r="DE705" s="1757"/>
      <c r="DF705" s="1757"/>
      <c r="DG705" s="1757"/>
      <c r="DH705" s="1757"/>
      <c r="DI705" s="1757"/>
      <c r="DJ705" s="1757"/>
      <c r="DK705" s="1757"/>
      <c r="DL705" s="1757"/>
      <c r="DM705" s="1757"/>
      <c r="DN705" s="1757"/>
      <c r="DO705" s="1757"/>
      <c r="DP705" s="1757"/>
      <c r="DQ705" s="1757"/>
      <c r="DR705" s="1757"/>
      <c r="DS705" s="1757"/>
      <c r="DT705" s="1757"/>
      <c r="DU705" s="1757"/>
      <c r="DV705" s="1757"/>
      <c r="DW705" s="1757"/>
      <c r="DX705" s="1757"/>
      <c r="DY705" s="1757"/>
      <c r="DZ705" s="1757"/>
      <c r="EA705" s="1757"/>
      <c r="EB705" s="1757"/>
      <c r="EC705" s="1757"/>
      <c r="ED705" s="1757"/>
      <c r="EE705" s="1757"/>
      <c r="EF705" s="1757"/>
      <c r="EG705" s="1757"/>
      <c r="EH705" s="1757"/>
      <c r="EI705" s="1757"/>
      <c r="EJ705" s="1757"/>
      <c r="EK705" s="1757"/>
      <c r="EL705" s="1757"/>
      <c r="EM705" s="1757"/>
      <c r="EN705" s="1757"/>
      <c r="EO705" s="1757"/>
      <c r="EP705" s="1757"/>
      <c r="EQ705" s="1757"/>
      <c r="ER705" s="1757"/>
      <c r="ES705" s="1757"/>
      <c r="ET705" s="1757"/>
      <c r="EU705" s="1757"/>
      <c r="EV705" s="1757"/>
      <c r="EW705" s="1757"/>
      <c r="EX705" s="1757"/>
      <c r="EY705" s="1757"/>
      <c r="EZ705" s="1757"/>
      <c r="FA705" s="1757"/>
      <c r="FB705" s="1757"/>
      <c r="FC705" s="1757"/>
      <c r="FD705" s="1757"/>
      <c r="FE705" s="1757"/>
      <c r="FF705" s="1757"/>
      <c r="FG705" s="1757"/>
      <c r="FH705" s="1757"/>
      <c r="FI705" s="1757"/>
    </row>
    <row r="706" spans="1:165">
      <c r="A706" s="1757"/>
      <c r="B706" s="1757"/>
      <c r="C706" s="1757"/>
      <c r="D706" s="1757"/>
      <c r="E706" s="1757"/>
      <c r="F706" s="1757"/>
      <c r="G706" s="1757"/>
      <c r="H706" s="1757"/>
      <c r="I706" s="1757"/>
      <c r="J706" s="1757"/>
      <c r="K706" s="1757"/>
      <c r="L706" s="1757"/>
      <c r="M706" s="1757"/>
      <c r="N706" s="1757"/>
      <c r="O706" s="1757"/>
      <c r="P706" s="1757"/>
      <c r="Q706" s="1757"/>
      <c r="R706" s="1757"/>
      <c r="S706" s="1757"/>
      <c r="T706" s="1757"/>
      <c r="U706" s="1757"/>
      <c r="V706" s="1757"/>
      <c r="W706" s="1757"/>
      <c r="X706" s="1757"/>
      <c r="Y706" s="1757"/>
      <c r="Z706" s="1757"/>
      <c r="AA706" s="1757"/>
      <c r="AB706" s="1757"/>
      <c r="AC706" s="1757"/>
      <c r="AD706" s="1757"/>
      <c r="AE706" s="1757"/>
      <c r="AF706" s="1757"/>
      <c r="AG706" s="1757"/>
      <c r="AH706" s="1757"/>
      <c r="AI706" s="1757"/>
      <c r="AJ706" s="1757"/>
      <c r="AK706" s="1757"/>
      <c r="AL706" s="1757"/>
      <c r="AM706" s="1757"/>
      <c r="AN706" s="1757"/>
      <c r="AO706" s="1757"/>
      <c r="AP706" s="1757"/>
      <c r="AQ706" s="1757"/>
      <c r="AR706" s="1757"/>
      <c r="AS706" s="1757"/>
      <c r="AT706" s="1757"/>
      <c r="AU706" s="1757"/>
      <c r="AV706" s="1757"/>
      <c r="AW706" s="1757"/>
      <c r="AX706" s="1757"/>
      <c r="AY706" s="1757"/>
      <c r="AZ706" s="1757"/>
      <c r="BA706" s="1757"/>
      <c r="BB706" s="1757"/>
      <c r="BC706" s="1757"/>
      <c r="BD706" s="1757"/>
      <c r="BE706" s="1757"/>
      <c r="BF706" s="1757"/>
      <c r="BG706" s="1757"/>
      <c r="BH706" s="1757"/>
      <c r="BI706" s="1757"/>
      <c r="BJ706" s="1757"/>
      <c r="BK706" s="1757"/>
      <c r="BL706" s="1757"/>
      <c r="BM706" s="1757"/>
      <c r="BN706" s="1757"/>
      <c r="BO706" s="1757"/>
      <c r="BP706" s="1757"/>
      <c r="BQ706" s="1757"/>
      <c r="BR706" s="1757"/>
      <c r="BS706" s="1757"/>
      <c r="BT706" s="1757"/>
      <c r="BU706" s="1757"/>
      <c r="BV706" s="1757"/>
      <c r="BW706" s="1757"/>
      <c r="BX706" s="1757"/>
      <c r="BY706" s="1757"/>
      <c r="BZ706" s="1757"/>
      <c r="CA706" s="1757"/>
      <c r="CB706" s="1757"/>
      <c r="CC706" s="1757"/>
      <c r="CD706" s="1757"/>
      <c r="CE706" s="1757"/>
      <c r="CF706" s="1757"/>
      <c r="CG706" s="1757"/>
      <c r="CH706" s="1757"/>
      <c r="CI706" s="1757"/>
      <c r="CJ706" s="1757"/>
      <c r="CK706" s="1757"/>
      <c r="CL706" s="1757"/>
      <c r="CM706" s="1757"/>
      <c r="CN706" s="1757"/>
      <c r="CO706" s="1757"/>
      <c r="CP706" s="1757"/>
      <c r="CQ706" s="1757"/>
      <c r="CR706" s="1757"/>
      <c r="CS706" s="1757"/>
      <c r="CT706" s="1757"/>
      <c r="CU706" s="1757"/>
      <c r="CV706" s="1757"/>
      <c r="CW706" s="1757"/>
      <c r="CX706" s="1757"/>
      <c r="CY706" s="1757"/>
      <c r="CZ706" s="1757"/>
      <c r="DA706" s="1757"/>
      <c r="DB706" s="1757"/>
      <c r="DC706" s="1757"/>
      <c r="DD706" s="1757"/>
      <c r="DE706" s="1757"/>
      <c r="DF706" s="1757"/>
      <c r="DG706" s="1757"/>
      <c r="DH706" s="1757"/>
      <c r="DI706" s="1757"/>
      <c r="DJ706" s="1757"/>
      <c r="DK706" s="1757"/>
      <c r="DL706" s="1757"/>
      <c r="DM706" s="1757"/>
      <c r="DN706" s="1757"/>
      <c r="DO706" s="1757"/>
      <c r="DP706" s="1757"/>
      <c r="DQ706" s="1757"/>
      <c r="DR706" s="1757"/>
      <c r="DS706" s="1757"/>
      <c r="DT706" s="1757"/>
      <c r="DU706" s="1757"/>
      <c r="DV706" s="1757"/>
      <c r="DW706" s="1757"/>
      <c r="DX706" s="1757"/>
      <c r="DY706" s="1757"/>
      <c r="DZ706" s="1757"/>
      <c r="EA706" s="1757"/>
      <c r="EB706" s="1757"/>
      <c r="EC706" s="1757"/>
      <c r="ED706" s="1757"/>
      <c r="EE706" s="1757"/>
      <c r="EF706" s="1757"/>
      <c r="EG706" s="1757"/>
      <c r="EH706" s="1757"/>
      <c r="EI706" s="1757"/>
      <c r="EJ706" s="1757"/>
      <c r="EK706" s="1757"/>
      <c r="EL706" s="1757"/>
      <c r="EM706" s="1757"/>
      <c r="EN706" s="1757"/>
      <c r="EO706" s="1757"/>
      <c r="EP706" s="1757"/>
      <c r="EQ706" s="1757"/>
      <c r="ER706" s="1757"/>
      <c r="ES706" s="1757"/>
      <c r="ET706" s="1757"/>
      <c r="EU706" s="1757"/>
      <c r="EV706" s="1757"/>
      <c r="EW706" s="1757"/>
      <c r="EX706" s="1757"/>
      <c r="EY706" s="1757"/>
      <c r="EZ706" s="1757"/>
      <c r="FA706" s="1757"/>
      <c r="FB706" s="1757"/>
      <c r="FC706" s="1757"/>
      <c r="FD706" s="1757"/>
      <c r="FE706" s="1757"/>
      <c r="FF706" s="1757"/>
      <c r="FG706" s="1757"/>
      <c r="FH706" s="1757"/>
      <c r="FI706" s="1757"/>
    </row>
    <row r="707" spans="1:165">
      <c r="A707" s="1757"/>
      <c r="B707" s="1757"/>
      <c r="C707" s="1757"/>
      <c r="D707" s="1757"/>
      <c r="E707" s="1757"/>
      <c r="F707" s="1757"/>
      <c r="G707" s="1757"/>
      <c r="H707" s="1757"/>
      <c r="I707" s="1757"/>
      <c r="J707" s="1757"/>
      <c r="K707" s="1757"/>
      <c r="L707" s="1757"/>
      <c r="M707" s="1757"/>
      <c r="N707" s="1757"/>
      <c r="O707" s="1757"/>
      <c r="P707" s="1757"/>
      <c r="Q707" s="1757"/>
      <c r="R707" s="1757"/>
      <c r="S707" s="1757"/>
      <c r="T707" s="1757"/>
      <c r="U707" s="1757"/>
      <c r="V707" s="1757"/>
      <c r="W707" s="1757"/>
      <c r="X707" s="1757"/>
      <c r="Y707" s="1757"/>
      <c r="Z707" s="1757"/>
      <c r="AA707" s="1757"/>
      <c r="AB707" s="1757"/>
      <c r="AC707" s="1757"/>
      <c r="AD707" s="1757"/>
      <c r="AE707" s="1757"/>
      <c r="AF707" s="1757"/>
      <c r="AG707" s="1757"/>
      <c r="AH707" s="1757"/>
      <c r="AI707" s="1757"/>
      <c r="AJ707" s="1757"/>
      <c r="AK707" s="1757"/>
      <c r="AL707" s="1757"/>
      <c r="AM707" s="1757"/>
      <c r="AN707" s="1757"/>
      <c r="AO707" s="1757"/>
      <c r="AP707" s="1757"/>
      <c r="AQ707" s="1757"/>
      <c r="AR707" s="1757"/>
      <c r="AS707" s="1757"/>
      <c r="AT707" s="1757"/>
      <c r="AU707" s="1757"/>
      <c r="AV707" s="1757"/>
      <c r="AW707" s="1757"/>
      <c r="AX707" s="1757"/>
      <c r="AY707" s="1757"/>
      <c r="AZ707" s="1757"/>
      <c r="BA707" s="1757"/>
      <c r="BB707" s="1757"/>
      <c r="BC707" s="1757"/>
      <c r="BD707" s="1757"/>
      <c r="BE707" s="1757"/>
      <c r="BF707" s="1757"/>
      <c r="BG707" s="1757"/>
      <c r="BH707" s="1757"/>
      <c r="BI707" s="1757"/>
      <c r="BJ707" s="1757"/>
      <c r="BK707" s="1757"/>
      <c r="BL707" s="1757"/>
      <c r="BM707" s="1757"/>
      <c r="BN707" s="1757"/>
      <c r="BO707" s="1757"/>
      <c r="BP707" s="1757"/>
      <c r="BQ707" s="1757"/>
      <c r="BR707" s="1757"/>
      <c r="BS707" s="1757"/>
      <c r="BT707" s="1757"/>
      <c r="BU707" s="1757"/>
      <c r="BV707" s="1757"/>
      <c r="BW707" s="1757"/>
      <c r="BX707" s="1757"/>
      <c r="BY707" s="1757"/>
      <c r="BZ707" s="1757"/>
      <c r="CA707" s="1757"/>
      <c r="CB707" s="1757"/>
      <c r="CC707" s="1757"/>
      <c r="CD707" s="1757"/>
      <c r="CE707" s="1757"/>
      <c r="CF707" s="1757"/>
      <c r="CG707" s="1757"/>
      <c r="CH707" s="1757"/>
      <c r="CI707" s="1757"/>
      <c r="CJ707" s="1757"/>
      <c r="CK707" s="1757"/>
      <c r="CL707" s="1757"/>
      <c r="CM707" s="1757"/>
      <c r="CN707" s="1757"/>
      <c r="CO707" s="1757"/>
      <c r="CP707" s="1757"/>
      <c r="CQ707" s="1757"/>
      <c r="CR707" s="1757"/>
      <c r="CS707" s="1757"/>
      <c r="CT707" s="1757"/>
      <c r="CU707" s="1757"/>
      <c r="CV707" s="1757"/>
      <c r="CW707" s="1757"/>
      <c r="CX707" s="1757"/>
      <c r="CY707" s="1757"/>
      <c r="CZ707" s="1757"/>
      <c r="DA707" s="1757"/>
      <c r="DB707" s="1757"/>
      <c r="DC707" s="1757"/>
      <c r="DD707" s="1757"/>
      <c r="DE707" s="1757"/>
      <c r="DF707" s="1757"/>
      <c r="DG707" s="1757"/>
      <c r="DH707" s="1757"/>
      <c r="DI707" s="1757"/>
      <c r="DJ707" s="1757"/>
      <c r="DK707" s="1757"/>
      <c r="DL707" s="1757"/>
      <c r="DM707" s="1757"/>
      <c r="DN707" s="1757"/>
      <c r="DO707" s="1757"/>
      <c r="DP707" s="1757"/>
      <c r="DQ707" s="1757"/>
      <c r="DR707" s="1757"/>
      <c r="DS707" s="1757"/>
      <c r="DT707" s="1757"/>
      <c r="DU707" s="1757"/>
      <c r="DV707" s="1757"/>
      <c r="DW707" s="1757"/>
      <c r="DX707" s="1757"/>
      <c r="DY707" s="1757"/>
      <c r="DZ707" s="1757"/>
      <c r="EA707" s="1757"/>
      <c r="EB707" s="1757"/>
      <c r="EC707" s="1757"/>
      <c r="ED707" s="1757"/>
      <c r="EE707" s="1757"/>
      <c r="EF707" s="1757"/>
      <c r="EG707" s="1757"/>
      <c r="EH707" s="1757"/>
      <c r="EI707" s="1757"/>
      <c r="EJ707" s="1757"/>
      <c r="EK707" s="1757"/>
      <c r="EL707" s="1757"/>
      <c r="EM707" s="1757"/>
      <c r="EN707" s="1757"/>
      <c r="EO707" s="1757"/>
      <c r="EP707" s="1757"/>
      <c r="EQ707" s="1757"/>
      <c r="ER707" s="1757"/>
      <c r="ES707" s="1757"/>
      <c r="ET707" s="1757"/>
      <c r="EU707" s="1757"/>
      <c r="EV707" s="1757"/>
      <c r="EW707" s="1757"/>
      <c r="EX707" s="1757"/>
      <c r="EY707" s="1757"/>
      <c r="EZ707" s="1757"/>
      <c r="FA707" s="1757"/>
      <c r="FB707" s="1757"/>
      <c r="FC707" s="1757"/>
      <c r="FD707" s="1757"/>
      <c r="FE707" s="1757"/>
      <c r="FF707" s="1757"/>
      <c r="FG707" s="1757"/>
      <c r="FH707" s="1757"/>
      <c r="FI707" s="1757"/>
    </row>
    <row r="708" spans="1:165">
      <c r="A708" s="1757"/>
      <c r="B708" s="1757"/>
      <c r="C708" s="1757"/>
      <c r="D708" s="1757"/>
      <c r="E708" s="1757"/>
      <c r="F708" s="1757"/>
      <c r="G708" s="1757"/>
      <c r="H708" s="1757"/>
      <c r="I708" s="1757"/>
      <c r="J708" s="1757"/>
      <c r="K708" s="1757"/>
      <c r="L708" s="1757"/>
      <c r="M708" s="1757"/>
      <c r="N708" s="1757"/>
      <c r="O708" s="1757"/>
      <c r="P708" s="1757"/>
      <c r="Q708" s="1757"/>
      <c r="R708" s="1757"/>
      <c r="S708" s="1757"/>
      <c r="T708" s="1757"/>
      <c r="U708" s="1757"/>
      <c r="V708" s="1757"/>
      <c r="W708" s="1757"/>
      <c r="X708" s="1757"/>
      <c r="Y708" s="1757"/>
      <c r="Z708" s="1757"/>
      <c r="AA708" s="1757"/>
      <c r="AB708" s="1757"/>
      <c r="AC708" s="1757"/>
      <c r="AD708" s="1757"/>
      <c r="AE708" s="1757"/>
      <c r="AF708" s="1757"/>
      <c r="AG708" s="1757"/>
      <c r="AH708" s="1757"/>
      <c r="AI708" s="1757"/>
      <c r="AJ708" s="1757"/>
      <c r="AK708" s="1757"/>
      <c r="AL708" s="1757"/>
      <c r="AM708" s="1757"/>
      <c r="AN708" s="1757"/>
      <c r="AO708" s="1757"/>
      <c r="AP708" s="1757"/>
      <c r="AQ708" s="1757"/>
      <c r="AR708" s="1757"/>
      <c r="AS708" s="1757"/>
      <c r="AT708" s="1757"/>
      <c r="AU708" s="1757"/>
      <c r="AV708" s="1757"/>
      <c r="AW708" s="1757"/>
      <c r="AX708" s="1757"/>
      <c r="AY708" s="1757"/>
      <c r="AZ708" s="1757"/>
      <c r="BA708" s="1757"/>
      <c r="BB708" s="1757"/>
      <c r="BC708" s="1757"/>
      <c r="BD708" s="1757"/>
      <c r="BE708" s="1757"/>
      <c r="BF708" s="1757"/>
      <c r="BG708" s="1757"/>
      <c r="BH708" s="1757"/>
      <c r="BI708" s="1757"/>
      <c r="BJ708" s="1757"/>
      <c r="BK708" s="1757"/>
      <c r="BL708" s="1757"/>
      <c r="BM708" s="1757"/>
      <c r="BN708" s="1757"/>
      <c r="BO708" s="1757"/>
      <c r="BP708" s="1757"/>
      <c r="BQ708" s="1757"/>
      <c r="BR708" s="1757"/>
      <c r="BS708" s="1757"/>
      <c r="BT708" s="1757"/>
      <c r="BU708" s="1757"/>
      <c r="BV708" s="1757"/>
      <c r="BW708" s="1757"/>
      <c r="BX708" s="1757"/>
      <c r="BY708" s="1757"/>
      <c r="BZ708" s="1757"/>
      <c r="CA708" s="1757"/>
      <c r="CB708" s="1757"/>
      <c r="CC708" s="1757"/>
      <c r="CD708" s="1757"/>
      <c r="CE708" s="1757"/>
      <c r="CF708" s="1757"/>
      <c r="CG708" s="1757"/>
      <c r="CH708" s="1757"/>
      <c r="CI708" s="1757"/>
      <c r="CJ708" s="1757"/>
      <c r="CK708" s="1757"/>
      <c r="CL708" s="1757"/>
      <c r="CM708" s="1757"/>
      <c r="CN708" s="1757"/>
      <c r="CO708" s="1757"/>
      <c r="CP708" s="1757"/>
      <c r="CQ708" s="1757"/>
      <c r="CR708" s="1757"/>
      <c r="CS708" s="1757"/>
      <c r="CT708" s="1757"/>
      <c r="CU708" s="1757"/>
      <c r="CV708" s="1757"/>
      <c r="CW708" s="1757"/>
      <c r="CX708" s="1757"/>
      <c r="CY708" s="1757"/>
      <c r="CZ708" s="1757"/>
      <c r="DA708" s="1757"/>
      <c r="DB708" s="1757"/>
      <c r="DC708" s="1757"/>
      <c r="DD708" s="1757"/>
      <c r="DE708" s="1757"/>
      <c r="DF708" s="1757"/>
      <c r="DG708" s="1757"/>
      <c r="DH708" s="1757"/>
      <c r="DI708" s="1757"/>
      <c r="DJ708" s="1757"/>
      <c r="DK708" s="1757"/>
      <c r="DL708" s="1757"/>
      <c r="DM708" s="1757"/>
      <c r="DN708" s="1757"/>
      <c r="DO708" s="1757"/>
      <c r="DP708" s="1757"/>
      <c r="DQ708" s="1757"/>
      <c r="DR708" s="1757"/>
      <c r="DS708" s="1757"/>
      <c r="DT708" s="1757"/>
      <c r="DU708" s="1757"/>
      <c r="DV708" s="1757"/>
      <c r="DW708" s="1757"/>
      <c r="DX708" s="1757"/>
      <c r="DY708" s="1757"/>
      <c r="DZ708" s="1757"/>
      <c r="EA708" s="1757"/>
      <c r="EB708" s="1757"/>
      <c r="EC708" s="1757"/>
      <c r="ED708" s="1757"/>
      <c r="EE708" s="1757"/>
      <c r="EF708" s="1757"/>
      <c r="EG708" s="1757"/>
      <c r="EH708" s="1757"/>
      <c r="EI708" s="1757"/>
      <c r="EJ708" s="1757"/>
      <c r="EK708" s="1757"/>
      <c r="EL708" s="1757"/>
      <c r="EM708" s="1757"/>
      <c r="EN708" s="1757"/>
      <c r="EO708" s="1757"/>
      <c r="EP708" s="1757"/>
      <c r="EQ708" s="1757"/>
      <c r="ER708" s="1757"/>
      <c r="ES708" s="1757"/>
      <c r="ET708" s="1757"/>
      <c r="EU708" s="1757"/>
      <c r="EV708" s="1757"/>
      <c r="EW708" s="1757"/>
      <c r="EX708" s="1757"/>
      <c r="EY708" s="1757"/>
      <c r="EZ708" s="1757"/>
      <c r="FA708" s="1757"/>
      <c r="FB708" s="1757"/>
      <c r="FC708" s="1757"/>
      <c r="FD708" s="1757"/>
      <c r="FE708" s="1757"/>
      <c r="FF708" s="1757"/>
      <c r="FG708" s="1757"/>
      <c r="FH708" s="1757"/>
      <c r="FI708" s="1757"/>
    </row>
    <row r="709" spans="1:165">
      <c r="A709" s="1757"/>
      <c r="B709" s="1757"/>
      <c r="C709" s="1757"/>
      <c r="D709" s="1757"/>
      <c r="E709" s="1757"/>
      <c r="F709" s="1757"/>
      <c r="G709" s="1757"/>
      <c r="H709" s="1757"/>
      <c r="I709" s="1757"/>
      <c r="J709" s="1757"/>
      <c r="K709" s="1757"/>
      <c r="L709" s="1757"/>
      <c r="M709" s="1757"/>
      <c r="N709" s="1757"/>
      <c r="O709" s="1757"/>
      <c r="P709" s="1757"/>
      <c r="Q709" s="1757"/>
      <c r="R709" s="1757"/>
      <c r="S709" s="1757"/>
      <c r="T709" s="1757"/>
      <c r="U709" s="1757"/>
      <c r="V709" s="1757"/>
      <c r="W709" s="1757"/>
      <c r="X709" s="1757"/>
      <c r="Y709" s="1757"/>
      <c r="Z709" s="1757"/>
      <c r="AA709" s="1757"/>
      <c r="AB709" s="1757"/>
      <c r="AC709" s="1757"/>
      <c r="AD709" s="1757"/>
      <c r="AE709" s="1757"/>
      <c r="AF709" s="1757"/>
      <c r="AG709" s="1757"/>
      <c r="AH709" s="1757"/>
      <c r="AI709" s="1757"/>
      <c r="AJ709" s="1757"/>
      <c r="AK709" s="1757"/>
      <c r="AL709" s="1757"/>
      <c r="AM709" s="1757"/>
      <c r="AN709" s="1757"/>
      <c r="AO709" s="1757"/>
      <c r="AP709" s="1757"/>
      <c r="AQ709" s="1757"/>
      <c r="AR709" s="1757"/>
      <c r="AS709" s="1757"/>
      <c r="AT709" s="1757"/>
      <c r="AU709" s="1757"/>
      <c r="AV709" s="1757"/>
      <c r="AW709" s="1757"/>
      <c r="AX709" s="1757"/>
      <c r="AY709" s="1757"/>
      <c r="AZ709" s="1757"/>
      <c r="BA709" s="1757"/>
      <c r="BB709" s="1757"/>
      <c r="BC709" s="1757"/>
      <c r="BD709" s="1757"/>
      <c r="BE709" s="1757"/>
      <c r="BF709" s="1757"/>
      <c r="BG709" s="1757"/>
      <c r="BH709" s="1757"/>
      <c r="BI709" s="1757"/>
      <c r="BJ709" s="1757"/>
      <c r="BK709" s="1757"/>
      <c r="BL709" s="1757"/>
      <c r="BM709" s="1757"/>
      <c r="BN709" s="1757"/>
      <c r="BO709" s="1757"/>
      <c r="BP709" s="1757"/>
      <c r="BQ709" s="1757"/>
      <c r="BR709" s="1757"/>
      <c r="BS709" s="1757"/>
      <c r="BT709" s="1757"/>
      <c r="BU709" s="1757"/>
      <c r="BV709" s="1757"/>
      <c r="BW709" s="1757"/>
      <c r="BX709" s="1757"/>
      <c r="BY709" s="1757"/>
      <c r="BZ709" s="1757"/>
      <c r="CA709" s="1757"/>
      <c r="CB709" s="1757"/>
      <c r="CC709" s="1757"/>
      <c r="CD709" s="1757"/>
      <c r="CE709" s="1757"/>
      <c r="CF709" s="1757"/>
      <c r="CG709" s="1757"/>
      <c r="CH709" s="1757"/>
      <c r="CI709" s="1757"/>
      <c r="CJ709" s="1757"/>
      <c r="CK709" s="1757"/>
      <c r="CL709" s="1757"/>
      <c r="CM709" s="1757"/>
      <c r="CN709" s="1757"/>
      <c r="CO709" s="1757"/>
      <c r="CP709" s="1757"/>
      <c r="CQ709" s="1757"/>
      <c r="CR709" s="1757"/>
      <c r="CS709" s="1757"/>
      <c r="CT709" s="1757"/>
      <c r="CU709" s="1757"/>
      <c r="CV709" s="1757"/>
      <c r="CW709" s="1757"/>
      <c r="CX709" s="1757"/>
      <c r="CY709" s="1757"/>
      <c r="CZ709" s="1757"/>
      <c r="DA709" s="1757"/>
      <c r="DB709" s="1757"/>
      <c r="DC709" s="1757"/>
      <c r="DD709" s="1757"/>
      <c r="DE709" s="1757"/>
      <c r="DF709" s="1757"/>
      <c r="DG709" s="1757"/>
      <c r="DH709" s="1757"/>
      <c r="DI709" s="1757"/>
      <c r="DJ709" s="1757"/>
      <c r="DK709" s="1757"/>
      <c r="DL709" s="1757"/>
      <c r="DM709" s="1757"/>
      <c r="DN709" s="1757"/>
      <c r="DO709" s="1757"/>
      <c r="DP709" s="1757"/>
      <c r="DQ709" s="1757"/>
      <c r="DR709" s="1757"/>
      <c r="DS709" s="1757"/>
      <c r="DT709" s="1757"/>
      <c r="DU709" s="1757"/>
      <c r="DV709" s="1757"/>
      <c r="DW709" s="1757"/>
      <c r="DX709" s="1757"/>
      <c r="DY709" s="1757"/>
      <c r="DZ709" s="1757"/>
      <c r="EA709" s="1757"/>
      <c r="EB709" s="1757"/>
      <c r="EC709" s="1757"/>
      <c r="ED709" s="1757"/>
      <c r="EE709" s="1757"/>
      <c r="EF709" s="1757"/>
      <c r="EG709" s="1757"/>
      <c r="EH709" s="1757"/>
      <c r="EI709" s="1757"/>
      <c r="EJ709" s="1757"/>
      <c r="EK709" s="1757"/>
      <c r="EL709" s="1757"/>
      <c r="EM709" s="1757"/>
      <c r="EN709" s="1757"/>
      <c r="EO709" s="1757"/>
      <c r="EP709" s="1757"/>
      <c r="EQ709" s="1757"/>
      <c r="ER709" s="1757"/>
      <c r="ES709" s="1757"/>
      <c r="ET709" s="1757"/>
      <c r="EU709" s="1757"/>
      <c r="EV709" s="1757"/>
      <c r="EW709" s="1757"/>
      <c r="EX709" s="1757"/>
      <c r="EY709" s="1757"/>
      <c r="EZ709" s="1757"/>
      <c r="FA709" s="1757"/>
      <c r="FB709" s="1757"/>
      <c r="FC709" s="1757"/>
      <c r="FD709" s="1757"/>
      <c r="FE709" s="1757"/>
      <c r="FF709" s="1757"/>
      <c r="FG709" s="1757"/>
      <c r="FH709" s="1757"/>
      <c r="FI709" s="1757"/>
    </row>
    <row r="710" spans="1:165">
      <c r="A710" s="1757"/>
      <c r="B710" s="1757"/>
      <c r="C710" s="1757"/>
      <c r="D710" s="1757"/>
      <c r="E710" s="1757"/>
      <c r="F710" s="1757"/>
      <c r="G710" s="1757"/>
      <c r="H710" s="1757"/>
      <c r="I710" s="1757"/>
      <c r="J710" s="1757"/>
      <c r="K710" s="1757"/>
      <c r="L710" s="1757"/>
      <c r="M710" s="1757"/>
      <c r="N710" s="1757"/>
      <c r="O710" s="1757"/>
      <c r="P710" s="1757"/>
      <c r="Q710" s="1757"/>
      <c r="R710" s="1757"/>
      <c r="S710" s="1757"/>
      <c r="T710" s="1757"/>
      <c r="U710" s="1757"/>
      <c r="V710" s="1757"/>
      <c r="W710" s="1757"/>
      <c r="X710" s="1757"/>
      <c r="Y710" s="1757"/>
      <c r="Z710" s="1757"/>
      <c r="AA710" s="1757"/>
      <c r="AB710" s="1757"/>
      <c r="AC710" s="1757"/>
      <c r="AD710" s="1757"/>
      <c r="AE710" s="1757"/>
      <c r="AF710" s="1757"/>
      <c r="AG710" s="1757"/>
      <c r="AH710" s="1757"/>
      <c r="AI710" s="1757"/>
      <c r="AJ710" s="1757"/>
      <c r="AK710" s="1757"/>
      <c r="AL710" s="1757"/>
      <c r="AM710" s="1757"/>
      <c r="AN710" s="1757"/>
      <c r="AO710" s="1757"/>
      <c r="AP710" s="1757"/>
      <c r="AQ710" s="1757"/>
      <c r="AR710" s="1757"/>
      <c r="AS710" s="1757"/>
      <c r="AT710" s="1757"/>
      <c r="AU710" s="1757"/>
      <c r="AV710" s="1757"/>
      <c r="AW710" s="1757"/>
      <c r="AX710" s="1757"/>
      <c r="AY710" s="1757"/>
      <c r="AZ710" s="1757"/>
      <c r="BA710" s="1757"/>
      <c r="BB710" s="1757"/>
      <c r="BC710" s="1757"/>
      <c r="BD710" s="1757"/>
      <c r="BE710" s="1757"/>
      <c r="BF710" s="1757"/>
      <c r="BG710" s="1757"/>
      <c r="BH710" s="1757"/>
      <c r="BI710" s="1757"/>
      <c r="BJ710" s="1757"/>
      <c r="BK710" s="1757"/>
      <c r="BL710" s="1757"/>
      <c r="BM710" s="1757"/>
      <c r="BN710" s="1757"/>
      <c r="BO710" s="1757"/>
      <c r="BP710" s="1757"/>
      <c r="BQ710" s="1757"/>
      <c r="BR710" s="1757"/>
      <c r="BS710" s="1757"/>
      <c r="BT710" s="1757"/>
      <c r="BU710" s="1757"/>
      <c r="BV710" s="1757"/>
      <c r="BW710" s="1757"/>
      <c r="BX710" s="1757"/>
      <c r="BY710" s="1757"/>
      <c r="BZ710" s="1757"/>
      <c r="CA710" s="1757"/>
      <c r="CB710" s="1757"/>
      <c r="CC710" s="1757"/>
      <c r="CD710" s="1757"/>
      <c r="CE710" s="1757"/>
      <c r="CF710" s="1757"/>
      <c r="CG710" s="1757"/>
      <c r="CH710" s="1757"/>
      <c r="CI710" s="1757"/>
      <c r="CJ710" s="1757"/>
      <c r="CK710" s="1757"/>
      <c r="CL710" s="1757"/>
      <c r="CM710" s="1757"/>
      <c r="CN710" s="1757"/>
      <c r="CO710" s="1757"/>
      <c r="CP710" s="1757"/>
      <c r="CQ710" s="1757"/>
      <c r="CR710" s="1757"/>
      <c r="CS710" s="1757"/>
      <c r="CT710" s="1757"/>
      <c r="CU710" s="1757"/>
      <c r="CV710" s="1757"/>
      <c r="CW710" s="1757"/>
      <c r="CX710" s="1757"/>
      <c r="CY710" s="1757"/>
      <c r="CZ710" s="1757"/>
      <c r="DA710" s="1757"/>
      <c r="DB710" s="1757"/>
      <c r="DC710" s="1757"/>
      <c r="DD710" s="1757"/>
      <c r="DE710" s="1757"/>
      <c r="DF710" s="1757"/>
      <c r="DG710" s="1757"/>
      <c r="DH710" s="1757"/>
      <c r="DI710" s="1757"/>
      <c r="DJ710" s="1757"/>
      <c r="DK710" s="1757"/>
      <c r="DL710" s="1757"/>
      <c r="DM710" s="1757"/>
      <c r="DN710" s="1757"/>
      <c r="DO710" s="1757"/>
      <c r="DP710" s="1757"/>
      <c r="DQ710" s="1757"/>
      <c r="DR710" s="1757"/>
      <c r="DS710" s="1757"/>
      <c r="DT710" s="1757"/>
      <c r="DU710" s="1757"/>
      <c r="DV710" s="1757"/>
      <c r="DW710" s="1757"/>
      <c r="DX710" s="1757"/>
      <c r="DY710" s="1757"/>
      <c r="DZ710" s="1757"/>
      <c r="EA710" s="1757"/>
      <c r="EB710" s="1757"/>
      <c r="EC710" s="1757"/>
      <c r="ED710" s="1757"/>
      <c r="EE710" s="1757"/>
      <c r="EF710" s="1757"/>
      <c r="EG710" s="1757"/>
      <c r="EH710" s="1757"/>
      <c r="EI710" s="1757"/>
      <c r="EJ710" s="1757"/>
      <c r="EK710" s="1757"/>
      <c r="EL710" s="1757"/>
      <c r="EM710" s="1757"/>
      <c r="EN710" s="1757"/>
      <c r="EO710" s="1757"/>
      <c r="EP710" s="1757"/>
      <c r="EQ710" s="1757"/>
      <c r="ER710" s="1757"/>
      <c r="ES710" s="1757"/>
      <c r="ET710" s="1757"/>
      <c r="EU710" s="1757"/>
      <c r="EV710" s="1757"/>
      <c r="EW710" s="1757"/>
      <c r="EX710" s="1757"/>
      <c r="EY710" s="1757"/>
      <c r="EZ710" s="1757"/>
      <c r="FA710" s="1757"/>
      <c r="FB710" s="1757"/>
      <c r="FC710" s="1757"/>
      <c r="FD710" s="1757"/>
      <c r="FE710" s="1757"/>
      <c r="FF710" s="1757"/>
      <c r="FG710" s="1757"/>
      <c r="FH710" s="1757"/>
      <c r="FI710" s="1757"/>
    </row>
    <row r="711" spans="1:165">
      <c r="A711" s="1757"/>
      <c r="B711" s="1757"/>
      <c r="C711" s="1757"/>
      <c r="D711" s="1757"/>
      <c r="E711" s="1757"/>
      <c r="F711" s="1757"/>
      <c r="G711" s="1757"/>
      <c r="H711" s="1757"/>
      <c r="I711" s="1757"/>
      <c r="J711" s="1757"/>
      <c r="K711" s="1757"/>
      <c r="L711" s="1757"/>
      <c r="M711" s="1757"/>
      <c r="N711" s="1757"/>
      <c r="O711" s="1757"/>
      <c r="P711" s="1757"/>
      <c r="Q711" s="1757"/>
      <c r="R711" s="1757"/>
      <c r="S711" s="1757"/>
      <c r="T711" s="1757"/>
      <c r="U711" s="1757"/>
      <c r="V711" s="1757"/>
      <c r="W711" s="1757"/>
      <c r="X711" s="1757"/>
      <c r="Y711" s="1757"/>
      <c r="Z711" s="1757"/>
      <c r="AA711" s="1757"/>
      <c r="AB711" s="1757"/>
      <c r="AC711" s="1757"/>
      <c r="AD711" s="1757"/>
      <c r="AE711" s="1757"/>
      <c r="AF711" s="1757"/>
      <c r="AG711" s="1757"/>
      <c r="AH711" s="1757"/>
      <c r="AI711" s="1757"/>
      <c r="AJ711" s="1757"/>
      <c r="AK711" s="1757"/>
      <c r="AL711" s="1757"/>
      <c r="AM711" s="1757"/>
      <c r="AN711" s="1757"/>
      <c r="AO711" s="1757"/>
      <c r="AP711" s="1757"/>
      <c r="AQ711" s="1757"/>
      <c r="AR711" s="1757"/>
      <c r="AS711" s="1757"/>
      <c r="AT711" s="1757"/>
      <c r="AU711" s="1757"/>
      <c r="AV711" s="1757"/>
      <c r="AW711" s="1757"/>
      <c r="AX711" s="1757"/>
      <c r="AY711" s="1757"/>
      <c r="AZ711" s="1757"/>
      <c r="BA711" s="1757"/>
      <c r="BB711" s="1757"/>
      <c r="BC711" s="1757"/>
      <c r="BD711" s="1757"/>
      <c r="BE711" s="1757"/>
      <c r="BF711" s="1757"/>
      <c r="BG711" s="1757"/>
      <c r="BH711" s="1757"/>
      <c r="BI711" s="1757"/>
      <c r="BJ711" s="1757"/>
      <c r="BK711" s="1757"/>
      <c r="BL711" s="1757"/>
      <c r="BM711" s="1757"/>
      <c r="BN711" s="1757"/>
      <c r="BO711" s="1757"/>
      <c r="BP711" s="1757"/>
      <c r="BQ711" s="1757"/>
      <c r="BR711" s="1757"/>
      <c r="BS711" s="1757"/>
      <c r="BT711" s="1757"/>
      <c r="BU711" s="1757"/>
      <c r="BV711" s="1757"/>
      <c r="BW711" s="1757"/>
      <c r="BX711" s="1757"/>
      <c r="BY711" s="1757"/>
      <c r="BZ711" s="1757"/>
      <c r="CA711" s="1757"/>
      <c r="CB711" s="1757"/>
      <c r="CC711" s="1757"/>
      <c r="CD711" s="1757"/>
      <c r="CE711" s="1757"/>
      <c r="CF711" s="1757"/>
      <c r="CG711" s="1757"/>
      <c r="CH711" s="1757"/>
      <c r="CI711" s="1757"/>
      <c r="CJ711" s="1757"/>
      <c r="CK711" s="1757"/>
      <c r="CL711" s="1757"/>
      <c r="CM711" s="1757"/>
      <c r="CN711" s="1757"/>
      <c r="CO711" s="1757"/>
      <c r="CP711" s="1757"/>
      <c r="CQ711" s="1757"/>
      <c r="CR711" s="1757"/>
      <c r="CS711" s="1757"/>
      <c r="CT711" s="1757"/>
      <c r="CU711" s="1757"/>
      <c r="CV711" s="1757"/>
      <c r="CW711" s="1757"/>
      <c r="CX711" s="1757"/>
      <c r="CY711" s="1757"/>
      <c r="CZ711" s="1757"/>
      <c r="DA711" s="1757"/>
      <c r="DB711" s="1757"/>
      <c r="DC711" s="1757"/>
      <c r="DD711" s="1757"/>
      <c r="DE711" s="1757"/>
      <c r="DF711" s="1757"/>
      <c r="DG711" s="1757"/>
      <c r="DH711" s="1757"/>
      <c r="DI711" s="1757"/>
      <c r="DJ711" s="1757"/>
      <c r="DK711" s="1757"/>
      <c r="DL711" s="1757"/>
      <c r="DM711" s="1757"/>
      <c r="DN711" s="1757"/>
      <c r="DO711" s="1757"/>
      <c r="DP711" s="1757"/>
      <c r="DQ711" s="1757"/>
      <c r="DR711" s="1757"/>
      <c r="DS711" s="1757"/>
      <c r="DT711" s="1757"/>
      <c r="DU711" s="1757"/>
      <c r="DV711" s="1757"/>
      <c r="DW711" s="1757"/>
      <c r="DX711" s="1757"/>
      <c r="DY711" s="1757"/>
      <c r="DZ711" s="1757"/>
      <c r="EA711" s="1757"/>
      <c r="EB711" s="1757"/>
      <c r="EC711" s="1757"/>
      <c r="ED711" s="1757"/>
      <c r="EE711" s="1757"/>
      <c r="EF711" s="1757"/>
      <c r="EG711" s="1757"/>
      <c r="EH711" s="1757"/>
      <c r="EI711" s="1757"/>
      <c r="EJ711" s="1757"/>
      <c r="EK711" s="1757"/>
      <c r="EL711" s="1757"/>
      <c r="EM711" s="1757"/>
      <c r="EN711" s="1757"/>
      <c r="EO711" s="1757"/>
      <c r="EP711" s="1757"/>
      <c r="EQ711" s="1757"/>
      <c r="ER711" s="1757"/>
      <c r="ES711" s="1757"/>
      <c r="ET711" s="1757"/>
      <c r="EU711" s="1757"/>
      <c r="EV711" s="1757"/>
      <c r="EW711" s="1757"/>
      <c r="EX711" s="1757"/>
      <c r="EY711" s="1757"/>
      <c r="EZ711" s="1757"/>
      <c r="FA711" s="1757"/>
      <c r="FB711" s="1757"/>
      <c r="FC711" s="1757"/>
      <c r="FD711" s="1757"/>
      <c r="FE711" s="1757"/>
      <c r="FF711" s="1757"/>
      <c r="FG711" s="1757"/>
      <c r="FH711" s="1757"/>
      <c r="FI711" s="1757"/>
    </row>
    <row r="712" spans="1:165">
      <c r="A712" s="1757"/>
      <c r="B712" s="1757"/>
      <c r="C712" s="1757"/>
      <c r="D712" s="1757"/>
      <c r="E712" s="1757"/>
      <c r="F712" s="1757"/>
      <c r="G712" s="1757"/>
      <c r="H712" s="1757"/>
      <c r="I712" s="1757"/>
      <c r="J712" s="1757"/>
      <c r="K712" s="1757"/>
      <c r="L712" s="1757"/>
      <c r="M712" s="1757"/>
      <c r="N712" s="1757"/>
      <c r="O712" s="1757"/>
      <c r="P712" s="1757"/>
      <c r="Q712" s="1757"/>
      <c r="R712" s="1757"/>
      <c r="S712" s="1757"/>
      <c r="T712" s="1757"/>
      <c r="U712" s="1757"/>
      <c r="V712" s="1757"/>
      <c r="W712" s="1757"/>
      <c r="X712" s="1757"/>
      <c r="Y712" s="1757"/>
      <c r="Z712" s="1757"/>
      <c r="AA712" s="1757"/>
      <c r="AB712" s="1757"/>
      <c r="AC712" s="1757"/>
      <c r="AD712" s="1757"/>
      <c r="AE712" s="1757"/>
      <c r="AF712" s="1757"/>
      <c r="AG712" s="1757"/>
      <c r="AH712" s="1757"/>
      <c r="AI712" s="1757"/>
      <c r="AJ712" s="1757"/>
      <c r="AK712" s="1757"/>
      <c r="AL712" s="1757"/>
      <c r="AM712" s="1757"/>
      <c r="AN712" s="1757"/>
      <c r="AO712" s="1757"/>
      <c r="AP712" s="1757"/>
      <c r="AQ712" s="1757"/>
      <c r="AR712" s="1757"/>
      <c r="AS712" s="1757"/>
      <c r="AT712" s="1757"/>
      <c r="AU712" s="1757"/>
      <c r="AV712" s="1757"/>
      <c r="AW712" s="1757"/>
      <c r="AX712" s="1757"/>
      <c r="AY712" s="1757"/>
      <c r="AZ712" s="1757"/>
      <c r="BA712" s="1757"/>
      <c r="BB712" s="1757"/>
      <c r="BC712" s="1757"/>
      <c r="BD712" s="1757"/>
      <c r="BE712" s="1757"/>
      <c r="BF712" s="1757"/>
      <c r="BG712" s="1757"/>
      <c r="BH712" s="1757"/>
      <c r="BI712" s="1757"/>
      <c r="BJ712" s="1757"/>
      <c r="BK712" s="1757"/>
      <c r="BL712" s="1757"/>
      <c r="BM712" s="1757"/>
      <c r="BN712" s="1757"/>
      <c r="BO712" s="1757"/>
      <c r="BP712" s="1757"/>
      <c r="BQ712" s="1757"/>
      <c r="BR712" s="1757"/>
      <c r="BS712" s="1757"/>
      <c r="BT712" s="1757"/>
      <c r="BU712" s="1757"/>
      <c r="BV712" s="1757"/>
      <c r="BW712" s="1757"/>
      <c r="BX712" s="1757"/>
      <c r="BY712" s="1757"/>
      <c r="BZ712" s="1757"/>
      <c r="CA712" s="1757"/>
      <c r="CB712" s="1757"/>
      <c r="CC712" s="1757"/>
      <c r="CD712" s="1757"/>
      <c r="CE712" s="1757"/>
      <c r="CF712" s="1757"/>
      <c r="CG712" s="1757"/>
      <c r="CH712" s="1757"/>
      <c r="CI712" s="1757"/>
      <c r="CJ712" s="1757"/>
      <c r="CK712" s="1757"/>
      <c r="CL712" s="1757"/>
      <c r="CM712" s="1757"/>
      <c r="CN712" s="1757"/>
      <c r="CO712" s="1757"/>
      <c r="CP712" s="1757"/>
      <c r="CQ712" s="1757"/>
      <c r="CR712" s="1757"/>
      <c r="CS712" s="1757"/>
      <c r="CT712" s="1757"/>
      <c r="CU712" s="1757"/>
      <c r="CV712" s="1757"/>
      <c r="CW712" s="1757"/>
      <c r="CX712" s="1757"/>
      <c r="CY712" s="1757"/>
      <c r="CZ712" s="1757"/>
      <c r="DA712" s="1757"/>
      <c r="DB712" s="1757"/>
      <c r="DC712" s="1757"/>
      <c r="DD712" s="1757"/>
      <c r="DE712" s="1757"/>
      <c r="DF712" s="1757"/>
      <c r="DG712" s="1757"/>
      <c r="DH712" s="1757"/>
      <c r="DI712" s="1757"/>
      <c r="DJ712" s="1757"/>
      <c r="DK712" s="1757"/>
      <c r="DL712" s="1757"/>
      <c r="DM712" s="1757"/>
      <c r="DN712" s="1757"/>
      <c r="DO712" s="1757"/>
      <c r="DP712" s="1757"/>
      <c r="DQ712" s="1757"/>
      <c r="DR712" s="1757"/>
      <c r="DS712" s="1757"/>
      <c r="DT712" s="1757"/>
      <c r="DU712" s="1757"/>
      <c r="DV712" s="1757"/>
      <c r="DW712" s="1757"/>
      <c r="DX712" s="1757"/>
      <c r="DY712" s="1757"/>
      <c r="DZ712" s="1757"/>
      <c r="EA712" s="1757"/>
      <c r="EB712" s="1757"/>
      <c r="EC712" s="1757"/>
      <c r="ED712" s="1757"/>
      <c r="EE712" s="1757"/>
      <c r="EF712" s="1757"/>
      <c r="EG712" s="1757"/>
      <c r="EH712" s="1757"/>
      <c r="EI712" s="1757"/>
      <c r="EJ712" s="1757"/>
      <c r="EK712" s="1757"/>
      <c r="EL712" s="1757"/>
      <c r="EM712" s="1757"/>
      <c r="EN712" s="1757"/>
      <c r="EO712" s="1757"/>
      <c r="EP712" s="1757"/>
      <c r="EQ712" s="1757"/>
      <c r="ER712" s="1757"/>
      <c r="ES712" s="1757"/>
      <c r="ET712" s="1757"/>
      <c r="EU712" s="1757"/>
      <c r="EV712" s="1757"/>
      <c r="EW712" s="1757"/>
      <c r="EX712" s="1757"/>
      <c r="EY712" s="1757"/>
      <c r="EZ712" s="1757"/>
      <c r="FA712" s="1757"/>
      <c r="FB712" s="1757"/>
      <c r="FC712" s="1757"/>
      <c r="FD712" s="1757"/>
      <c r="FE712" s="1757"/>
      <c r="FF712" s="1757"/>
      <c r="FG712" s="1757"/>
      <c r="FH712" s="1757"/>
      <c r="FI712" s="1757"/>
    </row>
    <row r="713" spans="1:165">
      <c r="A713" s="1757"/>
      <c r="B713" s="1757"/>
      <c r="C713" s="1757"/>
      <c r="D713" s="1757"/>
      <c r="E713" s="1757"/>
      <c r="F713" s="1757"/>
      <c r="G713" s="1757"/>
      <c r="H713" s="1757"/>
      <c r="I713" s="1757"/>
      <c r="J713" s="1757"/>
      <c r="K713" s="1757"/>
      <c r="L713" s="1757"/>
      <c r="M713" s="1757"/>
      <c r="N713" s="1757"/>
      <c r="O713" s="1757"/>
      <c r="P713" s="1757"/>
      <c r="Q713" s="1757"/>
      <c r="R713" s="1757"/>
      <c r="S713" s="1757"/>
      <c r="T713" s="1757"/>
      <c r="U713" s="1757"/>
      <c r="V713" s="1757"/>
      <c r="W713" s="1757"/>
      <c r="X713" s="1757"/>
      <c r="Y713" s="1757"/>
      <c r="Z713" s="1757"/>
      <c r="AA713" s="1757"/>
      <c r="AB713" s="1757"/>
      <c r="AC713" s="1757"/>
      <c r="AD713" s="1757"/>
      <c r="AE713" s="1757"/>
      <c r="AF713" s="1757"/>
      <c r="AG713" s="1757"/>
      <c r="AH713" s="1757"/>
      <c r="AI713" s="1757"/>
      <c r="AJ713" s="1757"/>
      <c r="AK713" s="1757"/>
      <c r="AL713" s="1757"/>
      <c r="AM713" s="1757"/>
      <c r="AN713" s="1757"/>
      <c r="AO713" s="1757"/>
      <c r="AP713" s="1757"/>
      <c r="AQ713" s="1757"/>
      <c r="AR713" s="1757"/>
      <c r="AS713" s="1757"/>
      <c r="AT713" s="1757"/>
      <c r="AU713" s="1757"/>
      <c r="AV713" s="1757"/>
      <c r="AW713" s="1757"/>
      <c r="AX713" s="1757"/>
      <c r="AY713" s="1757"/>
      <c r="AZ713" s="1757"/>
      <c r="BA713" s="1757"/>
      <c r="BB713" s="1757"/>
      <c r="BC713" s="1757"/>
      <c r="BD713" s="1757"/>
      <c r="BE713" s="1757"/>
      <c r="BF713" s="1757"/>
      <c r="BG713" s="1757"/>
      <c r="BH713" s="1757"/>
      <c r="BI713" s="1757"/>
      <c r="BJ713" s="1757"/>
      <c r="BK713" s="1757"/>
      <c r="BL713" s="1757"/>
      <c r="BM713" s="1757"/>
      <c r="BN713" s="1757"/>
      <c r="BO713" s="1757"/>
      <c r="BP713" s="1757"/>
      <c r="BQ713" s="1757"/>
      <c r="BR713" s="1757"/>
      <c r="BS713" s="1757"/>
      <c r="BT713" s="1757"/>
      <c r="BU713" s="1757"/>
      <c r="BV713" s="1757"/>
      <c r="BW713" s="1757"/>
      <c r="BX713" s="1757"/>
      <c r="BY713" s="1757"/>
      <c r="BZ713" s="1757"/>
      <c r="CA713" s="1757"/>
      <c r="CB713" s="1757"/>
      <c r="CC713" s="1757"/>
      <c r="CD713" s="1757"/>
      <c r="CE713" s="1757"/>
      <c r="CF713" s="1757"/>
      <c r="CG713" s="1757"/>
      <c r="CH713" s="1757"/>
      <c r="CI713" s="1757"/>
      <c r="CJ713" s="1757"/>
      <c r="CK713" s="1757"/>
      <c r="CL713" s="1757"/>
      <c r="CM713" s="1757"/>
      <c r="CN713" s="1757"/>
      <c r="CO713" s="1757"/>
      <c r="CP713" s="1757"/>
      <c r="CQ713" s="1757"/>
      <c r="CR713" s="1757"/>
      <c r="CS713" s="1757"/>
      <c r="CT713" s="1757"/>
      <c r="CU713" s="1757"/>
      <c r="CV713" s="1757"/>
      <c r="CW713" s="1757"/>
      <c r="CX713" s="1757"/>
      <c r="CY713" s="1757"/>
      <c r="CZ713" s="1757"/>
      <c r="DA713" s="1757"/>
      <c r="DB713" s="1757"/>
      <c r="DC713" s="1757"/>
      <c r="DD713" s="1757"/>
      <c r="DE713" s="1757"/>
      <c r="DF713" s="1757"/>
      <c r="DG713" s="1757"/>
      <c r="DH713" s="1757"/>
      <c r="DI713" s="1757"/>
      <c r="DJ713" s="1757"/>
      <c r="DK713" s="1757"/>
      <c r="DL713" s="1757"/>
      <c r="DM713" s="1757"/>
      <c r="DN713" s="1757"/>
      <c r="DO713" s="1757"/>
      <c r="DP713" s="1757"/>
      <c r="DQ713" s="1757"/>
      <c r="DR713" s="1757"/>
      <c r="DS713" s="1757"/>
      <c r="DT713" s="1757"/>
      <c r="DU713" s="1757"/>
      <c r="DV713" s="1757"/>
      <c r="DW713" s="1757"/>
      <c r="DX713" s="1757"/>
      <c r="DY713" s="1757"/>
      <c r="DZ713" s="1757"/>
      <c r="EA713" s="1757"/>
      <c r="EB713" s="1757"/>
      <c r="EC713" s="1757"/>
      <c r="ED713" s="1757"/>
      <c r="EE713" s="1757"/>
      <c r="EF713" s="1757"/>
      <c r="EG713" s="1757"/>
      <c r="EH713" s="1757"/>
      <c r="EI713" s="1757"/>
      <c r="EJ713" s="1757"/>
      <c r="EK713" s="1757"/>
      <c r="EL713" s="1757"/>
      <c r="EM713" s="1757"/>
      <c r="EN713" s="1757"/>
      <c r="EO713" s="1757"/>
      <c r="EP713" s="1757"/>
      <c r="EQ713" s="1757"/>
      <c r="ER713" s="1757"/>
      <c r="ES713" s="1757"/>
      <c r="ET713" s="1757"/>
      <c r="EU713" s="1757"/>
      <c r="EV713" s="1757"/>
      <c r="EW713" s="1757"/>
      <c r="EX713" s="1757"/>
      <c r="EY713" s="1757"/>
      <c r="EZ713" s="1757"/>
      <c r="FA713" s="1757"/>
      <c r="FB713" s="1757"/>
      <c r="FC713" s="1757"/>
      <c r="FD713" s="1757"/>
      <c r="FE713" s="1757"/>
      <c r="FF713" s="1757"/>
      <c r="FG713" s="1757"/>
      <c r="FH713" s="1757"/>
      <c r="FI713" s="1757"/>
    </row>
    <row r="714" spans="1:165">
      <c r="A714" s="1757"/>
      <c r="B714" s="1757"/>
      <c r="C714" s="1757"/>
      <c r="D714" s="1757"/>
      <c r="E714" s="1757"/>
      <c r="F714" s="1757"/>
      <c r="G714" s="1757"/>
      <c r="H714" s="1757"/>
      <c r="I714" s="1757"/>
      <c r="J714" s="1757"/>
      <c r="K714" s="1757"/>
      <c r="L714" s="1757"/>
      <c r="M714" s="1757"/>
      <c r="N714" s="1757"/>
      <c r="O714" s="1757"/>
      <c r="P714" s="1757"/>
      <c r="Q714" s="1757"/>
      <c r="R714" s="1757"/>
      <c r="S714" s="1757"/>
      <c r="T714" s="1757"/>
      <c r="U714" s="1757"/>
      <c r="V714" s="1757"/>
      <c r="W714" s="1757"/>
      <c r="X714" s="1757"/>
      <c r="Y714" s="1757"/>
      <c r="Z714" s="1757"/>
      <c r="AA714" s="1757"/>
      <c r="AB714" s="1757"/>
      <c r="AC714" s="1757"/>
      <c r="AD714" s="1757"/>
      <c r="AE714" s="1757"/>
      <c r="AF714" s="1757"/>
      <c r="AG714" s="1757"/>
      <c r="AH714" s="1757"/>
      <c r="AI714" s="1757"/>
      <c r="AJ714" s="1757"/>
      <c r="AK714" s="1757"/>
      <c r="AL714" s="1757"/>
      <c r="AM714" s="1757"/>
      <c r="AN714" s="1757"/>
      <c r="AO714" s="1757"/>
      <c r="AP714" s="1757"/>
      <c r="AQ714" s="1757"/>
      <c r="AR714" s="1757"/>
      <c r="AS714" s="1757"/>
      <c r="AT714" s="1757"/>
      <c r="AU714" s="1757"/>
      <c r="AV714" s="1757"/>
      <c r="AW714" s="1757"/>
      <c r="AX714" s="1757"/>
      <c r="AY714" s="1757"/>
      <c r="AZ714" s="1757"/>
      <c r="BA714" s="1757"/>
      <c r="BB714" s="1757"/>
      <c r="BC714" s="1757"/>
      <c r="BD714" s="1757"/>
      <c r="BE714" s="1757"/>
      <c r="BF714" s="1757"/>
      <c r="BG714" s="1757"/>
      <c r="BH714" s="1757"/>
      <c r="BI714" s="1757"/>
      <c r="BJ714" s="1757"/>
      <c r="BK714" s="1757"/>
      <c r="BL714" s="1757"/>
      <c r="BM714" s="1757"/>
      <c r="BN714" s="1757"/>
      <c r="BO714" s="1757"/>
      <c r="BP714" s="1757"/>
      <c r="BQ714" s="1757"/>
      <c r="BR714" s="1757"/>
      <c r="BS714" s="1757"/>
      <c r="BT714" s="1757"/>
      <c r="BU714" s="1757"/>
      <c r="BV714" s="1757"/>
      <c r="BW714" s="1757"/>
      <c r="BX714" s="1757"/>
      <c r="BY714" s="1757"/>
      <c r="BZ714" s="1757"/>
      <c r="CA714" s="1757"/>
      <c r="CB714" s="1757"/>
      <c r="CC714" s="1757"/>
      <c r="CD714" s="1757"/>
      <c r="CE714" s="1757"/>
      <c r="CF714" s="1757"/>
      <c r="CG714" s="1757"/>
      <c r="CH714" s="1757"/>
      <c r="CI714" s="1757"/>
      <c r="CJ714" s="1757"/>
      <c r="CK714" s="1757"/>
      <c r="CL714" s="1757"/>
      <c r="CM714" s="1757"/>
      <c r="CN714" s="1757"/>
      <c r="CO714" s="1757"/>
      <c r="CP714" s="1757"/>
      <c r="CQ714" s="1757"/>
      <c r="CR714" s="1757"/>
      <c r="CS714" s="1757"/>
      <c r="CT714" s="1757"/>
      <c r="CU714" s="1757"/>
      <c r="CV714" s="1757"/>
      <c r="CW714" s="1757"/>
      <c r="CX714" s="1757"/>
      <c r="CY714" s="1757"/>
      <c r="CZ714" s="1757"/>
      <c r="DA714" s="1757"/>
      <c r="DB714" s="1757"/>
      <c r="DC714" s="1757"/>
      <c r="DD714" s="1757"/>
      <c r="DE714" s="1757"/>
      <c r="DF714" s="1757"/>
      <c r="DG714" s="1757"/>
      <c r="DH714" s="1757"/>
      <c r="DI714" s="1757"/>
      <c r="DJ714" s="1757"/>
      <c r="DK714" s="1757"/>
      <c r="DL714" s="1757"/>
      <c r="DM714" s="1757"/>
      <c r="DN714" s="1757"/>
      <c r="DO714" s="1757"/>
      <c r="DP714" s="1757"/>
      <c r="DQ714" s="1757"/>
      <c r="DR714" s="1757"/>
      <c r="DS714" s="1757"/>
      <c r="DT714" s="1757"/>
      <c r="DU714" s="1757"/>
      <c r="DV714" s="1757"/>
      <c r="DW714" s="1757"/>
      <c r="DX714" s="1757"/>
      <c r="DY714" s="1757"/>
      <c r="DZ714" s="1757"/>
      <c r="EA714" s="1757"/>
      <c r="EB714" s="1757"/>
      <c r="EC714" s="1757"/>
      <c r="ED714" s="1757"/>
      <c r="EE714" s="1757"/>
      <c r="EF714" s="1757"/>
      <c r="EG714" s="1757"/>
      <c r="EH714" s="1757"/>
      <c r="EI714" s="1757"/>
      <c r="EJ714" s="1757"/>
      <c r="EK714" s="1757"/>
      <c r="EL714" s="1757"/>
      <c r="EM714" s="1757"/>
      <c r="EN714" s="1757"/>
      <c r="EO714" s="1757"/>
      <c r="EP714" s="1757"/>
      <c r="EQ714" s="1757"/>
      <c r="ER714" s="1757"/>
      <c r="ES714" s="1757"/>
      <c r="ET714" s="1757"/>
      <c r="EU714" s="1757"/>
      <c r="EV714" s="1757"/>
      <c r="EW714" s="1757"/>
      <c r="EX714" s="1757"/>
      <c r="EY714" s="1757"/>
      <c r="EZ714" s="1757"/>
      <c r="FA714" s="1757"/>
      <c r="FB714" s="1757"/>
      <c r="FC714" s="1757"/>
      <c r="FD714" s="1757"/>
      <c r="FE714" s="1757"/>
      <c r="FF714" s="1757"/>
      <c r="FG714" s="1757"/>
      <c r="FH714" s="1757"/>
      <c r="FI714" s="1757"/>
    </row>
    <row r="715" spans="1:165">
      <c r="A715" s="1757"/>
      <c r="B715" s="1757"/>
      <c r="C715" s="1757"/>
      <c r="D715" s="1757"/>
      <c r="E715" s="1757"/>
      <c r="F715" s="1757"/>
      <c r="G715" s="1757"/>
      <c r="H715" s="1757"/>
      <c r="I715" s="1757"/>
      <c r="J715" s="1757"/>
      <c r="K715" s="1757"/>
      <c r="L715" s="1757"/>
      <c r="M715" s="1757"/>
      <c r="N715" s="1757"/>
      <c r="O715" s="1757"/>
      <c r="P715" s="1757"/>
      <c r="Q715" s="1757"/>
      <c r="R715" s="1757"/>
      <c r="S715" s="1757"/>
      <c r="T715" s="1757"/>
      <c r="U715" s="1757"/>
      <c r="V715" s="1757"/>
      <c r="W715" s="1757"/>
      <c r="X715" s="1757"/>
      <c r="Y715" s="1757"/>
      <c r="Z715" s="1757"/>
      <c r="AA715" s="1757"/>
      <c r="AB715" s="1757"/>
      <c r="AC715" s="1757"/>
      <c r="AD715" s="1757"/>
      <c r="AE715" s="1757"/>
      <c r="AF715" s="1757"/>
      <c r="AG715" s="1757"/>
      <c r="AH715" s="1757"/>
      <c r="AI715" s="1757"/>
      <c r="AJ715" s="1757"/>
      <c r="AK715" s="1757"/>
      <c r="AL715" s="1757"/>
      <c r="AM715" s="1757"/>
      <c r="AN715" s="1757"/>
      <c r="AO715" s="1757"/>
      <c r="AP715" s="1757"/>
      <c r="AQ715" s="1757"/>
      <c r="AR715" s="1757"/>
      <c r="AS715" s="1757"/>
      <c r="AT715" s="1757"/>
      <c r="AU715" s="1757"/>
      <c r="AV715" s="1757"/>
      <c r="AW715" s="1757"/>
      <c r="AX715" s="1757"/>
      <c r="AY715" s="1757"/>
      <c r="AZ715" s="1757"/>
      <c r="BA715" s="1757"/>
      <c r="BB715" s="1757"/>
      <c r="BC715" s="1757"/>
      <c r="BD715" s="1757"/>
      <c r="BE715" s="1757"/>
      <c r="BF715" s="1757"/>
      <c r="BG715" s="1757"/>
      <c r="BH715" s="1757"/>
      <c r="BI715" s="1757"/>
      <c r="BJ715" s="1757"/>
      <c r="BK715" s="1757"/>
      <c r="BL715" s="1757"/>
      <c r="BM715" s="1757"/>
      <c r="BN715" s="1757"/>
      <c r="BO715" s="1757"/>
      <c r="BP715" s="1757"/>
      <c r="BQ715" s="1757"/>
      <c r="BR715" s="1757"/>
      <c r="BS715" s="1757"/>
      <c r="BT715" s="1757"/>
      <c r="BU715" s="1757"/>
      <c r="BV715" s="1757"/>
      <c r="BW715" s="1757"/>
      <c r="BX715" s="1757"/>
      <c r="BY715" s="1757"/>
      <c r="BZ715" s="1757"/>
      <c r="CA715" s="1757"/>
      <c r="CB715" s="1757"/>
      <c r="CC715" s="1757"/>
      <c r="CD715" s="1757"/>
      <c r="CE715" s="1757"/>
      <c r="CF715" s="1757"/>
      <c r="CG715" s="1757"/>
      <c r="CH715" s="1757"/>
      <c r="CI715" s="1757"/>
      <c r="CJ715" s="1757"/>
      <c r="CK715" s="1757"/>
      <c r="CL715" s="1757"/>
      <c r="CM715" s="1757"/>
      <c r="CN715" s="1757"/>
      <c r="CO715" s="1757"/>
      <c r="CP715" s="1757"/>
      <c r="CQ715" s="1757"/>
      <c r="CR715" s="1757"/>
      <c r="CS715" s="1757"/>
      <c r="CT715" s="1757"/>
      <c r="CU715" s="1757"/>
      <c r="CV715" s="1757"/>
      <c r="CW715" s="1757"/>
      <c r="CX715" s="1757"/>
      <c r="CY715" s="1757"/>
      <c r="CZ715" s="1757"/>
      <c r="DA715" s="1757"/>
      <c r="DB715" s="1757"/>
      <c r="DC715" s="1757"/>
      <c r="DD715" s="1757"/>
      <c r="DE715" s="1757"/>
      <c r="DF715" s="1757"/>
      <c r="DG715" s="1757"/>
      <c r="DH715" s="1757"/>
      <c r="DI715" s="1757"/>
      <c r="DJ715" s="1757"/>
      <c r="DK715" s="1757"/>
      <c r="DL715" s="1757"/>
      <c r="DM715" s="1757"/>
      <c r="DN715" s="1757"/>
      <c r="DO715" s="1757"/>
      <c r="DP715" s="1757"/>
      <c r="DQ715" s="1757"/>
      <c r="DR715" s="1757"/>
      <c r="DS715" s="1757"/>
      <c r="DT715" s="1757"/>
      <c r="DU715" s="1757"/>
      <c r="DV715" s="1757"/>
      <c r="DW715" s="1757"/>
      <c r="DX715" s="1757"/>
      <c r="DY715" s="1757"/>
      <c r="DZ715" s="1757"/>
      <c r="EA715" s="1757"/>
      <c r="EB715" s="1757"/>
      <c r="EC715" s="1757"/>
      <c r="ED715" s="1757"/>
      <c r="EE715" s="1757"/>
      <c r="EF715" s="1757"/>
      <c r="EG715" s="1757"/>
      <c r="EH715" s="1757"/>
      <c r="EI715" s="1757"/>
      <c r="EJ715" s="1757"/>
      <c r="EK715" s="1757"/>
      <c r="EL715" s="1757"/>
      <c r="EM715" s="1757"/>
      <c r="EN715" s="1757"/>
      <c r="EO715" s="1757"/>
      <c r="EP715" s="1757"/>
      <c r="EQ715" s="1757"/>
      <c r="ER715" s="1757"/>
      <c r="ES715" s="1757"/>
      <c r="ET715" s="1757"/>
      <c r="EU715" s="1757"/>
      <c r="EV715" s="1757"/>
      <c r="EW715" s="1757"/>
      <c r="EX715" s="1757"/>
      <c r="EY715" s="1757"/>
      <c r="EZ715" s="1757"/>
      <c r="FA715" s="1757"/>
      <c r="FB715" s="1757"/>
      <c r="FC715" s="1757"/>
      <c r="FD715" s="1757"/>
      <c r="FE715" s="1757"/>
      <c r="FF715" s="1757"/>
      <c r="FG715" s="1757"/>
      <c r="FH715" s="1757"/>
      <c r="FI715" s="1757"/>
    </row>
    <row r="716" spans="1:165">
      <c r="A716" s="1757"/>
      <c r="B716" s="1757"/>
      <c r="C716" s="1757"/>
      <c r="D716" s="1757"/>
      <c r="E716" s="1757"/>
      <c r="F716" s="1757"/>
      <c r="G716" s="1757"/>
      <c r="H716" s="1757"/>
      <c r="I716" s="1757"/>
      <c r="J716" s="1757"/>
      <c r="K716" s="1757"/>
      <c r="L716" s="1757"/>
      <c r="M716" s="1757"/>
      <c r="N716" s="1757"/>
      <c r="O716" s="1757"/>
      <c r="P716" s="1757"/>
      <c r="Q716" s="1757"/>
      <c r="R716" s="1757"/>
      <c r="S716" s="1757"/>
      <c r="T716" s="1757"/>
      <c r="U716" s="1757"/>
      <c r="V716" s="1757"/>
      <c r="W716" s="1757"/>
      <c r="X716" s="1757"/>
      <c r="Y716" s="1757"/>
      <c r="Z716" s="1757"/>
      <c r="AA716" s="1757"/>
      <c r="AB716" s="1757"/>
      <c r="AC716" s="1757"/>
      <c r="AD716" s="1757"/>
      <c r="AE716" s="1757"/>
      <c r="AF716" s="1757"/>
      <c r="AG716" s="1757"/>
      <c r="AH716" s="1757"/>
      <c r="AI716" s="1757"/>
      <c r="AJ716" s="1757"/>
      <c r="AK716" s="1757"/>
      <c r="AL716" s="1757"/>
      <c r="AM716" s="1757"/>
      <c r="AN716" s="1757"/>
      <c r="AO716" s="1757"/>
      <c r="AP716" s="1757"/>
      <c r="AQ716" s="1757"/>
      <c r="AR716" s="1757"/>
      <c r="AS716" s="1757"/>
      <c r="AT716" s="1757"/>
      <c r="AU716" s="1757"/>
      <c r="AV716" s="1757"/>
      <c r="AW716" s="1757"/>
      <c r="AX716" s="1757"/>
      <c r="AY716" s="1757"/>
      <c r="AZ716" s="1757"/>
      <c r="BA716" s="1757"/>
      <c r="BB716" s="1757"/>
      <c r="BC716" s="1757"/>
      <c r="BD716" s="1757"/>
      <c r="BE716" s="1757"/>
      <c r="BF716" s="1757"/>
      <c r="BG716" s="1757"/>
      <c r="BH716" s="1757"/>
      <c r="BI716" s="1757"/>
      <c r="BJ716" s="1757"/>
      <c r="BK716" s="1757"/>
      <c r="BL716" s="1757"/>
      <c r="BM716" s="1757"/>
      <c r="BN716" s="1757"/>
      <c r="BO716" s="1757"/>
      <c r="BP716" s="1757"/>
      <c r="BQ716" s="1757"/>
      <c r="BR716" s="1757"/>
      <c r="BS716" s="1757"/>
      <c r="BT716" s="1757"/>
      <c r="BU716" s="1757"/>
      <c r="BV716" s="1757"/>
      <c r="BW716" s="1757"/>
      <c r="BX716" s="1757"/>
      <c r="BY716" s="1757"/>
      <c r="BZ716" s="1757"/>
      <c r="CA716" s="1757"/>
      <c r="CB716" s="1757"/>
      <c r="CC716" s="1757"/>
      <c r="CD716" s="1757"/>
      <c r="CE716" s="1757"/>
      <c r="CF716" s="1757"/>
      <c r="CG716" s="1757"/>
      <c r="CH716" s="1757"/>
      <c r="CI716" s="1757"/>
      <c r="CJ716" s="1757"/>
      <c r="CK716" s="1757"/>
      <c r="CL716" s="1757"/>
      <c r="CM716" s="1757"/>
      <c r="CN716" s="1757"/>
      <c r="CO716" s="1757"/>
      <c r="CP716" s="1757"/>
      <c r="CQ716" s="1757"/>
      <c r="CR716" s="1757"/>
      <c r="CS716" s="1757"/>
      <c r="CT716" s="1757"/>
      <c r="CU716" s="1757"/>
      <c r="CV716" s="1757"/>
      <c r="CW716" s="1757"/>
      <c r="CX716" s="1757"/>
      <c r="CY716" s="1757"/>
      <c r="CZ716" s="1757"/>
      <c r="DA716" s="1757"/>
      <c r="DB716" s="1757"/>
      <c r="DC716" s="1757"/>
      <c r="DD716" s="1757"/>
      <c r="DE716" s="1757"/>
      <c r="DF716" s="1757"/>
      <c r="DG716" s="1757"/>
      <c r="DH716" s="1757"/>
      <c r="DI716" s="1757"/>
      <c r="DJ716" s="1757"/>
      <c r="DK716" s="1757"/>
      <c r="DL716" s="1757"/>
      <c r="DM716" s="1757"/>
      <c r="DN716" s="1757"/>
      <c r="DO716" s="1757"/>
      <c r="DP716" s="1757"/>
      <c r="DQ716" s="1757"/>
      <c r="DR716" s="1757"/>
      <c r="DS716" s="1757"/>
      <c r="DT716" s="1757"/>
      <c r="DU716" s="1757"/>
      <c r="DV716" s="1757"/>
      <c r="DW716" s="1757"/>
      <c r="DX716" s="1757"/>
      <c r="DY716" s="1757"/>
      <c r="DZ716" s="1757"/>
      <c r="EA716" s="1757"/>
      <c r="EB716" s="1757"/>
      <c r="EC716" s="1757"/>
      <c r="ED716" s="1757"/>
      <c r="EE716" s="1757"/>
      <c r="EF716" s="1757"/>
      <c r="EG716" s="1757"/>
      <c r="EH716" s="1757"/>
      <c r="EI716" s="1757"/>
      <c r="EJ716" s="1757"/>
      <c r="EK716" s="1757"/>
      <c r="EL716" s="1757"/>
      <c r="EM716" s="1757"/>
      <c r="EN716" s="1757"/>
      <c r="EO716" s="1757"/>
      <c r="EP716" s="1757"/>
      <c r="EQ716" s="1757"/>
      <c r="ER716" s="1757"/>
      <c r="ES716" s="1757"/>
      <c r="ET716" s="1757"/>
      <c r="EU716" s="1757"/>
      <c r="EV716" s="1757"/>
      <c r="EW716" s="1757"/>
      <c r="EX716" s="1757"/>
      <c r="EY716" s="1757"/>
      <c r="EZ716" s="1757"/>
      <c r="FA716" s="1757"/>
      <c r="FB716" s="1757"/>
      <c r="FC716" s="1757"/>
      <c r="FD716" s="1757"/>
      <c r="FE716" s="1757"/>
      <c r="FF716" s="1757"/>
      <c r="FG716" s="1757"/>
      <c r="FH716" s="1757"/>
      <c r="FI716" s="1757"/>
    </row>
    <row r="717" spans="1:165">
      <c r="A717" s="1757"/>
      <c r="B717" s="1757"/>
      <c r="C717" s="1757"/>
      <c r="D717" s="1757"/>
      <c r="E717" s="1757"/>
      <c r="F717" s="1757"/>
      <c r="G717" s="1757"/>
      <c r="H717" s="1757"/>
      <c r="I717" s="1757"/>
      <c r="J717" s="1757"/>
      <c r="K717" s="1757"/>
      <c r="L717" s="1757"/>
      <c r="M717" s="1757"/>
      <c r="N717" s="1757"/>
      <c r="O717" s="1757"/>
      <c r="P717" s="1757"/>
      <c r="Q717" s="1757"/>
      <c r="R717" s="1757"/>
      <c r="S717" s="1757"/>
      <c r="T717" s="1757"/>
      <c r="U717" s="1757"/>
      <c r="V717" s="1757"/>
      <c r="W717" s="1757"/>
      <c r="X717" s="1757"/>
      <c r="Y717" s="1757"/>
      <c r="Z717" s="1757"/>
      <c r="AA717" s="1757"/>
      <c r="AB717" s="1757"/>
      <c r="AC717" s="1757"/>
      <c r="AD717" s="1757"/>
      <c r="AE717" s="1757"/>
      <c r="AF717" s="1757"/>
      <c r="AG717" s="1757"/>
      <c r="AH717" s="1757"/>
      <c r="AI717" s="1757"/>
      <c r="AJ717" s="1757"/>
      <c r="AK717" s="1757"/>
      <c r="AL717" s="1757"/>
      <c r="AM717" s="1757"/>
      <c r="AN717" s="1757"/>
      <c r="AO717" s="1757"/>
      <c r="AP717" s="1757"/>
      <c r="AQ717" s="1757"/>
      <c r="AR717" s="1757"/>
      <c r="AS717" s="1757"/>
      <c r="AT717" s="1757"/>
      <c r="AU717" s="1757"/>
      <c r="AV717" s="1757"/>
      <c r="AW717" s="1757"/>
      <c r="AX717" s="1757"/>
      <c r="AY717" s="1757"/>
      <c r="AZ717" s="1757"/>
      <c r="BA717" s="1757"/>
      <c r="BB717" s="1757"/>
      <c r="BC717" s="1757"/>
      <c r="BD717" s="1757"/>
      <c r="BE717" s="1757"/>
      <c r="BF717" s="1757"/>
      <c r="BG717" s="1757"/>
      <c r="BH717" s="1757"/>
      <c r="BI717" s="1757"/>
      <c r="BJ717" s="1757"/>
      <c r="BK717" s="1757"/>
      <c r="BL717" s="1757"/>
      <c r="BM717" s="1757"/>
      <c r="BN717" s="1757"/>
      <c r="BO717" s="1757"/>
      <c r="BP717" s="1757"/>
      <c r="BQ717" s="1757"/>
      <c r="BR717" s="1757"/>
      <c r="BS717" s="1757"/>
      <c r="BT717" s="1757"/>
      <c r="BU717" s="1757"/>
      <c r="BV717" s="1757"/>
      <c r="BW717" s="1757"/>
      <c r="BX717" s="1757"/>
      <c r="BY717" s="1757"/>
      <c r="BZ717" s="1757"/>
      <c r="CA717" s="1757"/>
      <c r="CB717" s="1757"/>
      <c r="CC717" s="1757"/>
      <c r="CD717" s="1757"/>
      <c r="CE717" s="1757"/>
      <c r="CF717" s="1757"/>
      <c r="CG717" s="1757"/>
      <c r="CH717" s="1757"/>
      <c r="CI717" s="1757"/>
      <c r="CJ717" s="1757"/>
      <c r="CK717" s="1757"/>
      <c r="CL717" s="1757"/>
      <c r="CM717" s="1757"/>
      <c r="CN717" s="1757"/>
      <c r="CO717" s="1757"/>
      <c r="CP717" s="1757"/>
      <c r="CQ717" s="1757"/>
      <c r="CR717" s="1757"/>
      <c r="CS717" s="1757"/>
      <c r="CT717" s="1757"/>
      <c r="CU717" s="1757"/>
      <c r="CV717" s="1757"/>
      <c r="CW717" s="1757"/>
      <c r="CX717" s="1757"/>
      <c r="CY717" s="1757"/>
      <c r="CZ717" s="1757"/>
      <c r="DA717" s="1757"/>
      <c r="DB717" s="1757"/>
      <c r="DC717" s="1757"/>
      <c r="DD717" s="1757"/>
      <c r="DE717" s="1757"/>
      <c r="DF717" s="1757"/>
      <c r="DG717" s="1757"/>
      <c r="DH717" s="1757"/>
      <c r="DI717" s="1757"/>
      <c r="DJ717" s="1757"/>
      <c r="DK717" s="1757"/>
      <c r="DL717" s="1757"/>
      <c r="DM717" s="1757"/>
      <c r="DN717" s="1757"/>
      <c r="DO717" s="1757"/>
      <c r="DP717" s="1757"/>
      <c r="DQ717" s="1757"/>
      <c r="DR717" s="1757"/>
      <c r="DS717" s="1757"/>
      <c r="DT717" s="1757"/>
      <c r="DU717" s="1757"/>
      <c r="DV717" s="1757"/>
      <c r="DW717" s="1757"/>
      <c r="DX717" s="1757"/>
      <c r="DY717" s="1757"/>
      <c r="DZ717" s="1757"/>
      <c r="EA717" s="1757"/>
      <c r="EB717" s="1757"/>
      <c r="EC717" s="1757"/>
      <c r="ED717" s="1757"/>
      <c r="EE717" s="1757"/>
      <c r="EF717" s="1757"/>
      <c r="EG717" s="1757"/>
      <c r="EH717" s="1757"/>
      <c r="EI717" s="1757"/>
      <c r="EJ717" s="1757"/>
      <c r="EK717" s="1757"/>
      <c r="EL717" s="1757"/>
      <c r="EM717" s="1757"/>
      <c r="EN717" s="1757"/>
      <c r="EO717" s="1757"/>
      <c r="EP717" s="1757"/>
      <c r="EQ717" s="1757"/>
      <c r="ER717" s="1757"/>
      <c r="ES717" s="1757"/>
      <c r="ET717" s="1757"/>
      <c r="EU717" s="1757"/>
      <c r="EV717" s="1757"/>
      <c r="EW717" s="1757"/>
      <c r="EX717" s="1757"/>
      <c r="EY717" s="1757"/>
      <c r="EZ717" s="1757"/>
      <c r="FA717" s="1757"/>
      <c r="FB717" s="1757"/>
      <c r="FC717" s="1757"/>
      <c r="FD717" s="1757"/>
      <c r="FE717" s="1757"/>
      <c r="FF717" s="1757"/>
      <c r="FG717" s="1757"/>
      <c r="FH717" s="1757"/>
      <c r="FI717" s="1757"/>
    </row>
    <row r="718" spans="1:165">
      <c r="A718" s="1757"/>
      <c r="B718" s="1757"/>
      <c r="C718" s="1757"/>
      <c r="D718" s="1757"/>
      <c r="E718" s="1757"/>
      <c r="F718" s="1757"/>
      <c r="G718" s="1757"/>
      <c r="H718" s="1757"/>
      <c r="I718" s="1757"/>
      <c r="J718" s="1757"/>
      <c r="K718" s="1757"/>
      <c r="L718" s="1757"/>
      <c r="M718" s="1757"/>
      <c r="N718" s="1757"/>
      <c r="O718" s="1757"/>
      <c r="P718" s="1757"/>
      <c r="Q718" s="1757"/>
      <c r="R718" s="1757"/>
      <c r="S718" s="1757"/>
      <c r="T718" s="1757"/>
      <c r="U718" s="1757"/>
      <c r="V718" s="1757"/>
      <c r="W718" s="1757"/>
      <c r="X718" s="1757"/>
      <c r="Y718" s="1757"/>
      <c r="Z718" s="1757"/>
      <c r="AA718" s="1757"/>
      <c r="AB718" s="1757"/>
      <c r="AC718" s="1757"/>
      <c r="AD718" s="1757"/>
      <c r="AE718" s="1757"/>
      <c r="AF718" s="1757"/>
      <c r="AG718" s="1757"/>
      <c r="AH718" s="1757"/>
      <c r="AI718" s="1757"/>
      <c r="AJ718" s="1757"/>
      <c r="AK718" s="1757"/>
      <c r="AL718" s="1757"/>
      <c r="AM718" s="1757"/>
      <c r="AN718" s="1757"/>
      <c r="AO718" s="1757"/>
      <c r="AP718" s="1757"/>
      <c r="AQ718" s="1757"/>
      <c r="AR718" s="1757"/>
      <c r="AS718" s="1757"/>
      <c r="AT718" s="1757"/>
      <c r="AU718" s="1757"/>
      <c r="AV718" s="1757"/>
      <c r="AW718" s="1757"/>
      <c r="AX718" s="1757"/>
      <c r="AY718" s="1757"/>
      <c r="AZ718" s="1757"/>
      <c r="BA718" s="1757"/>
      <c r="BB718" s="1757"/>
      <c r="BC718" s="1757"/>
      <c r="BD718" s="1757"/>
      <c r="BE718" s="1757"/>
      <c r="BF718" s="1757"/>
      <c r="BG718" s="1757"/>
      <c r="BH718" s="1757"/>
      <c r="BI718" s="1757"/>
      <c r="BJ718" s="1757"/>
      <c r="BK718" s="1757"/>
      <c r="BL718" s="1757"/>
      <c r="BM718" s="1757"/>
      <c r="BN718" s="1757"/>
      <c r="BO718" s="1757"/>
      <c r="BP718" s="1757"/>
      <c r="BQ718" s="1757"/>
      <c r="BR718" s="1757"/>
      <c r="BS718" s="1757"/>
      <c r="BT718" s="1757"/>
      <c r="BU718" s="1757"/>
      <c r="BV718" s="1757"/>
      <c r="BW718" s="1757"/>
      <c r="BX718" s="1757"/>
      <c r="BY718" s="1757"/>
      <c r="BZ718" s="1757"/>
      <c r="CA718" s="1757"/>
      <c r="CB718" s="1757"/>
      <c r="CC718" s="1757"/>
      <c r="CD718" s="1757"/>
      <c r="CE718" s="1757"/>
      <c r="CF718" s="1757"/>
      <c r="CG718" s="1757"/>
      <c r="CH718" s="1757"/>
      <c r="CI718" s="1757"/>
      <c r="CJ718" s="1757"/>
      <c r="CK718" s="1757"/>
      <c r="CL718" s="1757"/>
      <c r="CM718" s="1757"/>
      <c r="CN718" s="1757"/>
      <c r="CO718" s="1757"/>
      <c r="CP718" s="1757"/>
      <c r="CQ718" s="1757"/>
      <c r="CR718" s="1757"/>
      <c r="CS718" s="1757"/>
      <c r="CT718" s="1757"/>
      <c r="CU718" s="1757"/>
      <c r="CV718" s="1757"/>
      <c r="CW718" s="1757"/>
      <c r="CX718" s="1757"/>
      <c r="CY718" s="1757"/>
      <c r="CZ718" s="1757"/>
      <c r="DA718" s="1757"/>
      <c r="DB718" s="1757"/>
      <c r="DC718" s="1757"/>
      <c r="DD718" s="1757"/>
      <c r="DE718" s="1757"/>
      <c r="DF718" s="1757"/>
      <c r="DG718" s="1757"/>
      <c r="DH718" s="1757"/>
      <c r="DI718" s="1757"/>
      <c r="DJ718" s="1757"/>
      <c r="DK718" s="1757"/>
      <c r="DL718" s="1757"/>
      <c r="DM718" s="1757"/>
      <c r="DN718" s="1757"/>
      <c r="DO718" s="1757"/>
      <c r="DP718" s="1757"/>
      <c r="DQ718" s="1757"/>
      <c r="DR718" s="1757"/>
      <c r="DS718" s="1757"/>
      <c r="DT718" s="1757"/>
      <c r="DU718" s="1757"/>
      <c r="DV718" s="1757"/>
      <c r="DW718" s="1757"/>
      <c r="DX718" s="1757"/>
      <c r="DY718" s="1757"/>
      <c r="DZ718" s="1757"/>
      <c r="EA718" s="1757"/>
      <c r="EB718" s="1757"/>
      <c r="EC718" s="1757"/>
      <c r="ED718" s="1757"/>
      <c r="EE718" s="1757"/>
      <c r="EF718" s="1757"/>
      <c r="EG718" s="1757"/>
      <c r="EH718" s="1757"/>
      <c r="EI718" s="1757"/>
      <c r="EJ718" s="1757"/>
      <c r="EK718" s="1757"/>
      <c r="EL718" s="1757"/>
      <c r="EM718" s="1757"/>
      <c r="EN718" s="1757"/>
      <c r="EO718" s="1757"/>
      <c r="EP718" s="1757"/>
      <c r="EQ718" s="1757"/>
      <c r="ER718" s="1757"/>
      <c r="ES718" s="1757"/>
      <c r="ET718" s="1757"/>
      <c r="EU718" s="1757"/>
      <c r="EV718" s="1757"/>
      <c r="EW718" s="1757"/>
      <c r="EX718" s="1757"/>
      <c r="EY718" s="1757"/>
      <c r="EZ718" s="1757"/>
      <c r="FA718" s="1757"/>
      <c r="FB718" s="1757"/>
      <c r="FC718" s="1757"/>
      <c r="FD718" s="1757"/>
      <c r="FE718" s="1757"/>
      <c r="FF718" s="1757"/>
      <c r="FG718" s="1757"/>
      <c r="FH718" s="1757"/>
      <c r="FI718" s="1757"/>
    </row>
    <row r="719" spans="1:165">
      <c r="A719" s="1757"/>
      <c r="B719" s="1757"/>
      <c r="C719" s="1757"/>
      <c r="D719" s="1757"/>
      <c r="E719" s="1757"/>
      <c r="F719" s="1757"/>
      <c r="G719" s="1757"/>
      <c r="H719" s="1757"/>
      <c r="I719" s="1757"/>
      <c r="J719" s="1757"/>
      <c r="K719" s="1757"/>
      <c r="L719" s="1757"/>
      <c r="M719" s="1757"/>
      <c r="N719" s="1757"/>
      <c r="O719" s="1757"/>
      <c r="P719" s="1757"/>
      <c r="Q719" s="1757"/>
      <c r="R719" s="1757"/>
      <c r="S719" s="1757"/>
      <c r="T719" s="1757"/>
      <c r="U719" s="1757"/>
      <c r="V719" s="1757"/>
      <c r="W719" s="1757"/>
      <c r="X719" s="1757"/>
      <c r="Y719" s="1757"/>
      <c r="Z719" s="1757"/>
      <c r="AA719" s="1757"/>
      <c r="AB719" s="1757"/>
      <c r="AC719" s="1757"/>
      <c r="AD719" s="1757"/>
      <c r="AE719" s="1757"/>
      <c r="AF719" s="1757"/>
      <c r="AG719" s="1757"/>
      <c r="AH719" s="1757"/>
      <c r="AI719" s="1757"/>
      <c r="AJ719" s="1757"/>
      <c r="AK719" s="1757"/>
      <c r="AL719" s="1757"/>
      <c r="AM719" s="1757"/>
      <c r="AN719" s="1757"/>
      <c r="AO719" s="1757"/>
      <c r="AP719" s="1757"/>
      <c r="AQ719" s="1757"/>
      <c r="AR719" s="1757"/>
      <c r="AS719" s="1757"/>
      <c r="AT719" s="1757"/>
      <c r="AU719" s="1757"/>
      <c r="AV719" s="1757"/>
      <c r="AW719" s="1757"/>
      <c r="AX719" s="1757"/>
      <c r="AY719" s="1757"/>
      <c r="AZ719" s="1757"/>
      <c r="BA719" s="1757"/>
      <c r="BB719" s="1757"/>
      <c r="BC719" s="1757"/>
      <c r="BD719" s="1757"/>
      <c r="BE719" s="1757"/>
      <c r="BF719" s="1757"/>
      <c r="BG719" s="1757"/>
      <c r="BH719" s="1757"/>
      <c r="BI719" s="1757"/>
      <c r="BJ719" s="1757"/>
      <c r="BK719" s="1757"/>
      <c r="BL719" s="1757"/>
      <c r="BM719" s="1757"/>
      <c r="BN719" s="1757"/>
      <c r="BO719" s="1757"/>
      <c r="BP719" s="1757"/>
      <c r="BQ719" s="1757"/>
      <c r="BR719" s="1757"/>
      <c r="BS719" s="1757"/>
      <c r="BT719" s="1757"/>
      <c r="BU719" s="1757"/>
      <c r="BV719" s="1757"/>
      <c r="BW719" s="1757"/>
      <c r="BX719" s="1757"/>
      <c r="BY719" s="1757"/>
      <c r="BZ719" s="1757"/>
      <c r="CA719" s="1757"/>
      <c r="CB719" s="1757"/>
      <c r="CC719" s="1757"/>
      <c r="CD719" s="1757"/>
      <c r="CE719" s="1757"/>
      <c r="CF719" s="1757"/>
      <c r="CG719" s="1757"/>
      <c r="CH719" s="1757"/>
      <c r="CI719" s="1757"/>
      <c r="CJ719" s="1757"/>
      <c r="CK719" s="1757"/>
      <c r="CL719" s="1757"/>
      <c r="CM719" s="1757"/>
      <c r="CN719" s="1757"/>
      <c r="CO719" s="1757"/>
      <c r="CP719" s="1757"/>
      <c r="CQ719" s="1757"/>
      <c r="CR719" s="1757"/>
      <c r="CS719" s="1757"/>
      <c r="CT719" s="1757"/>
      <c r="CU719" s="1757"/>
      <c r="CV719" s="1757"/>
      <c r="CW719" s="1757"/>
      <c r="CX719" s="1757"/>
      <c r="CY719" s="1757"/>
      <c r="CZ719" s="1757"/>
      <c r="DA719" s="1757"/>
      <c r="DB719" s="1757"/>
      <c r="DC719" s="1757"/>
      <c r="DD719" s="1757"/>
      <c r="DE719" s="1757"/>
      <c r="DF719" s="1757"/>
      <c r="DG719" s="1757"/>
      <c r="DH719" s="1757"/>
      <c r="DI719" s="1757"/>
      <c r="DJ719" s="1757"/>
      <c r="DK719" s="1757"/>
      <c r="DL719" s="1757"/>
      <c r="DM719" s="1757"/>
      <c r="DN719" s="1757"/>
      <c r="DO719" s="1757"/>
      <c r="DP719" s="1757"/>
      <c r="DQ719" s="1757"/>
      <c r="DR719" s="1757"/>
      <c r="DS719" s="1757"/>
      <c r="DT719" s="1757"/>
      <c r="DU719" s="1757"/>
      <c r="DV719" s="1757"/>
      <c r="DW719" s="1757"/>
      <c r="DX719" s="1757"/>
      <c r="DY719" s="1757"/>
      <c r="DZ719" s="1757"/>
      <c r="EA719" s="1757"/>
      <c r="EB719" s="1757"/>
      <c r="EC719" s="1757"/>
      <c r="ED719" s="1757"/>
      <c r="EE719" s="1757"/>
      <c r="EF719" s="1757"/>
      <c r="EG719" s="1757"/>
      <c r="EH719" s="1757"/>
      <c r="EI719" s="1757"/>
      <c r="EJ719" s="1757"/>
      <c r="EK719" s="1757"/>
      <c r="EL719" s="1757"/>
      <c r="EM719" s="1757"/>
      <c r="EN719" s="1757"/>
      <c r="EO719" s="1757"/>
      <c r="EP719" s="1757"/>
      <c r="EQ719" s="1757"/>
      <c r="ER719" s="1757"/>
      <c r="ES719" s="1757"/>
      <c r="ET719" s="1757"/>
      <c r="EU719" s="1757"/>
      <c r="EV719" s="1757"/>
      <c r="EW719" s="1757"/>
      <c r="EX719" s="1757"/>
      <c r="EY719" s="1757"/>
      <c r="EZ719" s="1757"/>
      <c r="FA719" s="1757"/>
      <c r="FB719" s="1757"/>
      <c r="FC719" s="1757"/>
      <c r="FD719" s="1757"/>
      <c r="FE719" s="1757"/>
      <c r="FF719" s="1757"/>
      <c r="FG719" s="1757"/>
      <c r="FH719" s="1757"/>
      <c r="FI719" s="1757"/>
    </row>
    <row r="720" spans="1:165">
      <c r="A720" s="1757"/>
      <c r="B720" s="1757"/>
      <c r="C720" s="1757"/>
      <c r="D720" s="1757"/>
      <c r="E720" s="1757"/>
      <c r="F720" s="1757"/>
      <c r="G720" s="1757"/>
      <c r="H720" s="1757"/>
      <c r="I720" s="1757"/>
      <c r="J720" s="1757"/>
      <c r="K720" s="1757"/>
      <c r="L720" s="1757"/>
      <c r="M720" s="1757"/>
      <c r="N720" s="1757"/>
      <c r="O720" s="1757"/>
      <c r="P720" s="1757"/>
      <c r="Q720" s="1757"/>
      <c r="R720" s="1757"/>
      <c r="S720" s="1757"/>
      <c r="T720" s="1757"/>
      <c r="U720" s="1757"/>
      <c r="V720" s="1757"/>
      <c r="W720" s="1757"/>
      <c r="X720" s="1757"/>
      <c r="Y720" s="1757"/>
      <c r="Z720" s="1757"/>
      <c r="AA720" s="1757"/>
      <c r="AB720" s="1757"/>
      <c r="AC720" s="1757"/>
      <c r="AD720" s="1757"/>
      <c r="AE720" s="1757"/>
      <c r="AF720" s="1757"/>
      <c r="AG720" s="1757"/>
      <c r="AH720" s="1757"/>
      <c r="AI720" s="1757"/>
      <c r="AJ720" s="1757"/>
      <c r="AK720" s="1757"/>
      <c r="AL720" s="1757"/>
      <c r="AM720" s="1757"/>
      <c r="AN720" s="1757"/>
      <c r="AO720" s="1757"/>
      <c r="AP720" s="1757"/>
      <c r="AQ720" s="1757"/>
      <c r="AR720" s="1757"/>
      <c r="AS720" s="1757"/>
      <c r="AT720" s="1757"/>
      <c r="AU720" s="1757"/>
      <c r="AV720" s="1757"/>
      <c r="AW720" s="1757"/>
      <c r="AX720" s="1757"/>
      <c r="AY720" s="1757"/>
      <c r="AZ720" s="1757"/>
      <c r="BA720" s="1757"/>
      <c r="BB720" s="1757"/>
      <c r="BC720" s="1757"/>
      <c r="BD720" s="1757"/>
      <c r="BE720" s="1757"/>
      <c r="BF720" s="1757"/>
      <c r="BG720" s="1757"/>
      <c r="BH720" s="1757"/>
      <c r="BI720" s="1757"/>
      <c r="BJ720" s="1757"/>
      <c r="BK720" s="1757"/>
      <c r="BL720" s="1757"/>
      <c r="BM720" s="1757"/>
      <c r="BN720" s="1757"/>
      <c r="BO720" s="1757"/>
      <c r="BP720" s="1757"/>
      <c r="BQ720" s="1757"/>
      <c r="BR720" s="1757"/>
      <c r="BS720" s="1757"/>
      <c r="BT720" s="1757"/>
      <c r="BU720" s="1757"/>
      <c r="BV720" s="1757"/>
      <c r="BW720" s="1757"/>
      <c r="BX720" s="1757"/>
      <c r="BY720" s="1757"/>
      <c r="BZ720" s="1757"/>
      <c r="CA720" s="1757"/>
      <c r="CB720" s="1757"/>
      <c r="CC720" s="1757"/>
      <c r="CD720" s="1757"/>
      <c r="CE720" s="1757"/>
      <c r="CF720" s="1757"/>
      <c r="CG720" s="1757"/>
      <c r="CH720" s="1757"/>
      <c r="CI720" s="1757"/>
      <c r="CJ720" s="1757"/>
      <c r="CK720" s="1757"/>
      <c r="CL720" s="1757"/>
      <c r="CM720" s="1757"/>
      <c r="CN720" s="1757"/>
      <c r="CO720" s="1757"/>
      <c r="CP720" s="1757"/>
      <c r="CQ720" s="1757"/>
      <c r="CR720" s="1757"/>
      <c r="CS720" s="1757"/>
      <c r="CT720" s="1757"/>
      <c r="CU720" s="1757"/>
      <c r="CV720" s="1757"/>
      <c r="CW720" s="1757"/>
      <c r="CX720" s="1757"/>
      <c r="CY720" s="1757"/>
      <c r="CZ720" s="1757"/>
      <c r="DA720" s="1757"/>
      <c r="DB720" s="1757"/>
      <c r="DC720" s="1757"/>
      <c r="DD720" s="1757"/>
      <c r="DE720" s="1757"/>
      <c r="DF720" s="1757"/>
      <c r="DG720" s="1757"/>
      <c r="DH720" s="1757"/>
      <c r="DI720" s="1757"/>
      <c r="DJ720" s="1757"/>
      <c r="DK720" s="1757"/>
      <c r="DL720" s="1757"/>
      <c r="DM720" s="1757"/>
      <c r="DN720" s="1757"/>
      <c r="DO720" s="1757"/>
      <c r="DP720" s="1757"/>
      <c r="DQ720" s="1757"/>
      <c r="DR720" s="1757"/>
      <c r="DS720" s="1757"/>
      <c r="DT720" s="1757"/>
      <c r="DU720" s="1757"/>
      <c r="DV720" s="1757"/>
      <c r="DW720" s="1757"/>
      <c r="DX720" s="1757"/>
      <c r="DY720" s="1757"/>
      <c r="DZ720" s="1757"/>
      <c r="EA720" s="1757"/>
      <c r="EB720" s="1757"/>
      <c r="EC720" s="1757"/>
      <c r="ED720" s="1757"/>
      <c r="EE720" s="1757"/>
      <c r="EF720" s="1757"/>
      <c r="EG720" s="1757"/>
      <c r="EH720" s="1757"/>
      <c r="EI720" s="1757"/>
      <c r="EJ720" s="1757"/>
      <c r="EK720" s="1757"/>
      <c r="EL720" s="1757"/>
      <c r="EM720" s="1757"/>
      <c r="EN720" s="1757"/>
      <c r="EO720" s="1757"/>
      <c r="EP720" s="1757"/>
      <c r="EQ720" s="1757"/>
      <c r="ER720" s="1757"/>
      <c r="ES720" s="1757"/>
      <c r="ET720" s="1757"/>
      <c r="EU720" s="1757"/>
      <c r="EV720" s="1757"/>
      <c r="EW720" s="1757"/>
      <c r="EX720" s="1757"/>
      <c r="EY720" s="1757"/>
      <c r="EZ720" s="1757"/>
      <c r="FA720" s="1757"/>
      <c r="FB720" s="1757"/>
      <c r="FC720" s="1757"/>
      <c r="FD720" s="1757"/>
      <c r="FE720" s="1757"/>
      <c r="FF720" s="1757"/>
      <c r="FG720" s="1757"/>
      <c r="FH720" s="1757"/>
      <c r="FI720" s="1757"/>
    </row>
    <row r="721" spans="1:165">
      <c r="A721" s="1757"/>
      <c r="B721" s="1757"/>
      <c r="C721" s="1757"/>
      <c r="D721" s="1757"/>
      <c r="E721" s="1757"/>
      <c r="F721" s="1757"/>
      <c r="G721" s="1757"/>
      <c r="H721" s="1757"/>
      <c r="I721" s="1757"/>
      <c r="J721" s="1757"/>
      <c r="K721" s="1757"/>
      <c r="L721" s="1757"/>
      <c r="M721" s="1757"/>
      <c r="N721" s="1757"/>
      <c r="O721" s="1757"/>
      <c r="P721" s="1757"/>
      <c r="Q721" s="1757"/>
      <c r="R721" s="1757"/>
      <c r="S721" s="1757"/>
      <c r="T721" s="1757"/>
      <c r="U721" s="1757"/>
      <c r="V721" s="1757"/>
      <c r="W721" s="1757"/>
      <c r="X721" s="1757"/>
      <c r="Y721" s="1757"/>
      <c r="Z721" s="1757"/>
      <c r="AA721" s="1757"/>
      <c r="AB721" s="1757"/>
      <c r="AC721" s="1757"/>
      <c r="AD721" s="1757"/>
      <c r="AE721" s="1757"/>
      <c r="AF721" s="1757"/>
      <c r="AG721" s="1757"/>
      <c r="AH721" s="1757"/>
      <c r="AI721" s="1757"/>
      <c r="AJ721" s="1757"/>
      <c r="AK721" s="1757"/>
      <c r="AL721" s="1757"/>
      <c r="AM721" s="1757"/>
      <c r="AN721" s="1757"/>
      <c r="AO721" s="1757"/>
      <c r="AP721" s="1757"/>
      <c r="AQ721" s="1757"/>
      <c r="AR721" s="1757"/>
      <c r="AS721" s="1757"/>
      <c r="AT721" s="1757"/>
      <c r="AU721" s="1757"/>
      <c r="AV721" s="1757"/>
      <c r="AW721" s="1757"/>
      <c r="AX721" s="1757"/>
      <c r="AY721" s="1757"/>
      <c r="AZ721" s="1757"/>
      <c r="BA721" s="1757"/>
      <c r="BB721" s="1757"/>
      <c r="BC721" s="1757"/>
      <c r="BD721" s="1757"/>
      <c r="BE721" s="1757"/>
      <c r="BF721" s="1757"/>
      <c r="BG721" s="1757"/>
      <c r="BH721" s="1757"/>
      <c r="BI721" s="1757"/>
      <c r="BJ721" s="1757"/>
      <c r="BK721" s="1757"/>
      <c r="BL721" s="1757"/>
      <c r="BM721" s="1757"/>
      <c r="BN721" s="1757"/>
      <c r="BO721" s="1757"/>
      <c r="BP721" s="1757"/>
      <c r="BQ721" s="1757"/>
      <c r="BR721" s="1757"/>
      <c r="BS721" s="1757"/>
      <c r="BT721" s="1757"/>
      <c r="BU721" s="1757"/>
      <c r="BV721" s="1757"/>
      <c r="BW721" s="1757"/>
      <c r="BX721" s="1757"/>
      <c r="BY721" s="1757"/>
      <c r="BZ721" s="1757"/>
      <c r="CA721" s="1757"/>
      <c r="CB721" s="1757"/>
      <c r="CC721" s="1757"/>
      <c r="CD721" s="1757"/>
      <c r="CE721" s="1757"/>
      <c r="CF721" s="1757"/>
      <c r="CG721" s="1757"/>
      <c r="CH721" s="1757"/>
      <c r="CI721" s="1757"/>
      <c r="CJ721" s="1757"/>
      <c r="CK721" s="1757"/>
      <c r="CL721" s="1757"/>
      <c r="CM721" s="1757"/>
      <c r="CN721" s="1757"/>
      <c r="CO721" s="1757"/>
      <c r="CP721" s="1757"/>
      <c r="CQ721" s="1757"/>
      <c r="CR721" s="1757"/>
      <c r="CS721" s="1757"/>
      <c r="CT721" s="1757"/>
      <c r="CU721" s="1757"/>
      <c r="CV721" s="1757"/>
      <c r="CW721" s="1757"/>
      <c r="CX721" s="1757"/>
      <c r="CY721" s="1757"/>
      <c r="CZ721" s="1757"/>
      <c r="DA721" s="1757"/>
      <c r="DB721" s="1757"/>
      <c r="DC721" s="1757"/>
      <c r="DD721" s="1757"/>
      <c r="DE721" s="1757"/>
      <c r="DF721" s="1757"/>
      <c r="DG721" s="1757"/>
      <c r="DH721" s="1757"/>
      <c r="DI721" s="1757"/>
      <c r="DJ721" s="1757"/>
      <c r="DK721" s="1757"/>
      <c r="DL721" s="1757"/>
      <c r="DM721" s="1757"/>
      <c r="DN721" s="1757"/>
      <c r="DO721" s="1757"/>
      <c r="DP721" s="1757"/>
      <c r="DQ721" s="1757"/>
      <c r="DR721" s="1757"/>
      <c r="DS721" s="1757"/>
      <c r="DT721" s="1757"/>
      <c r="DU721" s="1757"/>
      <c r="DV721" s="1757"/>
      <c r="DW721" s="1757"/>
      <c r="DX721" s="1757"/>
      <c r="DY721" s="1757"/>
      <c r="DZ721" s="1757"/>
      <c r="EA721" s="1757"/>
      <c r="EB721" s="1757"/>
      <c r="EC721" s="1757"/>
      <c r="ED721" s="1757"/>
      <c r="EE721" s="1757"/>
      <c r="EF721" s="1757"/>
      <c r="EG721" s="1757"/>
      <c r="EH721" s="1757"/>
      <c r="EI721" s="1757"/>
      <c r="EJ721" s="1757"/>
      <c r="EK721" s="1757"/>
      <c r="EL721" s="1757"/>
      <c r="EM721" s="1757"/>
      <c r="EN721" s="1757"/>
      <c r="EO721" s="1757"/>
      <c r="EP721" s="1757"/>
      <c r="EQ721" s="1757"/>
      <c r="ER721" s="1757"/>
      <c r="ES721" s="1757"/>
      <c r="ET721" s="1757"/>
      <c r="EU721" s="1757"/>
      <c r="EV721" s="1757"/>
      <c r="EW721" s="1757"/>
      <c r="EX721" s="1757"/>
      <c r="EY721" s="1757"/>
      <c r="EZ721" s="1757"/>
      <c r="FA721" s="1757"/>
      <c r="FB721" s="1757"/>
      <c r="FC721" s="1757"/>
      <c r="FD721" s="1757"/>
      <c r="FE721" s="1757"/>
      <c r="FF721" s="1757"/>
      <c r="FG721" s="1757"/>
      <c r="FH721" s="1757"/>
      <c r="FI721" s="1757"/>
    </row>
    <row r="722" spans="1:165">
      <c r="A722" s="1757"/>
      <c r="B722" s="1757"/>
      <c r="C722" s="1757"/>
      <c r="D722" s="1757"/>
      <c r="E722" s="1757"/>
      <c r="F722" s="1757"/>
      <c r="G722" s="1757"/>
      <c r="H722" s="1757"/>
      <c r="I722" s="1757"/>
      <c r="J722" s="1757"/>
      <c r="K722" s="1757"/>
      <c r="L722" s="1757"/>
      <c r="M722" s="1757"/>
      <c r="N722" s="1757"/>
      <c r="O722" s="1757"/>
      <c r="P722" s="1757"/>
      <c r="Q722" s="1757"/>
      <c r="R722" s="1757"/>
      <c r="S722" s="1757"/>
      <c r="T722" s="1757"/>
      <c r="U722" s="1757"/>
      <c r="V722" s="1757"/>
      <c r="W722" s="1757"/>
      <c r="X722" s="1757"/>
      <c r="Y722" s="1757"/>
      <c r="Z722" s="1757"/>
      <c r="AA722" s="1757"/>
      <c r="AB722" s="1757"/>
      <c r="AC722" s="1757"/>
      <c r="AD722" s="1757"/>
      <c r="AE722" s="1757"/>
      <c r="AF722" s="1757"/>
      <c r="AG722" s="1757"/>
      <c r="AH722" s="1757"/>
      <c r="AI722" s="1757"/>
      <c r="AJ722" s="1757"/>
      <c r="AK722" s="1757"/>
      <c r="AL722" s="1757"/>
      <c r="AM722" s="1757"/>
      <c r="AN722" s="1757"/>
      <c r="AO722" s="1757"/>
      <c r="AP722" s="1757"/>
      <c r="AQ722" s="1757"/>
      <c r="AR722" s="1757"/>
      <c r="AS722" s="1757"/>
      <c r="AT722" s="1757"/>
      <c r="AU722" s="1757"/>
      <c r="AV722" s="1757"/>
      <c r="AW722" s="1757"/>
      <c r="AX722" s="1757"/>
      <c r="AY722" s="1757"/>
      <c r="AZ722" s="1757"/>
      <c r="BA722" s="1757"/>
      <c r="BB722" s="1757"/>
      <c r="BC722" s="1757"/>
      <c r="BD722" s="1757"/>
      <c r="BE722" s="1757"/>
      <c r="BF722" s="1757"/>
      <c r="BG722" s="1757"/>
      <c r="BH722" s="1757"/>
      <c r="BI722" s="1757"/>
      <c r="BJ722" s="1757"/>
      <c r="BK722" s="1757"/>
      <c r="BL722" s="1757"/>
      <c r="BM722" s="1757"/>
      <c r="BN722" s="1757"/>
      <c r="BO722" s="1757"/>
      <c r="BP722" s="1757"/>
      <c r="BQ722" s="1757"/>
      <c r="BR722" s="1757"/>
      <c r="BS722" s="1757"/>
      <c r="BT722" s="1757"/>
      <c r="BU722" s="1757"/>
      <c r="BV722" s="1757"/>
      <c r="BW722" s="1757"/>
      <c r="BX722" s="1757"/>
      <c r="BY722" s="1757"/>
      <c r="BZ722" s="1757"/>
      <c r="CA722" s="1757"/>
      <c r="CB722" s="1757"/>
      <c r="CC722" s="1757"/>
      <c r="CD722" s="1757"/>
      <c r="CE722" s="1757"/>
      <c r="CF722" s="1757"/>
      <c r="CG722" s="1757"/>
      <c r="CH722" s="1757"/>
      <c r="CI722" s="1757"/>
      <c r="CJ722" s="1757"/>
      <c r="CK722" s="1757"/>
      <c r="CL722" s="1757"/>
      <c r="CM722" s="1757"/>
      <c r="CN722" s="1757"/>
      <c r="CO722" s="1757"/>
      <c r="CP722" s="1757"/>
      <c r="CQ722" s="1757"/>
      <c r="CR722" s="1757"/>
      <c r="CS722" s="1757"/>
      <c r="CT722" s="1757"/>
      <c r="CU722" s="1757"/>
      <c r="CV722" s="1757"/>
      <c r="CW722" s="1757"/>
      <c r="CX722" s="1757"/>
      <c r="CY722" s="1757"/>
      <c r="CZ722" s="1757"/>
      <c r="DA722" s="1757"/>
      <c r="DB722" s="1757"/>
      <c r="DC722" s="1757"/>
      <c r="DD722" s="1757"/>
      <c r="DE722" s="1757"/>
      <c r="DF722" s="1757"/>
      <c r="DG722" s="1757"/>
      <c r="DH722" s="1757"/>
      <c r="DI722" s="1757"/>
      <c r="DJ722" s="1757"/>
      <c r="DK722" s="1757"/>
      <c r="DL722" s="1757"/>
      <c r="DM722" s="1757"/>
      <c r="DN722" s="1757"/>
      <c r="DO722" s="1757"/>
      <c r="DP722" s="1757"/>
      <c r="DQ722" s="1757"/>
      <c r="DR722" s="1757"/>
      <c r="DS722" s="1757"/>
      <c r="DT722" s="1757"/>
      <c r="DU722" s="1757"/>
      <c r="DV722" s="1757"/>
      <c r="DW722" s="1757"/>
      <c r="DX722" s="1757"/>
      <c r="DY722" s="1757"/>
      <c r="DZ722" s="1757"/>
      <c r="EA722" s="1757"/>
      <c r="EB722" s="1757"/>
      <c r="EC722" s="1757"/>
      <c r="ED722" s="1757"/>
      <c r="EE722" s="1757"/>
      <c r="EF722" s="1757"/>
      <c r="EG722" s="1757"/>
      <c r="EH722" s="1757"/>
      <c r="EI722" s="1757"/>
      <c r="EJ722" s="1757"/>
      <c r="EK722" s="1757"/>
      <c r="EL722" s="1757"/>
      <c r="EM722" s="1757"/>
      <c r="EN722" s="1757"/>
      <c r="EO722" s="1757"/>
      <c r="EP722" s="1757"/>
      <c r="EQ722" s="1757"/>
      <c r="ER722" s="1757"/>
      <c r="ES722" s="1757"/>
      <c r="ET722" s="1757"/>
      <c r="EU722" s="1757"/>
      <c r="EV722" s="1757"/>
      <c r="EW722" s="1757"/>
      <c r="EX722" s="1757"/>
      <c r="EY722" s="1757"/>
      <c r="EZ722" s="1757"/>
      <c r="FA722" s="1757"/>
      <c r="FB722" s="1757"/>
      <c r="FC722" s="1757"/>
      <c r="FD722" s="1757"/>
      <c r="FE722" s="1757"/>
      <c r="FF722" s="1757"/>
      <c r="FG722" s="1757"/>
      <c r="FH722" s="1757"/>
      <c r="FI722" s="1757"/>
    </row>
    <row r="723" spans="1:165">
      <c r="A723" s="1757"/>
      <c r="B723" s="1757"/>
      <c r="C723" s="1757"/>
      <c r="D723" s="1757"/>
      <c r="E723" s="1757"/>
      <c r="F723" s="1757"/>
      <c r="G723" s="1757"/>
      <c r="H723" s="1757"/>
      <c r="I723" s="1757"/>
      <c r="J723" s="1757"/>
      <c r="K723" s="1757"/>
      <c r="L723" s="1757"/>
      <c r="M723" s="1757"/>
      <c r="N723" s="1757"/>
      <c r="O723" s="1757"/>
      <c r="P723" s="1757"/>
      <c r="Q723" s="1757"/>
      <c r="R723" s="1757"/>
      <c r="S723" s="1757"/>
      <c r="T723" s="1757"/>
      <c r="U723" s="1757"/>
      <c r="V723" s="1757"/>
      <c r="W723" s="1757"/>
      <c r="X723" s="1757"/>
      <c r="Y723" s="1757"/>
      <c r="Z723" s="1757"/>
      <c r="AA723" s="1757"/>
      <c r="AB723" s="1757"/>
      <c r="AC723" s="1757"/>
      <c r="AD723" s="1757"/>
      <c r="AE723" s="1757"/>
      <c r="AF723" s="1757"/>
      <c r="AG723" s="1757"/>
      <c r="AH723" s="1757"/>
      <c r="AI723" s="1757"/>
      <c r="AJ723" s="1757"/>
      <c r="AK723" s="1757"/>
      <c r="AL723" s="1757"/>
      <c r="AM723" s="1757"/>
      <c r="AN723" s="1757"/>
      <c r="AO723" s="1757"/>
      <c r="AP723" s="1757"/>
      <c r="AQ723" s="1757"/>
      <c r="AR723" s="1757"/>
      <c r="AS723" s="1757"/>
      <c r="AT723" s="1757"/>
      <c r="AU723" s="1757"/>
      <c r="AV723" s="1757"/>
      <c r="AW723" s="1757"/>
      <c r="AX723" s="1757"/>
      <c r="AY723" s="1757"/>
      <c r="AZ723" s="1757"/>
      <c r="BA723" s="1757"/>
      <c r="BB723" s="1757"/>
      <c r="BC723" s="1757"/>
      <c r="BD723" s="1757"/>
      <c r="BE723" s="1757"/>
      <c r="BF723" s="1757"/>
      <c r="BG723" s="1757"/>
      <c r="BH723" s="1757"/>
      <c r="BI723" s="1757"/>
      <c r="BJ723" s="1757"/>
      <c r="BK723" s="1757"/>
      <c r="BL723" s="1757"/>
      <c r="BM723" s="1757"/>
      <c r="BN723" s="1757"/>
      <c r="BO723" s="1757"/>
      <c r="BP723" s="1757"/>
      <c r="BQ723" s="1757"/>
      <c r="BR723" s="1757"/>
      <c r="BS723" s="1757"/>
      <c r="BT723" s="1757"/>
      <c r="BU723" s="1757"/>
      <c r="BV723" s="1757"/>
      <c r="BW723" s="1757"/>
      <c r="BX723" s="1757"/>
      <c r="BY723" s="1757"/>
      <c r="BZ723" s="1757"/>
      <c r="CA723" s="1757"/>
      <c r="CB723" s="1757"/>
      <c r="CC723" s="1757"/>
      <c r="CD723" s="1757"/>
      <c r="CE723" s="1757"/>
      <c r="CF723" s="1757"/>
      <c r="CG723" s="1757"/>
      <c r="CH723" s="1757"/>
      <c r="CI723" s="1757"/>
      <c r="CJ723" s="1757"/>
      <c r="CK723" s="1757"/>
      <c r="CL723" s="1757"/>
      <c r="CM723" s="1757"/>
      <c r="CN723" s="1757"/>
      <c r="CO723" s="1757"/>
      <c r="CP723" s="1757"/>
      <c r="CQ723" s="1757"/>
      <c r="CR723" s="1757"/>
      <c r="CS723" s="1757"/>
      <c r="CT723" s="1757"/>
      <c r="CU723" s="1757"/>
      <c r="CV723" s="1757"/>
      <c r="CW723" s="1757"/>
      <c r="CX723" s="1757"/>
      <c r="CY723" s="1757"/>
      <c r="CZ723" s="1757"/>
      <c r="DA723" s="1757"/>
      <c r="DB723" s="1757"/>
      <c r="DC723" s="1757"/>
      <c r="DD723" s="1757"/>
      <c r="DE723" s="1757"/>
      <c r="DF723" s="1757"/>
      <c r="DG723" s="1757"/>
      <c r="DH723" s="1757"/>
      <c r="DI723" s="1757"/>
      <c r="DJ723" s="1757"/>
      <c r="DK723" s="1757"/>
      <c r="DL723" s="1757"/>
      <c r="DM723" s="1757"/>
      <c r="DN723" s="1757"/>
      <c r="DO723" s="1757"/>
      <c r="DP723" s="1757"/>
      <c r="DQ723" s="1757"/>
      <c r="DR723" s="1757"/>
      <c r="DS723" s="1757"/>
      <c r="DT723" s="1757"/>
      <c r="DU723" s="1757"/>
      <c r="DV723" s="1757"/>
      <c r="DW723" s="1757"/>
      <c r="DX723" s="1757"/>
      <c r="DY723" s="1757"/>
      <c r="DZ723" s="1757"/>
      <c r="EA723" s="1757"/>
      <c r="EB723" s="1757"/>
      <c r="EC723" s="1757"/>
      <c r="ED723" s="1757"/>
      <c r="EE723" s="1757"/>
      <c r="EF723" s="1757"/>
      <c r="EG723" s="1757"/>
      <c r="EH723" s="1757"/>
      <c r="EI723" s="1757"/>
      <c r="EJ723" s="1757"/>
      <c r="EK723" s="1757"/>
      <c r="EL723" s="1757"/>
      <c r="EM723" s="1757"/>
      <c r="EN723" s="1757"/>
      <c r="EO723" s="1757"/>
      <c r="EP723" s="1757"/>
      <c r="EQ723" s="1757"/>
      <c r="ER723" s="1757"/>
      <c r="ES723" s="1757"/>
      <c r="ET723" s="1757"/>
      <c r="EU723" s="1757"/>
      <c r="EV723" s="1757"/>
      <c r="EW723" s="1757"/>
      <c r="EX723" s="1757"/>
      <c r="EY723" s="1757"/>
      <c r="EZ723" s="1757"/>
      <c r="FA723" s="1757"/>
      <c r="FB723" s="1757"/>
      <c r="FC723" s="1757"/>
      <c r="FD723" s="1757"/>
      <c r="FE723" s="1757"/>
      <c r="FF723" s="1757"/>
      <c r="FG723" s="1757"/>
      <c r="FH723" s="1757"/>
      <c r="FI723" s="1757"/>
    </row>
    <row r="724" spans="1:165">
      <c r="A724" s="1757"/>
      <c r="B724" s="1757"/>
      <c r="C724" s="1757"/>
      <c r="D724" s="1757"/>
      <c r="E724" s="1757"/>
      <c r="F724" s="1757"/>
      <c r="G724" s="1757"/>
      <c r="H724" s="1757"/>
      <c r="I724" s="1757"/>
      <c r="J724" s="1757"/>
      <c r="K724" s="1757"/>
      <c r="L724" s="1757"/>
      <c r="M724" s="1757"/>
      <c r="N724" s="1757"/>
      <c r="O724" s="1757"/>
      <c r="P724" s="1757"/>
      <c r="Q724" s="1757"/>
      <c r="R724" s="1757"/>
      <c r="S724" s="1757"/>
      <c r="T724" s="1757"/>
      <c r="U724" s="1757"/>
      <c r="V724" s="1757"/>
      <c r="W724" s="1757"/>
      <c r="X724" s="1757"/>
      <c r="Y724" s="1757"/>
      <c r="Z724" s="1757"/>
      <c r="AA724" s="1757"/>
      <c r="AB724" s="1757"/>
      <c r="AC724" s="1757"/>
      <c r="AD724" s="1757"/>
      <c r="AE724" s="1757"/>
      <c r="AF724" s="1757"/>
      <c r="AG724" s="1757"/>
      <c r="AH724" s="1757"/>
      <c r="AI724" s="1757"/>
      <c r="AJ724" s="1757"/>
      <c r="AK724" s="1757"/>
      <c r="AL724" s="1757"/>
      <c r="AM724" s="1757"/>
      <c r="AN724" s="1757"/>
      <c r="AO724" s="1757"/>
      <c r="AP724" s="1757"/>
      <c r="AQ724" s="1757"/>
      <c r="AR724" s="1757"/>
      <c r="AS724" s="1757"/>
      <c r="AT724" s="1757"/>
      <c r="AU724" s="1757"/>
      <c r="AV724" s="1757"/>
      <c r="AW724" s="1757"/>
      <c r="AX724" s="1757"/>
      <c r="AY724" s="1757"/>
      <c r="AZ724" s="1757"/>
      <c r="BA724" s="1757"/>
      <c r="BB724" s="1757"/>
      <c r="BC724" s="1757"/>
      <c r="BD724" s="1757"/>
      <c r="BE724" s="1757"/>
      <c r="BF724" s="1757"/>
      <c r="BG724" s="1757"/>
      <c r="BH724" s="1757"/>
      <c r="BI724" s="1757"/>
      <c r="BJ724" s="1757"/>
      <c r="BK724" s="1757"/>
      <c r="BL724" s="1757"/>
      <c r="BM724" s="1757"/>
      <c r="BN724" s="1757"/>
      <c r="BO724" s="1757"/>
      <c r="BP724" s="1757"/>
      <c r="BQ724" s="1757"/>
      <c r="BR724" s="1757"/>
      <c r="BS724" s="1757"/>
      <c r="BT724" s="1757"/>
      <c r="BU724" s="1757"/>
      <c r="BV724" s="1757"/>
      <c r="BW724" s="1757"/>
      <c r="BX724" s="1757"/>
      <c r="BY724" s="1757"/>
      <c r="BZ724" s="1757"/>
      <c r="CA724" s="1757"/>
      <c r="CB724" s="1757"/>
      <c r="CC724" s="1757"/>
      <c r="CD724" s="1757"/>
      <c r="CE724" s="1757"/>
      <c r="CF724" s="1757"/>
      <c r="CG724" s="1757"/>
      <c r="CH724" s="1757"/>
      <c r="CI724" s="1757"/>
      <c r="CJ724" s="1757"/>
      <c r="CK724" s="1757"/>
      <c r="CL724" s="1757"/>
      <c r="CM724" s="1757"/>
      <c r="CN724" s="1757"/>
      <c r="CO724" s="1757"/>
      <c r="CP724" s="1757"/>
      <c r="CQ724" s="1757"/>
      <c r="CR724" s="1757"/>
      <c r="CS724" s="1757"/>
      <c r="CT724" s="1757"/>
      <c r="CU724" s="1757"/>
      <c r="CV724" s="1757"/>
      <c r="CW724" s="1757"/>
      <c r="CX724" s="1757"/>
      <c r="CY724" s="1757"/>
      <c r="CZ724" s="1757"/>
      <c r="DA724" s="1757"/>
      <c r="DB724" s="1757"/>
      <c r="DC724" s="1757"/>
      <c r="DD724" s="1757"/>
      <c r="DE724" s="1757"/>
      <c r="DF724" s="1757"/>
      <c r="DG724" s="1757"/>
      <c r="DH724" s="1757"/>
      <c r="DI724" s="1757"/>
      <c r="DJ724" s="1757"/>
      <c r="DK724" s="1757"/>
      <c r="DL724" s="1757"/>
      <c r="DM724" s="1757"/>
      <c r="DN724" s="1757"/>
      <c r="DO724" s="1757"/>
      <c r="DP724" s="1757"/>
      <c r="DQ724" s="1757"/>
      <c r="DR724" s="1757"/>
      <c r="DS724" s="1757"/>
      <c r="DT724" s="1757"/>
      <c r="DU724" s="1757"/>
      <c r="DV724" s="1757"/>
      <c r="DW724" s="1757"/>
      <c r="DX724" s="1757"/>
      <c r="DY724" s="1757"/>
      <c r="DZ724" s="1757"/>
      <c r="EA724" s="1757"/>
      <c r="EB724" s="1757"/>
      <c r="EC724" s="1757"/>
      <c r="ED724" s="1757"/>
      <c r="EE724" s="1757"/>
      <c r="EF724" s="1757"/>
      <c r="EG724" s="1757"/>
      <c r="EH724" s="1757"/>
      <c r="EI724" s="1757"/>
      <c r="EJ724" s="1757"/>
      <c r="EK724" s="1757"/>
      <c r="EL724" s="1757"/>
      <c r="EM724" s="1757"/>
      <c r="EN724" s="1757"/>
      <c r="EO724" s="1757"/>
      <c r="EP724" s="1757"/>
      <c r="EQ724" s="1757"/>
      <c r="ER724" s="1757"/>
      <c r="ES724" s="1757"/>
      <c r="ET724" s="1757"/>
      <c r="EU724" s="1757"/>
      <c r="EV724" s="1757"/>
      <c r="EW724" s="1757"/>
      <c r="EX724" s="1757"/>
      <c r="EY724" s="1757"/>
      <c r="EZ724" s="1757"/>
      <c r="FA724" s="1757"/>
      <c r="FB724" s="1757"/>
      <c r="FC724" s="1757"/>
      <c r="FD724" s="1757"/>
      <c r="FE724" s="1757"/>
      <c r="FF724" s="1757"/>
      <c r="FG724" s="1757"/>
      <c r="FH724" s="1757"/>
      <c r="FI724" s="1757"/>
    </row>
    <row r="725" spans="1:165">
      <c r="A725" s="1757"/>
      <c r="B725" s="1757"/>
      <c r="C725" s="1757"/>
      <c r="D725" s="1757"/>
      <c r="E725" s="1757"/>
      <c r="F725" s="1757"/>
      <c r="G725" s="1757"/>
      <c r="H725" s="1757"/>
      <c r="I725" s="1757"/>
      <c r="J725" s="1757"/>
      <c r="K725" s="1757"/>
      <c r="L725" s="1757"/>
      <c r="M725" s="1757"/>
      <c r="N725" s="1757"/>
      <c r="O725" s="1757"/>
      <c r="P725" s="1757"/>
      <c r="Q725" s="1757"/>
      <c r="R725" s="1757"/>
      <c r="S725" s="1757"/>
      <c r="T725" s="1757"/>
      <c r="U725" s="1757"/>
      <c r="V725" s="1757"/>
      <c r="W725" s="1757"/>
      <c r="X725" s="1757"/>
      <c r="Y725" s="1757"/>
      <c r="Z725" s="1757"/>
      <c r="AA725" s="1757"/>
      <c r="AB725" s="1757"/>
      <c r="AC725" s="1757"/>
      <c r="AD725" s="1757"/>
      <c r="AE725" s="1757"/>
      <c r="AF725" s="1757"/>
      <c r="AG725" s="1757"/>
      <c r="AH725" s="1757"/>
      <c r="AI725" s="1757"/>
      <c r="AJ725" s="1757"/>
      <c r="AK725" s="1757"/>
      <c r="AL725" s="1757"/>
      <c r="AM725" s="1757"/>
      <c r="AN725" s="1757"/>
      <c r="AO725" s="1757"/>
      <c r="AP725" s="1757"/>
      <c r="AQ725" s="1757"/>
      <c r="AR725" s="1757"/>
      <c r="AS725" s="1757"/>
      <c r="AT725" s="1757"/>
      <c r="AU725" s="1757"/>
      <c r="AV725" s="1757"/>
      <c r="AW725" s="1757"/>
      <c r="AX725" s="1757"/>
      <c r="AY725" s="1757"/>
      <c r="AZ725" s="1757"/>
      <c r="BA725" s="1757"/>
      <c r="BB725" s="1757"/>
      <c r="BC725" s="1757"/>
      <c r="BD725" s="1757"/>
      <c r="BE725" s="1757"/>
      <c r="BF725" s="1757"/>
      <c r="BG725" s="1757"/>
      <c r="BH725" s="1757"/>
      <c r="BI725" s="1757"/>
      <c r="BJ725" s="1757"/>
      <c r="BK725" s="1757"/>
      <c r="BL725" s="1757"/>
      <c r="BM725" s="1757"/>
      <c r="BN725" s="1757"/>
      <c r="BO725" s="1757"/>
      <c r="BP725" s="1757"/>
      <c r="BQ725" s="1757"/>
      <c r="BR725" s="1757"/>
      <c r="BS725" s="1757"/>
      <c r="BT725" s="1757"/>
      <c r="BU725" s="1757"/>
      <c r="BV725" s="1757"/>
      <c r="BW725" s="1757"/>
      <c r="BX725" s="1757"/>
      <c r="BY725" s="1757"/>
      <c r="BZ725" s="1757"/>
      <c r="CA725" s="1757"/>
      <c r="CB725" s="1757"/>
      <c r="CC725" s="1757"/>
      <c r="CD725" s="1757"/>
      <c r="CE725" s="1757"/>
      <c r="CF725" s="1757"/>
      <c r="CG725" s="1757"/>
      <c r="CH725" s="1757"/>
      <c r="CI725" s="1757"/>
      <c r="CJ725" s="1757"/>
      <c r="CK725" s="1757"/>
      <c r="CL725" s="1757"/>
      <c r="CM725" s="1757"/>
      <c r="CN725" s="1757"/>
      <c r="CO725" s="1757"/>
      <c r="CP725" s="1757"/>
      <c r="CQ725" s="1757"/>
      <c r="CR725" s="1757"/>
      <c r="CS725" s="1757"/>
      <c r="CT725" s="1757"/>
      <c r="CU725" s="1757"/>
      <c r="CV725" s="1757"/>
      <c r="CW725" s="1757"/>
      <c r="CX725" s="1757"/>
      <c r="CY725" s="1757"/>
      <c r="CZ725" s="1757"/>
      <c r="DA725" s="1757"/>
      <c r="DB725" s="1757"/>
      <c r="DC725" s="1757"/>
      <c r="DD725" s="1757"/>
      <c r="DE725" s="1757"/>
      <c r="DF725" s="1757"/>
      <c r="DG725" s="1757"/>
      <c r="DH725" s="1757"/>
      <c r="DI725" s="1757"/>
      <c r="DJ725" s="1757"/>
      <c r="DK725" s="1757"/>
      <c r="DL725" s="1757"/>
      <c r="DM725" s="1757"/>
      <c r="DN725" s="1757"/>
      <c r="DO725" s="1757"/>
      <c r="DP725" s="1757"/>
      <c r="DQ725" s="1757"/>
      <c r="DR725" s="1757"/>
      <c r="DS725" s="1757"/>
      <c r="DT725" s="1757"/>
      <c r="DU725" s="1757"/>
      <c r="DV725" s="1757"/>
      <c r="DW725" s="1757"/>
      <c r="DX725" s="1757"/>
      <c r="DY725" s="1757"/>
      <c r="DZ725" s="1757"/>
      <c r="EA725" s="1757"/>
      <c r="EB725" s="1757"/>
      <c r="EC725" s="1757"/>
      <c r="ED725" s="1757"/>
      <c r="EE725" s="1757"/>
      <c r="EF725" s="1757"/>
      <c r="EG725" s="1757"/>
      <c r="EH725" s="1757"/>
      <c r="EI725" s="1757"/>
      <c r="EJ725" s="1757"/>
      <c r="EK725" s="1757"/>
      <c r="EL725" s="1757"/>
      <c r="EM725" s="1757"/>
      <c r="EN725" s="1757"/>
      <c r="EO725" s="1757"/>
      <c r="EP725" s="1757"/>
      <c r="EQ725" s="1757"/>
      <c r="ER725" s="1757"/>
      <c r="ES725" s="1757"/>
      <c r="ET725" s="1757"/>
      <c r="EU725" s="1757"/>
      <c r="EV725" s="1757"/>
      <c r="EW725" s="1757"/>
      <c r="EX725" s="1757"/>
      <c r="EY725" s="1757"/>
      <c r="EZ725" s="1757"/>
      <c r="FA725" s="1757"/>
      <c r="FB725" s="1757"/>
      <c r="FC725" s="1757"/>
      <c r="FD725" s="1757"/>
      <c r="FE725" s="1757"/>
      <c r="FF725" s="1757"/>
      <c r="FG725" s="1757"/>
      <c r="FH725" s="1757"/>
      <c r="FI725" s="1757"/>
    </row>
    <row r="726" spans="1:165">
      <c r="A726" s="1757"/>
      <c r="B726" s="1757"/>
      <c r="C726" s="1757"/>
      <c r="D726" s="1757"/>
      <c r="E726" s="1757"/>
      <c r="F726" s="1757"/>
      <c r="G726" s="1757"/>
      <c r="H726" s="1757"/>
      <c r="I726" s="1757"/>
      <c r="J726" s="1757"/>
      <c r="K726" s="1757"/>
      <c r="L726" s="1757"/>
      <c r="M726" s="1757"/>
      <c r="N726" s="1757"/>
      <c r="O726" s="1757"/>
      <c r="P726" s="1757"/>
      <c r="Q726" s="1757"/>
      <c r="R726" s="1757"/>
      <c r="S726" s="1757"/>
      <c r="T726" s="1757"/>
      <c r="U726" s="1757"/>
      <c r="V726" s="1757"/>
      <c r="W726" s="1757"/>
      <c r="X726" s="1757"/>
      <c r="Y726" s="1757"/>
      <c r="Z726" s="1757"/>
      <c r="AA726" s="1757"/>
      <c r="AB726" s="1757"/>
      <c r="AC726" s="1757"/>
      <c r="AD726" s="1757"/>
      <c r="AE726" s="1757"/>
      <c r="AF726" s="1757"/>
      <c r="AG726" s="1757"/>
      <c r="AH726" s="1757"/>
      <c r="AI726" s="1757"/>
      <c r="AJ726" s="1757"/>
      <c r="AK726" s="1757"/>
      <c r="AL726" s="1757"/>
      <c r="AM726" s="1757"/>
      <c r="AN726" s="1757"/>
      <c r="AO726" s="1757"/>
      <c r="AP726" s="1757"/>
      <c r="AQ726" s="1757"/>
      <c r="AR726" s="1757"/>
      <c r="AS726" s="1757"/>
      <c r="AT726" s="1757"/>
      <c r="AU726" s="1757"/>
      <c r="AV726" s="1757"/>
      <c r="AW726" s="1757"/>
      <c r="AX726" s="1757"/>
      <c r="AY726" s="1757"/>
      <c r="AZ726" s="1757"/>
      <c r="BA726" s="1757"/>
      <c r="BB726" s="1757"/>
      <c r="BC726" s="1757"/>
      <c r="BD726" s="1757"/>
      <c r="BE726" s="1757"/>
      <c r="BF726" s="1757"/>
      <c r="BG726" s="1757"/>
      <c r="BH726" s="1757"/>
      <c r="BI726" s="1757"/>
      <c r="BJ726" s="1757"/>
      <c r="BK726" s="1757"/>
      <c r="BL726" s="1757"/>
      <c r="BM726" s="1757"/>
      <c r="BN726" s="1757"/>
      <c r="BO726" s="1757"/>
      <c r="BP726" s="1757"/>
      <c r="BQ726" s="1757"/>
      <c r="BR726" s="1757"/>
      <c r="BS726" s="1757"/>
      <c r="BT726" s="1757"/>
      <c r="BU726" s="1757"/>
      <c r="BV726" s="1757"/>
      <c r="BW726" s="1757"/>
      <c r="BX726" s="1757"/>
      <c r="BY726" s="1757"/>
      <c r="BZ726" s="1757"/>
      <c r="CA726" s="1757"/>
      <c r="CB726" s="1757"/>
      <c r="CC726" s="1757"/>
      <c r="CD726" s="1757"/>
      <c r="CE726" s="1757"/>
      <c r="CF726" s="1757"/>
      <c r="CG726" s="1757"/>
      <c r="CH726" s="1757"/>
      <c r="CI726" s="1757"/>
      <c r="CJ726" s="1757"/>
      <c r="CK726" s="1757"/>
      <c r="CL726" s="1757"/>
      <c r="CM726" s="1757"/>
      <c r="CN726" s="1757"/>
      <c r="CO726" s="1757"/>
      <c r="CP726" s="1757"/>
      <c r="CQ726" s="1757"/>
      <c r="CR726" s="1757"/>
      <c r="CS726" s="1757"/>
      <c r="CT726" s="1757"/>
      <c r="CU726" s="1757"/>
      <c r="CV726" s="1757"/>
      <c r="CW726" s="1757"/>
      <c r="CX726" s="1757"/>
      <c r="CY726" s="1757"/>
      <c r="CZ726" s="1757"/>
      <c r="DA726" s="1757"/>
      <c r="DB726" s="1757"/>
      <c r="DC726" s="1757"/>
      <c r="DD726" s="1757"/>
      <c r="DE726" s="1757"/>
      <c r="DF726" s="1757"/>
      <c r="DG726" s="1757"/>
      <c r="DH726" s="1757"/>
      <c r="DI726" s="1757"/>
      <c r="DJ726" s="1757"/>
      <c r="DK726" s="1757"/>
      <c r="DL726" s="1757"/>
      <c r="DM726" s="1757"/>
      <c r="DN726" s="1757"/>
      <c r="DO726" s="1757"/>
      <c r="DP726" s="1757"/>
      <c r="DQ726" s="1757"/>
      <c r="DR726" s="1757"/>
      <c r="DS726" s="1757"/>
      <c r="DT726" s="1757"/>
      <c r="DU726" s="1757"/>
      <c r="DV726" s="1757"/>
      <c r="DW726" s="1757"/>
      <c r="DX726" s="1757"/>
      <c r="DY726" s="1757"/>
      <c r="DZ726" s="1757"/>
      <c r="EA726" s="1757"/>
      <c r="EB726" s="1757"/>
      <c r="EC726" s="1757"/>
      <c r="ED726" s="1757"/>
      <c r="EE726" s="1757"/>
      <c r="EF726" s="1757"/>
      <c r="EG726" s="1757"/>
      <c r="EH726" s="1757"/>
      <c r="EI726" s="1757"/>
      <c r="EJ726" s="1757"/>
      <c r="EK726" s="1757"/>
      <c r="EL726" s="1757"/>
      <c r="EM726" s="1757"/>
      <c r="EN726" s="1757"/>
      <c r="EO726" s="1757"/>
      <c r="EP726" s="1757"/>
      <c r="EQ726" s="1757"/>
      <c r="ER726" s="1757"/>
      <c r="ES726" s="1757"/>
      <c r="ET726" s="1757"/>
      <c r="EU726" s="1757"/>
      <c r="EV726" s="1757"/>
      <c r="EW726" s="1757"/>
      <c r="EX726" s="1757"/>
      <c r="EY726" s="1757"/>
      <c r="EZ726" s="1757"/>
      <c r="FA726" s="1757"/>
      <c r="FB726" s="1757"/>
      <c r="FC726" s="1757"/>
      <c r="FD726" s="1757"/>
      <c r="FE726" s="1757"/>
      <c r="FF726" s="1757"/>
      <c r="FG726" s="1757"/>
      <c r="FH726" s="1757"/>
      <c r="FI726" s="1757"/>
    </row>
    <row r="727" spans="1:165">
      <c r="A727" s="1757"/>
      <c r="B727" s="1757"/>
      <c r="C727" s="1757"/>
      <c r="D727" s="1757"/>
      <c r="E727" s="1757"/>
      <c r="F727" s="1757"/>
      <c r="G727" s="1757"/>
      <c r="H727" s="1757"/>
      <c r="I727" s="1757"/>
      <c r="J727" s="1757"/>
      <c r="K727" s="1757"/>
      <c r="L727" s="1757"/>
      <c r="M727" s="1757"/>
      <c r="N727" s="1757"/>
      <c r="O727" s="1757"/>
      <c r="P727" s="1757"/>
      <c r="Q727" s="1757"/>
      <c r="R727" s="1757"/>
      <c r="S727" s="1757"/>
      <c r="T727" s="1757"/>
      <c r="U727" s="1757"/>
      <c r="V727" s="1757"/>
      <c r="W727" s="1757"/>
      <c r="X727" s="1757"/>
      <c r="Y727" s="1757"/>
      <c r="Z727" s="1757"/>
      <c r="AA727" s="1757"/>
      <c r="AB727" s="1757"/>
      <c r="AC727" s="1757"/>
      <c r="AD727" s="1757"/>
      <c r="AE727" s="1757"/>
      <c r="AF727" s="1757"/>
      <c r="AG727" s="1757"/>
      <c r="AH727" s="1757"/>
      <c r="AI727" s="1757"/>
      <c r="AJ727" s="1757"/>
      <c r="AK727" s="1757"/>
      <c r="AL727" s="1757"/>
      <c r="AM727" s="1757"/>
      <c r="AN727" s="1757"/>
      <c r="AO727" s="1757"/>
      <c r="AP727" s="1757"/>
      <c r="AQ727" s="1757"/>
      <c r="AR727" s="1757"/>
      <c r="AS727" s="1757"/>
      <c r="AT727" s="1757"/>
      <c r="AU727" s="1757"/>
      <c r="AV727" s="1757"/>
      <c r="AW727" s="1757"/>
      <c r="AX727" s="1757"/>
      <c r="AY727" s="1757"/>
      <c r="AZ727" s="1757"/>
      <c r="BA727" s="1757"/>
      <c r="BB727" s="1757"/>
      <c r="BC727" s="1757"/>
      <c r="BD727" s="1757"/>
      <c r="BE727" s="1757"/>
      <c r="BF727" s="1757"/>
      <c r="BG727" s="1757"/>
      <c r="BH727" s="1757"/>
      <c r="BI727" s="1757"/>
      <c r="BJ727" s="1757"/>
      <c r="BK727" s="1757"/>
      <c r="BL727" s="1757"/>
      <c r="BM727" s="1757"/>
      <c r="BN727" s="1757"/>
      <c r="BO727" s="1757"/>
      <c r="BP727" s="1757"/>
      <c r="BQ727" s="1757"/>
      <c r="BR727" s="1757"/>
      <c r="BS727" s="1757"/>
      <c r="BT727" s="1757"/>
      <c r="BU727" s="1757"/>
      <c r="BV727" s="1757"/>
      <c r="BW727" s="1757"/>
      <c r="BX727" s="1757"/>
      <c r="BY727" s="1757"/>
      <c r="BZ727" s="1757"/>
      <c r="CA727" s="1757"/>
      <c r="CB727" s="1757"/>
      <c r="CC727" s="1757"/>
      <c r="CD727" s="1757"/>
      <c r="CE727" s="1757"/>
      <c r="CF727" s="1757"/>
      <c r="CG727" s="1757"/>
      <c r="CH727" s="1757"/>
      <c r="CI727" s="1757"/>
      <c r="CJ727" s="1757"/>
      <c r="CK727" s="1757"/>
      <c r="CL727" s="1757"/>
      <c r="CM727" s="1757"/>
      <c r="CN727" s="1757"/>
      <c r="CO727" s="1757"/>
      <c r="CP727" s="1757"/>
      <c r="CQ727" s="1757"/>
      <c r="CR727" s="1757"/>
      <c r="CS727" s="1757"/>
      <c r="CT727" s="1757"/>
      <c r="CU727" s="1757"/>
      <c r="CV727" s="1757"/>
      <c r="CW727" s="1757"/>
      <c r="CX727" s="1757"/>
      <c r="CY727" s="1757"/>
      <c r="CZ727" s="1757"/>
      <c r="DA727" s="1757"/>
      <c r="DB727" s="1757"/>
      <c r="DC727" s="1757"/>
      <c r="DD727" s="1757"/>
      <c r="DE727" s="1757"/>
      <c r="DF727" s="1757"/>
      <c r="DG727" s="1757"/>
      <c r="DH727" s="1757"/>
      <c r="DI727" s="1757"/>
      <c r="DJ727" s="1757"/>
      <c r="DK727" s="1757"/>
      <c r="DL727" s="1757"/>
      <c r="DM727" s="1757"/>
      <c r="DN727" s="1757"/>
      <c r="DO727" s="1757"/>
      <c r="DP727" s="1757"/>
      <c r="DQ727" s="1757"/>
      <c r="DR727" s="1757"/>
      <c r="DS727" s="1757"/>
      <c r="DT727" s="1757"/>
      <c r="DU727" s="1757"/>
      <c r="DV727" s="1757"/>
      <c r="DW727" s="1757"/>
      <c r="DX727" s="1757"/>
      <c r="DY727" s="1757"/>
      <c r="DZ727" s="1757"/>
      <c r="EA727" s="1757"/>
      <c r="EB727" s="1757"/>
      <c r="EC727" s="1757"/>
      <c r="ED727" s="1757"/>
      <c r="EE727" s="1757"/>
      <c r="EF727" s="1757"/>
      <c r="EG727" s="1757"/>
      <c r="EH727" s="1757"/>
      <c r="EI727" s="1757"/>
      <c r="EJ727" s="1757"/>
      <c r="EK727" s="1757"/>
      <c r="EL727" s="1757"/>
      <c r="EM727" s="1757"/>
      <c r="EN727" s="1757"/>
      <c r="EO727" s="1757"/>
      <c r="EP727" s="1757"/>
      <c r="EQ727" s="1757"/>
      <c r="ER727" s="1757"/>
      <c r="ES727" s="1757"/>
      <c r="ET727" s="1757"/>
      <c r="EU727" s="1757"/>
      <c r="EV727" s="1757"/>
      <c r="EW727" s="1757"/>
      <c r="EX727" s="1757"/>
      <c r="EY727" s="1757"/>
      <c r="EZ727" s="1757"/>
      <c r="FA727" s="1757"/>
      <c r="FB727" s="1757"/>
      <c r="FC727" s="1757"/>
      <c r="FD727" s="1757"/>
      <c r="FE727" s="1757"/>
      <c r="FF727" s="1757"/>
      <c r="FG727" s="1757"/>
      <c r="FH727" s="1757"/>
      <c r="FI727" s="1757"/>
    </row>
    <row r="728" spans="1:165">
      <c r="A728" s="1757"/>
      <c r="B728" s="1757"/>
      <c r="C728" s="1757"/>
      <c r="D728" s="1757"/>
      <c r="E728" s="1757"/>
      <c r="F728" s="1757"/>
      <c r="G728" s="1757"/>
      <c r="H728" s="1757"/>
      <c r="I728" s="1757"/>
      <c r="J728" s="1757"/>
      <c r="K728" s="1757"/>
      <c r="L728" s="1757"/>
      <c r="M728" s="1757"/>
      <c r="N728" s="1757"/>
      <c r="O728" s="1757"/>
      <c r="P728" s="1757"/>
      <c r="Q728" s="1757"/>
      <c r="R728" s="1757"/>
      <c r="S728" s="1757"/>
      <c r="T728" s="1757"/>
      <c r="U728" s="1757"/>
      <c r="V728" s="1757"/>
      <c r="W728" s="1757"/>
      <c r="X728" s="1757"/>
      <c r="Y728" s="1757"/>
      <c r="Z728" s="1757"/>
      <c r="AA728" s="1757"/>
      <c r="AB728" s="1757"/>
      <c r="AC728" s="1757"/>
      <c r="AD728" s="1757"/>
      <c r="AE728" s="1757"/>
      <c r="AF728" s="1757"/>
      <c r="AG728" s="1757"/>
      <c r="AH728" s="1757"/>
      <c r="AI728" s="1757"/>
      <c r="AJ728" s="1757"/>
      <c r="AK728" s="1757"/>
      <c r="AL728" s="1757"/>
      <c r="AM728" s="1757"/>
      <c r="AN728" s="1757"/>
      <c r="AO728" s="1757"/>
      <c r="AP728" s="1757"/>
      <c r="AQ728" s="1757"/>
      <c r="AR728" s="1757"/>
      <c r="AS728" s="1757"/>
      <c r="AT728" s="1757"/>
      <c r="AU728" s="1757"/>
      <c r="AV728" s="1757"/>
      <c r="AW728" s="1757"/>
      <c r="AX728" s="1757"/>
      <c r="AY728" s="1757"/>
      <c r="AZ728" s="1757"/>
      <c r="BA728" s="1757"/>
      <c r="BB728" s="1757"/>
      <c r="BC728" s="1757"/>
      <c r="BD728" s="1757"/>
      <c r="BE728" s="1757"/>
      <c r="BF728" s="1757"/>
      <c r="BG728" s="1757"/>
      <c r="BH728" s="1757"/>
      <c r="BI728" s="1757"/>
      <c r="BJ728" s="1757"/>
      <c r="BK728" s="1757"/>
      <c r="BL728" s="1757"/>
      <c r="BM728" s="1757"/>
      <c r="BN728" s="1757"/>
      <c r="BO728" s="1757"/>
      <c r="BP728" s="1757"/>
      <c r="BQ728" s="1757"/>
      <c r="BR728" s="1757"/>
      <c r="BS728" s="1757"/>
      <c r="BT728" s="1757"/>
      <c r="BU728" s="1757"/>
      <c r="BV728" s="1757"/>
      <c r="BW728" s="1757"/>
      <c r="BX728" s="1757"/>
      <c r="BY728" s="1757"/>
      <c r="BZ728" s="1757"/>
      <c r="CA728" s="1757"/>
      <c r="CB728" s="1757"/>
      <c r="CC728" s="1757"/>
      <c r="CD728" s="1757"/>
      <c r="CE728" s="1757"/>
      <c r="CF728" s="1757"/>
      <c r="CG728" s="1757"/>
      <c r="CH728" s="1757"/>
      <c r="CI728" s="1757"/>
      <c r="CJ728" s="1757"/>
      <c r="CK728" s="1757"/>
      <c r="CL728" s="1757"/>
      <c r="CM728" s="1757"/>
      <c r="CN728" s="1757"/>
      <c r="CO728" s="1757"/>
      <c r="CP728" s="1757"/>
      <c r="CQ728" s="1757"/>
      <c r="CR728" s="1757"/>
      <c r="CS728" s="1757"/>
      <c r="CT728" s="1757"/>
      <c r="CU728" s="1757"/>
      <c r="CV728" s="1757"/>
      <c r="CW728" s="1757"/>
      <c r="CX728" s="1757"/>
      <c r="CY728" s="1757"/>
      <c r="CZ728" s="1757"/>
      <c r="DA728" s="1757"/>
      <c r="DB728" s="1757"/>
      <c r="DC728" s="1757"/>
      <c r="DD728" s="1757"/>
      <c r="DE728" s="1757"/>
      <c r="DF728" s="1757"/>
      <c r="DG728" s="1757"/>
      <c r="DH728" s="1757"/>
      <c r="DI728" s="1757"/>
      <c r="DJ728" s="1757"/>
      <c r="DK728" s="1757"/>
      <c r="DL728" s="1757"/>
      <c r="DM728" s="1757"/>
      <c r="DN728" s="1757"/>
      <c r="DO728" s="1757"/>
      <c r="DP728" s="1757"/>
      <c r="DQ728" s="1757"/>
      <c r="DR728" s="1757"/>
      <c r="DS728" s="1757"/>
      <c r="DT728" s="1757"/>
      <c r="DU728" s="1757"/>
      <c r="DV728" s="1757"/>
      <c r="DW728" s="1757"/>
      <c r="DX728" s="1757"/>
      <c r="DY728" s="1757"/>
      <c r="DZ728" s="1757"/>
      <c r="EA728" s="1757"/>
      <c r="EB728" s="1757"/>
      <c r="EC728" s="1757"/>
      <c r="ED728" s="1757"/>
      <c r="EE728" s="1757"/>
      <c r="EF728" s="1757"/>
      <c r="EG728" s="1757"/>
      <c r="EH728" s="1757"/>
      <c r="EI728" s="1757"/>
      <c r="EJ728" s="1757"/>
      <c r="EK728" s="1757"/>
      <c r="EL728" s="1757"/>
      <c r="EM728" s="1757"/>
      <c r="EN728" s="1757"/>
      <c r="EO728" s="1757"/>
      <c r="EP728" s="1757"/>
      <c r="EQ728" s="1757"/>
      <c r="ER728" s="1757"/>
      <c r="ES728" s="1757"/>
      <c r="ET728" s="1757"/>
      <c r="EU728" s="1757"/>
      <c r="EV728" s="1757"/>
      <c r="EW728" s="1757"/>
      <c r="EX728" s="1757"/>
      <c r="EY728" s="1757"/>
      <c r="EZ728" s="1757"/>
      <c r="FA728" s="1757"/>
      <c r="FB728" s="1757"/>
      <c r="FC728" s="1757"/>
      <c r="FD728" s="1757"/>
      <c r="FE728" s="1757"/>
      <c r="FF728" s="1757"/>
      <c r="FG728" s="1757"/>
      <c r="FH728" s="1757"/>
      <c r="FI728" s="1757"/>
    </row>
    <row r="729" spans="1:165">
      <c r="A729" s="1757"/>
      <c r="B729" s="1757"/>
      <c r="C729" s="1757"/>
      <c r="D729" s="1757"/>
      <c r="E729" s="1757"/>
      <c r="F729" s="1757"/>
      <c r="G729" s="1757"/>
      <c r="H729" s="1757"/>
      <c r="I729" s="1757"/>
      <c r="J729" s="1757"/>
      <c r="K729" s="1757"/>
      <c r="L729" s="1757"/>
      <c r="M729" s="1757"/>
      <c r="N729" s="1757"/>
      <c r="O729" s="1757"/>
      <c r="P729" s="1757"/>
      <c r="Q729" s="1757"/>
      <c r="R729" s="1757"/>
      <c r="S729" s="1757"/>
      <c r="T729" s="1757"/>
      <c r="U729" s="1757"/>
      <c r="V729" s="1757"/>
      <c r="W729" s="1757"/>
      <c r="X729" s="1757"/>
      <c r="Y729" s="1757"/>
      <c r="Z729" s="1757"/>
      <c r="AA729" s="1757"/>
      <c r="AB729" s="1757"/>
      <c r="AC729" s="1757"/>
      <c r="AD729" s="1757"/>
      <c r="AE729" s="1757"/>
      <c r="AF729" s="1757"/>
      <c r="AG729" s="1757"/>
      <c r="AH729" s="1757"/>
      <c r="AI729" s="1757"/>
      <c r="AJ729" s="1757"/>
      <c r="AK729" s="1757"/>
      <c r="AL729" s="1757"/>
      <c r="AM729" s="1757"/>
      <c r="AN729" s="1757"/>
      <c r="AO729" s="1757"/>
      <c r="AP729" s="1757"/>
      <c r="AQ729" s="1757"/>
      <c r="AR729" s="1757"/>
      <c r="AS729" s="1757"/>
      <c r="AT729" s="1757"/>
      <c r="AU729" s="1757"/>
      <c r="AV729" s="1757"/>
      <c r="AW729" s="1757"/>
      <c r="AX729" s="1757"/>
      <c r="AY729" s="1757"/>
      <c r="AZ729" s="1757"/>
      <c r="BA729" s="1757"/>
      <c r="BB729" s="1757"/>
      <c r="BC729" s="1757"/>
      <c r="BD729" s="1757"/>
      <c r="BE729" s="1757"/>
      <c r="BF729" s="1757"/>
      <c r="BG729" s="1757"/>
      <c r="BH729" s="1757"/>
      <c r="BI729" s="1757"/>
      <c r="BJ729" s="1757"/>
      <c r="BK729" s="1757"/>
      <c r="BL729" s="1757"/>
      <c r="BM729" s="1757"/>
      <c r="BN729" s="1757"/>
      <c r="BO729" s="1757"/>
      <c r="BP729" s="1757"/>
      <c r="BQ729" s="1757"/>
      <c r="BR729" s="1757"/>
      <c r="BS729" s="1757"/>
      <c r="BT729" s="1757"/>
      <c r="BU729" s="1757"/>
      <c r="BV729" s="1757"/>
      <c r="BW729" s="1757"/>
      <c r="BX729" s="1757"/>
      <c r="BY729" s="1757"/>
      <c r="BZ729" s="1757"/>
      <c r="CA729" s="1757"/>
      <c r="CB729" s="1757"/>
      <c r="CC729" s="1757"/>
      <c r="CD729" s="1757"/>
      <c r="CE729" s="1757"/>
      <c r="CF729" s="1757"/>
      <c r="CG729" s="1757"/>
      <c r="CH729" s="1757"/>
      <c r="CI729" s="1757"/>
      <c r="CJ729" s="1757"/>
      <c r="CK729" s="1757"/>
      <c r="CL729" s="1757"/>
      <c r="CM729" s="1757"/>
      <c r="CN729" s="1757"/>
      <c r="CO729" s="1757"/>
      <c r="CP729" s="1757"/>
      <c r="CQ729" s="1757"/>
      <c r="CR729" s="1757"/>
      <c r="CS729" s="1757"/>
      <c r="CT729" s="1757"/>
      <c r="CU729" s="1757"/>
      <c r="CV729" s="1757"/>
      <c r="CW729" s="1757"/>
      <c r="CX729" s="1757"/>
      <c r="CY729" s="1757"/>
      <c r="CZ729" s="1757"/>
      <c r="DA729" s="1757"/>
      <c r="DB729" s="1757"/>
      <c r="DC729" s="1757"/>
      <c r="DD729" s="1757"/>
      <c r="DE729" s="1757"/>
      <c r="DF729" s="1757"/>
      <c r="DG729" s="1757"/>
      <c r="DH729" s="1757"/>
      <c r="DI729" s="1757"/>
      <c r="DJ729" s="1757"/>
      <c r="DK729" s="1757"/>
      <c r="DL729" s="1757"/>
      <c r="DM729" s="1757"/>
      <c r="DN729" s="1757"/>
      <c r="DO729" s="1757"/>
      <c r="DP729" s="1757"/>
      <c r="DQ729" s="1757"/>
      <c r="DR729" s="1757"/>
      <c r="DS729" s="1757"/>
      <c r="DT729" s="1757"/>
      <c r="DU729" s="1757"/>
      <c r="DV729" s="1757"/>
      <c r="DW729" s="1757"/>
      <c r="DX729" s="1757"/>
      <c r="DY729" s="1757"/>
      <c r="DZ729" s="1757"/>
      <c r="EA729" s="1757"/>
      <c r="EB729" s="1757"/>
      <c r="EC729" s="1757"/>
      <c r="ED729" s="1757"/>
      <c r="EE729" s="1757"/>
      <c r="EF729" s="1757"/>
      <c r="EG729" s="1757"/>
      <c r="EH729" s="1757"/>
      <c r="EI729" s="1757"/>
      <c r="EJ729" s="1757"/>
      <c r="EK729" s="1757"/>
      <c r="EL729" s="1757"/>
      <c r="EM729" s="1757"/>
      <c r="EN729" s="1757"/>
      <c r="EO729" s="1757"/>
      <c r="EP729" s="1757"/>
      <c r="EQ729" s="1757"/>
      <c r="ER729" s="1757"/>
      <c r="ES729" s="1757"/>
      <c r="ET729" s="1757"/>
      <c r="EU729" s="1757"/>
      <c r="EV729" s="1757"/>
      <c r="EW729" s="1757"/>
      <c r="EX729" s="1757"/>
      <c r="EY729" s="1757"/>
      <c r="EZ729" s="1757"/>
      <c r="FA729" s="1757"/>
      <c r="FB729" s="1757"/>
      <c r="FC729" s="1757"/>
      <c r="FD729" s="1757"/>
      <c r="FE729" s="1757"/>
      <c r="FF729" s="1757"/>
      <c r="FG729" s="1757"/>
      <c r="FH729" s="1757"/>
      <c r="FI729" s="1757"/>
    </row>
    <row r="730" spans="1:165">
      <c r="A730" s="1757"/>
      <c r="B730" s="1757"/>
      <c r="C730" s="1757"/>
      <c r="D730" s="1757"/>
      <c r="E730" s="1757"/>
      <c r="F730" s="1757"/>
      <c r="G730" s="1757"/>
      <c r="H730" s="1757"/>
      <c r="I730" s="1757"/>
      <c r="J730" s="1757"/>
      <c r="K730" s="1757"/>
      <c r="L730" s="1757"/>
      <c r="M730" s="1757"/>
      <c r="N730" s="1757"/>
      <c r="O730" s="1757"/>
      <c r="P730" s="1757"/>
      <c r="Q730" s="1757"/>
      <c r="R730" s="1757"/>
      <c r="S730" s="1757"/>
      <c r="T730" s="1757"/>
      <c r="U730" s="1757"/>
      <c r="V730" s="1757"/>
      <c r="W730" s="1757"/>
      <c r="X730" s="1757"/>
      <c r="Y730" s="1757"/>
      <c r="Z730" s="1757"/>
      <c r="AA730" s="1757"/>
      <c r="AB730" s="1757"/>
      <c r="AC730" s="1757"/>
      <c r="AD730" s="1757"/>
      <c r="AE730" s="1757"/>
      <c r="AF730" s="1757"/>
      <c r="AG730" s="1757"/>
      <c r="AH730" s="1757"/>
      <c r="AI730" s="1757"/>
      <c r="AJ730" s="1757"/>
      <c r="AK730" s="1757"/>
      <c r="AL730" s="1757"/>
      <c r="AM730" s="1757"/>
      <c r="AN730" s="1757"/>
      <c r="AO730" s="1757"/>
      <c r="AP730" s="1757"/>
      <c r="AQ730" s="1757"/>
      <c r="AR730" s="1757"/>
      <c r="AS730" s="1757"/>
      <c r="AT730" s="1757"/>
      <c r="AU730" s="1757"/>
      <c r="AV730" s="1757"/>
      <c r="AW730" s="1757"/>
      <c r="AX730" s="1757"/>
      <c r="AY730" s="1757"/>
      <c r="AZ730" s="1757"/>
      <c r="BA730" s="1757"/>
      <c r="BB730" s="1757"/>
      <c r="BC730" s="1757"/>
      <c r="BD730" s="1757"/>
      <c r="BE730" s="1757"/>
      <c r="BF730" s="1757"/>
      <c r="BG730" s="1757"/>
      <c r="BH730" s="1757"/>
      <c r="BI730" s="1757"/>
      <c r="BJ730" s="1757"/>
      <c r="BK730" s="1757"/>
      <c r="BL730" s="1757"/>
      <c r="BM730" s="1757"/>
      <c r="BN730" s="1757"/>
      <c r="BO730" s="1757"/>
      <c r="BP730" s="1757"/>
      <c r="BQ730" s="1757"/>
      <c r="BR730" s="1757"/>
      <c r="BS730" s="1757"/>
      <c r="BT730" s="1757"/>
      <c r="BU730" s="1757"/>
      <c r="BV730" s="1757"/>
      <c r="BW730" s="1757"/>
      <c r="BX730" s="1757"/>
      <c r="BY730" s="1757"/>
      <c r="BZ730" s="1757"/>
      <c r="CA730" s="1757"/>
      <c r="CB730" s="1757"/>
      <c r="CC730" s="1757"/>
      <c r="CD730" s="1757"/>
      <c r="CE730" s="1757"/>
      <c r="CF730" s="1757"/>
      <c r="CG730" s="1757"/>
      <c r="CH730" s="1757"/>
      <c r="CI730" s="1757"/>
      <c r="CJ730" s="1757"/>
      <c r="CK730" s="1757"/>
      <c r="CL730" s="1757"/>
      <c r="CM730" s="1757"/>
      <c r="CN730" s="1757"/>
      <c r="CO730" s="1757"/>
      <c r="CP730" s="1757"/>
      <c r="CQ730" s="1757"/>
      <c r="CR730" s="1757"/>
      <c r="CS730" s="1757"/>
      <c r="CT730" s="1757"/>
      <c r="CU730" s="1757"/>
      <c r="CV730" s="1757"/>
      <c r="CW730" s="1757"/>
      <c r="CX730" s="1757"/>
      <c r="CY730" s="1757"/>
      <c r="CZ730" s="1757"/>
      <c r="DA730" s="1757"/>
      <c r="DB730" s="1757"/>
      <c r="DC730" s="1757"/>
      <c r="DD730" s="1757"/>
      <c r="DE730" s="1757"/>
      <c r="DF730" s="1757"/>
      <c r="DG730" s="1757"/>
      <c r="DH730" s="1757"/>
      <c r="DI730" s="1757"/>
      <c r="DJ730" s="1757"/>
      <c r="DK730" s="1757"/>
      <c r="DL730" s="1757"/>
      <c r="DM730" s="1757"/>
      <c r="DN730" s="1757"/>
      <c r="DO730" s="1757"/>
      <c r="DP730" s="1757"/>
      <c r="DQ730" s="1757"/>
      <c r="DR730" s="1757"/>
      <c r="DS730" s="1757"/>
      <c r="DT730" s="1757"/>
      <c r="DU730" s="1757"/>
      <c r="DV730" s="1757"/>
      <c r="DW730" s="1757"/>
      <c r="DX730" s="1757"/>
      <c r="DY730" s="1757"/>
      <c r="DZ730" s="1757"/>
      <c r="EA730" s="1757"/>
      <c r="EB730" s="1757"/>
      <c r="EC730" s="1757"/>
      <c r="ED730" s="1757"/>
      <c r="EE730" s="1757"/>
      <c r="EF730" s="1757"/>
      <c r="EG730" s="1757"/>
      <c r="EH730" s="1757"/>
      <c r="EI730" s="1757"/>
      <c r="EJ730" s="1757"/>
      <c r="EK730" s="1757"/>
      <c r="EL730" s="1757"/>
      <c r="EM730" s="1757"/>
      <c r="EN730" s="1757"/>
      <c r="EO730" s="1757"/>
      <c r="EP730" s="1757"/>
      <c r="EQ730" s="1757"/>
      <c r="ER730" s="1757"/>
      <c r="ES730" s="1757"/>
      <c r="ET730" s="1757"/>
      <c r="EU730" s="1757"/>
      <c r="EV730" s="1757"/>
      <c r="EW730" s="1757"/>
      <c r="EX730" s="1757"/>
      <c r="EY730" s="1757"/>
      <c r="EZ730" s="1757"/>
      <c r="FA730" s="1757"/>
      <c r="FB730" s="1757"/>
      <c r="FC730" s="1757"/>
      <c r="FD730" s="1757"/>
      <c r="FE730" s="1757"/>
      <c r="FF730" s="1757"/>
      <c r="FG730" s="1757"/>
      <c r="FH730" s="1757"/>
      <c r="FI730" s="1757"/>
    </row>
    <row r="731" spans="1:165">
      <c r="A731" s="1757"/>
      <c r="B731" s="1757"/>
      <c r="C731" s="1757"/>
      <c r="D731" s="1757"/>
      <c r="E731" s="1757"/>
      <c r="F731" s="1757"/>
      <c r="G731" s="1757"/>
      <c r="H731" s="1757"/>
      <c r="I731" s="1757"/>
      <c r="J731" s="1757"/>
      <c r="K731" s="1757"/>
      <c r="L731" s="1757"/>
      <c r="M731" s="1757"/>
      <c r="N731" s="1757"/>
      <c r="O731" s="1757"/>
      <c r="P731" s="1757"/>
      <c r="Q731" s="1757"/>
      <c r="R731" s="1757"/>
      <c r="S731" s="1757"/>
      <c r="T731" s="1757"/>
      <c r="U731" s="1757"/>
      <c r="V731" s="1757"/>
      <c r="W731" s="1757"/>
      <c r="X731" s="1757"/>
      <c r="Y731" s="1757"/>
      <c r="Z731" s="1757"/>
      <c r="AA731" s="1757"/>
      <c r="AB731" s="1757"/>
      <c r="AC731" s="1757"/>
      <c r="AD731" s="1757"/>
      <c r="AE731" s="1757"/>
      <c r="AF731" s="1757"/>
      <c r="AG731" s="1757"/>
      <c r="AH731" s="1757"/>
      <c r="AI731" s="1757"/>
      <c r="AJ731" s="1757"/>
      <c r="AK731" s="1757"/>
      <c r="AL731" s="1757"/>
      <c r="AM731" s="1757"/>
      <c r="AN731" s="1757"/>
      <c r="AO731" s="1757"/>
      <c r="AP731" s="1757"/>
      <c r="AQ731" s="1757"/>
      <c r="AR731" s="1757"/>
      <c r="AS731" s="1757"/>
      <c r="AT731" s="1757"/>
      <c r="AU731" s="1757"/>
      <c r="AV731" s="1757"/>
      <c r="AW731" s="1757"/>
      <c r="AX731" s="1757"/>
      <c r="AY731" s="1757"/>
      <c r="AZ731" s="1757"/>
      <c r="BA731" s="1757"/>
      <c r="BB731" s="1757"/>
      <c r="BC731" s="1757"/>
      <c r="BD731" s="1757"/>
      <c r="BE731" s="1757"/>
      <c r="BF731" s="1757"/>
      <c r="BG731" s="1757"/>
      <c r="BH731" s="1757"/>
      <c r="BI731" s="1757"/>
      <c r="BJ731" s="1757"/>
      <c r="BK731" s="1757"/>
      <c r="BL731" s="1757"/>
      <c r="BM731" s="1757"/>
      <c r="BN731" s="1757"/>
      <c r="BO731" s="1757"/>
      <c r="BP731" s="1757"/>
      <c r="BQ731" s="1757"/>
      <c r="BR731" s="1757"/>
      <c r="BS731" s="1757"/>
      <c r="BT731" s="1757"/>
      <c r="BU731" s="1757"/>
      <c r="BV731" s="1757"/>
      <c r="BW731" s="1757"/>
      <c r="BX731" s="1757"/>
      <c r="BY731" s="1757"/>
      <c r="BZ731" s="1757"/>
      <c r="CA731" s="1757"/>
      <c r="CB731" s="1757"/>
      <c r="CC731" s="1757"/>
      <c r="CD731" s="1757"/>
      <c r="CE731" s="1757"/>
      <c r="CF731" s="1757"/>
      <c r="CG731" s="1757"/>
      <c r="CH731" s="1757"/>
      <c r="CI731" s="1757"/>
      <c r="CJ731" s="1757"/>
      <c r="CK731" s="1757"/>
      <c r="CL731" s="1757"/>
      <c r="CM731" s="1757"/>
      <c r="CN731" s="1757"/>
      <c r="CO731" s="1757"/>
      <c r="CP731" s="1757"/>
      <c r="CQ731" s="1757"/>
      <c r="CR731" s="1757"/>
      <c r="CS731" s="1757"/>
      <c r="CT731" s="1757"/>
      <c r="CU731" s="1757"/>
      <c r="CV731" s="1757"/>
      <c r="CW731" s="1757"/>
      <c r="CX731" s="1757"/>
      <c r="CY731" s="1757"/>
      <c r="CZ731" s="1757"/>
      <c r="DA731" s="1757"/>
      <c r="DB731" s="1757"/>
      <c r="DC731" s="1757"/>
      <c r="DD731" s="1757"/>
      <c r="DE731" s="1757"/>
      <c r="DF731" s="1757"/>
      <c r="DG731" s="1757"/>
      <c r="DH731" s="1757"/>
      <c r="DI731" s="1757"/>
      <c r="DJ731" s="1757"/>
      <c r="DK731" s="1757"/>
      <c r="DL731" s="1757"/>
      <c r="DM731" s="1757"/>
      <c r="DN731" s="1757"/>
      <c r="DO731" s="1757"/>
      <c r="DP731" s="1757"/>
      <c r="DQ731" s="1757"/>
      <c r="DR731" s="1757"/>
      <c r="DS731" s="1757"/>
      <c r="DT731" s="1757"/>
      <c r="DU731" s="1757"/>
      <c r="DV731" s="1757"/>
      <c r="DW731" s="1757"/>
      <c r="DX731" s="1757"/>
      <c r="DY731" s="1757"/>
      <c r="DZ731" s="1757"/>
      <c r="EA731" s="1757"/>
      <c r="EB731" s="1757"/>
      <c r="EC731" s="1757"/>
      <c r="ED731" s="1757"/>
      <c r="EE731" s="1757"/>
      <c r="EF731" s="1757"/>
      <c r="EG731" s="1757"/>
      <c r="EH731" s="1757"/>
      <c r="EI731" s="1757"/>
      <c r="EJ731" s="1757"/>
      <c r="EK731" s="1757"/>
      <c r="EL731" s="1757"/>
      <c r="EM731" s="1757"/>
      <c r="EN731" s="1757"/>
      <c r="EO731" s="1757"/>
      <c r="EP731" s="1757"/>
      <c r="EQ731" s="1757"/>
      <c r="ER731" s="1757"/>
      <c r="ES731" s="1757"/>
      <c r="ET731" s="1757"/>
      <c r="EU731" s="1757"/>
      <c r="EV731" s="1757"/>
      <c r="EW731" s="1757"/>
      <c r="EX731" s="1757"/>
      <c r="EY731" s="1757"/>
      <c r="EZ731" s="1757"/>
      <c r="FA731" s="1757"/>
      <c r="FB731" s="1757"/>
      <c r="FC731" s="1757"/>
      <c r="FD731" s="1757"/>
      <c r="FE731" s="1757"/>
      <c r="FF731" s="1757"/>
      <c r="FG731" s="1757"/>
      <c r="FH731" s="1757"/>
      <c r="FI731" s="1757"/>
    </row>
    <row r="732" spans="1:165">
      <c r="K732" s="261"/>
      <c r="L732" s="261"/>
      <c r="M732" s="261"/>
      <c r="N732" s="261"/>
      <c r="O732" s="261"/>
      <c r="P732" s="261"/>
      <c r="Q732" s="261"/>
      <c r="BR732" s="261"/>
      <c r="BS732" s="261"/>
      <c r="BT732" s="261"/>
      <c r="BU732" s="261"/>
      <c r="BV732" s="261"/>
      <c r="CJ732" s="261"/>
      <c r="CO732" s="261"/>
      <c r="CP732" s="261"/>
      <c r="CQ732" s="261"/>
      <c r="CR732" s="261"/>
      <c r="CS732" s="261"/>
      <c r="CT732" s="261"/>
      <c r="CU732" s="261"/>
      <c r="CV732" s="261"/>
      <c r="CW732" s="261"/>
      <c r="CX732" s="261"/>
      <c r="CY732" s="261"/>
      <c r="CZ732" s="261"/>
      <c r="DA732" s="261"/>
      <c r="DB732" s="261"/>
      <c r="DC732" s="261"/>
      <c r="DD732" s="261"/>
      <c r="DE732" s="261"/>
      <c r="DF732" s="261"/>
      <c r="DG732" s="261"/>
      <c r="DH732" s="261"/>
      <c r="DI732" s="261"/>
      <c r="DJ732" s="261"/>
      <c r="DK732" s="261"/>
      <c r="DL732" s="261"/>
      <c r="DM732" s="261"/>
      <c r="DN732" s="261"/>
      <c r="DO732" s="261"/>
      <c r="DP732" s="261"/>
      <c r="DQ732" s="261"/>
      <c r="DR732" s="261"/>
      <c r="DS732" s="261"/>
      <c r="DY732" s="261"/>
      <c r="EC732" s="261"/>
      <c r="EP732" s="261"/>
    </row>
    <row r="733" spans="1:165">
      <c r="K733" s="261"/>
      <c r="L733" s="261"/>
      <c r="M733" s="261"/>
      <c r="N733" s="261"/>
      <c r="O733" s="261"/>
      <c r="P733" s="261"/>
      <c r="Q733" s="261"/>
      <c r="BR733" s="261"/>
      <c r="BS733" s="261"/>
      <c r="BT733" s="261"/>
      <c r="BU733" s="261"/>
      <c r="BV733" s="261"/>
      <c r="CJ733" s="261"/>
      <c r="CO733" s="261"/>
      <c r="CP733" s="261"/>
      <c r="CQ733" s="261"/>
      <c r="CR733" s="261"/>
      <c r="CS733" s="261"/>
      <c r="CT733" s="261"/>
      <c r="CU733" s="261"/>
      <c r="CV733" s="261"/>
      <c r="CW733" s="261"/>
      <c r="CX733" s="261"/>
      <c r="CY733" s="261"/>
      <c r="CZ733" s="261"/>
      <c r="DA733" s="261"/>
      <c r="DB733" s="261"/>
      <c r="DC733" s="261"/>
      <c r="DD733" s="261"/>
      <c r="DE733" s="261"/>
      <c r="DF733" s="261"/>
      <c r="DG733" s="261"/>
      <c r="DH733" s="261"/>
      <c r="DI733" s="261"/>
      <c r="DJ733" s="261"/>
      <c r="DK733" s="261"/>
      <c r="DL733" s="261"/>
      <c r="DM733" s="261"/>
      <c r="DN733" s="261"/>
      <c r="DO733" s="261"/>
      <c r="DP733" s="261"/>
      <c r="DQ733" s="261"/>
      <c r="DR733" s="261"/>
      <c r="DS733" s="261"/>
      <c r="DY733" s="261"/>
      <c r="EC733" s="261"/>
      <c r="EP733" s="261"/>
    </row>
    <row r="734" spans="1:165">
      <c r="K734" s="261"/>
      <c r="L734" s="261"/>
      <c r="M734" s="261"/>
      <c r="N734" s="261"/>
      <c r="O734" s="261"/>
      <c r="P734" s="261"/>
      <c r="Q734" s="261"/>
      <c r="BR734" s="261"/>
      <c r="BS734" s="261"/>
      <c r="BT734" s="261"/>
      <c r="BU734" s="261"/>
      <c r="BV734" s="261"/>
      <c r="CJ734" s="261"/>
      <c r="CO734" s="261"/>
      <c r="CP734" s="261"/>
      <c r="CQ734" s="261"/>
      <c r="CR734" s="261"/>
      <c r="CS734" s="261"/>
      <c r="CT734" s="261"/>
      <c r="CU734" s="261"/>
      <c r="CV734" s="261"/>
      <c r="CW734" s="261"/>
      <c r="CX734" s="261"/>
      <c r="CY734" s="261"/>
      <c r="CZ734" s="261"/>
      <c r="DA734" s="261"/>
      <c r="DB734" s="261"/>
      <c r="DC734" s="261"/>
      <c r="DD734" s="261"/>
      <c r="DE734" s="261"/>
      <c r="DF734" s="261"/>
      <c r="DG734" s="261"/>
      <c r="DH734" s="261"/>
      <c r="DI734" s="261"/>
      <c r="DJ734" s="261"/>
      <c r="DK734" s="261"/>
      <c r="DL734" s="261"/>
      <c r="DM734" s="261"/>
      <c r="DN734" s="261"/>
      <c r="DO734" s="261"/>
      <c r="DP734" s="261"/>
      <c r="DQ734" s="261"/>
      <c r="DR734" s="261"/>
      <c r="DS734" s="261"/>
      <c r="DY734" s="261"/>
      <c r="EC734" s="261"/>
      <c r="EP734" s="261"/>
    </row>
    <row r="735" spans="1:165">
      <c r="K735" s="261"/>
      <c r="L735" s="261"/>
      <c r="M735" s="261"/>
      <c r="N735" s="261"/>
      <c r="O735" s="261"/>
      <c r="P735" s="261"/>
      <c r="Q735" s="261"/>
      <c r="BR735" s="261"/>
      <c r="BS735" s="261"/>
      <c r="BT735" s="261"/>
      <c r="BU735" s="261"/>
      <c r="BV735" s="261"/>
      <c r="CJ735" s="261"/>
      <c r="CO735" s="261"/>
      <c r="CP735" s="261"/>
      <c r="CQ735" s="261"/>
      <c r="CR735" s="261"/>
      <c r="CS735" s="261"/>
      <c r="CT735" s="261"/>
      <c r="CU735" s="261"/>
      <c r="CV735" s="261"/>
      <c r="CW735" s="261"/>
      <c r="CX735" s="261"/>
      <c r="CY735" s="261"/>
      <c r="CZ735" s="261"/>
      <c r="DA735" s="261"/>
      <c r="DB735" s="261"/>
      <c r="DC735" s="261"/>
      <c r="DD735" s="261"/>
      <c r="DE735" s="261"/>
      <c r="DF735" s="261"/>
      <c r="DG735" s="261"/>
      <c r="DH735" s="261"/>
      <c r="DI735" s="261"/>
      <c r="DJ735" s="261"/>
      <c r="DK735" s="261"/>
      <c r="DL735" s="261"/>
      <c r="DM735" s="261"/>
      <c r="DN735" s="261"/>
      <c r="DO735" s="261"/>
      <c r="DP735" s="261"/>
      <c r="DQ735" s="261"/>
      <c r="DR735" s="261"/>
      <c r="DS735" s="261"/>
      <c r="DY735" s="261"/>
      <c r="EC735" s="261"/>
      <c r="EP735" s="261"/>
    </row>
    <row r="736" spans="1:165">
      <c r="K736" s="261"/>
      <c r="L736" s="261"/>
      <c r="M736" s="261"/>
      <c r="N736" s="261"/>
      <c r="O736" s="261"/>
      <c r="P736" s="261"/>
      <c r="Q736" s="261"/>
      <c r="BR736" s="261"/>
      <c r="BS736" s="261"/>
      <c r="BT736" s="261"/>
      <c r="BU736" s="261"/>
      <c r="BV736" s="261"/>
      <c r="CJ736" s="261"/>
      <c r="CO736" s="261"/>
      <c r="CP736" s="261"/>
      <c r="CQ736" s="261"/>
      <c r="CR736" s="261"/>
      <c r="CS736" s="261"/>
      <c r="CT736" s="261"/>
      <c r="CU736" s="261"/>
      <c r="CV736" s="261"/>
      <c r="CW736" s="261"/>
      <c r="CX736" s="261"/>
      <c r="CY736" s="261"/>
      <c r="CZ736" s="261"/>
      <c r="DA736" s="261"/>
      <c r="DB736" s="261"/>
      <c r="DC736" s="261"/>
      <c r="DD736" s="261"/>
      <c r="DE736" s="261"/>
      <c r="DF736" s="261"/>
      <c r="DG736" s="261"/>
      <c r="DH736" s="261"/>
      <c r="DI736" s="261"/>
      <c r="DJ736" s="261"/>
      <c r="DK736" s="261"/>
      <c r="DL736" s="261"/>
      <c r="DM736" s="261"/>
      <c r="DN736" s="261"/>
      <c r="DO736" s="261"/>
      <c r="DP736" s="261"/>
      <c r="DQ736" s="261"/>
      <c r="DR736" s="261"/>
      <c r="DS736" s="261"/>
      <c r="DY736" s="261"/>
      <c r="EC736" s="261"/>
      <c r="EP736" s="261"/>
    </row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zoomScaleNormal="100" workbookViewId="0">
      <selection activeCell="A28" sqref="A28:C34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2" t="s">
        <v>1080</v>
      </c>
      <c r="C1" s="1021"/>
      <c r="D1" s="933"/>
      <c r="E1" s="933"/>
      <c r="F1" s="1131" t="s">
        <v>873</v>
      </c>
      <c r="G1" s="1132">
        <f ca="1">LnkTXTIRTEco</f>
        <v>1.49E-2</v>
      </c>
    </row>
    <row r="2" spans="2:19" ht="23.25" customHeight="1">
      <c r="B2" s="136" t="str">
        <f>CAPA!C9</f>
        <v>Coopera</v>
      </c>
      <c r="C2" s="70"/>
      <c r="D2" s="70"/>
      <c r="E2" s="70"/>
      <c r="F2" s="120" t="s">
        <v>877</v>
      </c>
      <c r="G2" s="121">
        <f ca="1">LnkTXTIRTTotal</f>
        <v>6.0000000000000001E-3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9" t="s">
        <v>778</v>
      </c>
      <c r="C4" s="1179" t="s">
        <v>695</v>
      </c>
      <c r="D4" s="1179" t="s">
        <v>696</v>
      </c>
      <c r="G4" s="68"/>
      <c r="H4" s="124"/>
      <c r="K4" s="1179" t="s">
        <v>895</v>
      </c>
      <c r="L4" s="1179" t="s">
        <v>695</v>
      </c>
      <c r="M4" s="1179" t="s">
        <v>898</v>
      </c>
      <c r="P4" s="68" t="s">
        <v>1083</v>
      </c>
    </row>
    <row r="5" spans="2:19">
      <c r="B5" s="1180" t="s">
        <v>1084</v>
      </c>
      <c r="C5" s="1181">
        <f ca="1">C6+C9</f>
        <v>357019.09603976109</v>
      </c>
      <c r="D5" s="1181">
        <f ca="1">SUM(D6,D9)</f>
        <v>356802.83200000005</v>
      </c>
      <c r="G5" s="68"/>
      <c r="K5" s="68" t="s">
        <v>781</v>
      </c>
      <c r="L5" s="92">
        <f ca="1">M5</f>
        <v>336793.47300000006</v>
      </c>
      <c r="M5" s="139">
        <f ca="1">FornecimentoE</f>
        <v>336793.47300000006</v>
      </c>
      <c r="P5" s="68" t="s">
        <v>1085</v>
      </c>
    </row>
    <row r="6" spans="2:19">
      <c r="B6" s="1182" t="s">
        <v>1086</v>
      </c>
      <c r="C6" s="1183">
        <f ca="1">LnkTXTEV</f>
        <v>336793.47300000006</v>
      </c>
      <c r="D6" s="1183">
        <f ca="1">SUM(D7:D8)</f>
        <v>336793.47300000006</v>
      </c>
      <c r="F6" s="1453">
        <f ca="1">C24/LnkTXTEV-1</f>
        <v>5.9411362167342219E-2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336793.47300000006</v>
      </c>
      <c r="D7" s="144">
        <f ca="1">M5</f>
        <v>336793.47300000006</v>
      </c>
      <c r="G7" s="68"/>
      <c r="K7" s="68" t="s">
        <v>1088</v>
      </c>
      <c r="L7" s="92">
        <f t="shared" ca="1" si="0"/>
        <v>0</v>
      </c>
      <c r="M7" s="139">
        <f ca="1">LivreE</f>
        <v>0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2" t="s">
        <v>1091</v>
      </c>
      <c r="C9" s="1183">
        <f ca="1">SUM(C10:C13)</f>
        <v>20225.623039761005</v>
      </c>
      <c r="D9" s="1183">
        <f ca="1">SUM(D10:D13)</f>
        <v>20009.359000000015</v>
      </c>
      <c r="G9" s="68"/>
      <c r="K9" s="785" t="s">
        <v>1092</v>
      </c>
      <c r="L9" s="1558">
        <f t="shared" ca="1" si="0"/>
        <v>107969.99200000004</v>
      </c>
      <c r="M9" s="1184">
        <f ca="1">FornecimentoE_BT</f>
        <v>107969.99200000004</v>
      </c>
      <c r="P9" s="68" t="s">
        <v>1093</v>
      </c>
    </row>
    <row r="10" spans="2:19">
      <c r="B10" s="1191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20225.623039761005</v>
      </c>
      <c r="D11" s="144">
        <f ca="1">N17</f>
        <v>20009.359000000015</v>
      </c>
      <c r="G11" s="68"/>
      <c r="K11" s="71" t="s">
        <v>1095</v>
      </c>
      <c r="L11" s="71"/>
      <c r="M11" s="125"/>
      <c r="P11" s="68" t="s">
        <v>1096</v>
      </c>
      <c r="Q11" s="491">
        <f ca="1">M20/(D6+M20)</f>
        <v>5.6079596924275568E-2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5" t="s">
        <v>1098</v>
      </c>
      <c r="N12" s="1186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1">
        <f ca="1">IF(Q11&lt;Q12,Q11,(IF(Q11=0,0,Q11*0.75+Q12*0.25)))</f>
        <v>5.6079596924275568E-2</v>
      </c>
      <c r="R13" s="69">
        <f ca="1">($M$5+$M$6-$M$8)*Q13/(1-Q13)</f>
        <v>20009.359000000015</v>
      </c>
    </row>
    <row r="14" spans="2:19">
      <c r="B14" s="1187" t="s">
        <v>1100</v>
      </c>
      <c r="C14" s="1188">
        <f>VLOOKUP("custo Médio",DRA_CM_Perdas[#All],3,FALSE)</f>
        <v>126.30238103066399</v>
      </c>
      <c r="D14" s="1188">
        <f ca="1">IFERROR(E24,0)</f>
        <v>114.95980219992504</v>
      </c>
      <c r="E14" s="127"/>
      <c r="F14" s="127"/>
      <c r="G14" s="127"/>
      <c r="K14" s="68" t="s">
        <v>1104</v>
      </c>
      <c r="L14" s="393">
        <f>VLOOKUP("PERDAS TÉCNICAS",DRA_CM_Perdas[#All],3,FALSE)</f>
        <v>5.6651375974321801E-2</v>
      </c>
      <c r="M14" s="393">
        <f>IF(CAPA!H29=0,CAPA!K34,CAPA!H29)</f>
        <v>5.8999999999999997E-2</v>
      </c>
      <c r="N14" s="393">
        <f ca="1">IFERROR(N17/((M5+M6-M8+N16)+N17),0)</f>
        <v>5.6079596924275568E-2</v>
      </c>
      <c r="P14" s="68" t="s">
        <v>1105</v>
      </c>
      <c r="Q14" s="491">
        <f ca="1">(M17+M16)/(M16+M17+M5+M6)</f>
        <v>5.8999999999999997E-2</v>
      </c>
      <c r="R14" s="69">
        <f ca="1">IF(CAPA!H33="",(M5+M6-M8)/(1-M14)*M14,CAPA!H33)+IF(CAPA!H34="",M13*M9,CAPA!H34)</f>
        <v>21116.700219978749</v>
      </c>
    </row>
    <row r="15" spans="2:19">
      <c r="B15" s="1189" t="s">
        <v>1103</v>
      </c>
      <c r="C15" s="1190">
        <f ca="1">C14*C5</f>
        <v>45092361.903237127</v>
      </c>
      <c r="D15" s="1190">
        <f ca="1">D14*D5</f>
        <v>41017982.991093092</v>
      </c>
      <c r="E15" s="79"/>
      <c r="F15" s="72"/>
      <c r="G15" s="126"/>
      <c r="K15" s="785" t="s">
        <v>1106</v>
      </c>
      <c r="L15" s="1736">
        <f>VLOOKUP("PERDAS NA RB (sobre as perdas na D)",DRA_CM_Perdas[#All],3,FALSE)</f>
        <v>0</v>
      </c>
      <c r="M15" s="1454">
        <f>IF(CAPA!H31=0,0,CAPA!H31)</f>
        <v>0</v>
      </c>
      <c r="N15" s="1559">
        <f ca="1">IFERROR(M22/(M5+M6+M23+N17+N16),0)</f>
        <v>0</v>
      </c>
      <c r="P15" s="68" t="s">
        <v>1107</v>
      </c>
      <c r="Q15" s="79">
        <f ca="1">IF(Q14&lt;Q13,Q14,Q13)</f>
        <v>5.6079596924275568E-2</v>
      </c>
      <c r="R15" s="69">
        <f ca="1">IF(R14&lt;R13,R14,R13)</f>
        <v>20009.359000000015</v>
      </c>
      <c r="S15" s="79">
        <f ca="1">R15/(M5+R15)</f>
        <v>5.6079596924275568E-2</v>
      </c>
    </row>
    <row r="16" spans="2:19">
      <c r="K16" s="1191" t="s">
        <v>1109</v>
      </c>
      <c r="L16" s="1191">
        <f ca="1">L13*L9</f>
        <v>0</v>
      </c>
      <c r="M16" s="1191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5.6079596924275568E-2</v>
      </c>
      <c r="R16" s="69">
        <f ca="1">($M$5+$M$6-$M$8+R15)*Q16</f>
        <v>20009.359000000015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20225.623039761005</v>
      </c>
      <c r="M17" s="139">
        <f ca="1">IF(CAPA!H33="",(M5+M6-M8+M16)/(1-M14)*M14,CAPA!H33)</f>
        <v>21116.700219978749</v>
      </c>
      <c r="N17" s="465">
        <f ca="1">IF($M$21&lt;$M$20,M17,($M$20/$M$21)*M17)+M23</f>
        <v>20009.359000000015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9" t="s">
        <v>1111</v>
      </c>
      <c r="C18" s="1179" t="s">
        <v>1112</v>
      </c>
      <c r="D18" s="1179"/>
      <c r="E18" s="1179" t="s">
        <v>1113</v>
      </c>
      <c r="F18" s="1179" t="s">
        <v>1114</v>
      </c>
      <c r="G18" s="762"/>
      <c r="H18" s="764"/>
      <c r="I18" s="132"/>
      <c r="K18" s="139" t="s">
        <v>1094</v>
      </c>
      <c r="L18" s="465">
        <f ca="1">SUM(L16:L17)*L15</f>
        <v>0</v>
      </c>
      <c r="M18" s="465"/>
      <c r="N18" s="1480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1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3"/>
      <c r="H19" s="764"/>
      <c r="K19" s="1184" t="s">
        <v>1097</v>
      </c>
      <c r="L19" s="1455">
        <f ca="1">(L5+L6)*L15</f>
        <v>0</v>
      </c>
      <c r="M19" s="1455"/>
      <c r="N19" s="1481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5759.4236211601437</v>
      </c>
      <c r="D20" s="88"/>
      <c r="E20" s="88">
        <v>0</v>
      </c>
      <c r="F20" s="77">
        <v>0</v>
      </c>
      <c r="G20" s="763"/>
      <c r="H20" s="764"/>
      <c r="J20" s="132"/>
      <c r="K20" s="139" t="s">
        <v>1118</v>
      </c>
      <c r="L20" s="139"/>
      <c r="M20" s="139">
        <f>'Perdas de Energia'!I18</f>
        <v>20009.359000000015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3"/>
      <c r="H21" s="764"/>
      <c r="K21" s="1184" t="s">
        <v>1119</v>
      </c>
      <c r="L21" s="1184"/>
      <c r="M21" s="1184">
        <f ca="1">M16+M17</f>
        <v>21116.700219978749</v>
      </c>
      <c r="N21" s="1455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3"/>
      <c r="H22" s="764"/>
      <c r="K22" s="68" t="s">
        <v>2052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351043.4083788399</v>
      </c>
      <c r="D23" s="88"/>
      <c r="E23" s="88">
        <f ca="1">IF(K60=0,H35,(N48+N60)/(M48+M60))</f>
        <v>116.84590000000001</v>
      </c>
      <c r="F23" s="77">
        <f ca="1">E23*C23</f>
        <v>41017982.991093092</v>
      </c>
      <c r="G23" s="763"/>
      <c r="H23" s="764"/>
      <c r="K23" s="68" t="s">
        <v>2128</v>
      </c>
      <c r="M23" s="72">
        <f>SUMIFS(TabPerdaDIT[Valor],TabPerdaDIT[Dados de perda],"Perdas DITs")</f>
        <v>0</v>
      </c>
    </row>
    <row r="24" spans="1:22" ht="27.75" customHeight="1">
      <c r="B24" s="1192" t="s">
        <v>1121</v>
      </c>
      <c r="C24" s="1193">
        <f ca="1">SUM(C19:C23)</f>
        <v>356802.83200000005</v>
      </c>
      <c r="D24" s="1194"/>
      <c r="E24" s="1194">
        <f ca="1">IF(SUM(C19:C23)=0,0,SUM(F19:F23)/SUM(C19:C23))</f>
        <v>114.95980219992504</v>
      </c>
      <c r="F24" s="1195">
        <f ca="1">SUM(F19:F23)</f>
        <v>41017982.991093092</v>
      </c>
      <c r="G24" s="763"/>
      <c r="H24" s="808"/>
      <c r="J24" s="72"/>
      <c r="K24" s="1582"/>
      <c r="L24" s="1582"/>
      <c r="M24" s="1196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3"/>
    </row>
    <row r="26" spans="1:22">
      <c r="A26" s="74"/>
      <c r="B26" s="839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7" t="s">
        <v>27</v>
      </c>
      <c r="C27" s="1197" t="s">
        <v>875</v>
      </c>
      <c r="D27" s="1197" t="s">
        <v>1122</v>
      </c>
      <c r="E27" s="1197" t="s">
        <v>898</v>
      </c>
      <c r="F27" s="1197" t="s">
        <v>1123</v>
      </c>
      <c r="G27" s="1198" t="s">
        <v>1124</v>
      </c>
      <c r="H27" s="1198" t="s">
        <v>1125</v>
      </c>
      <c r="I27" s="1198" t="s">
        <v>1126</v>
      </c>
      <c r="K27" s="128"/>
      <c r="L27" s="1584"/>
      <c r="M27" s="100"/>
      <c r="N27" s="100"/>
    </row>
    <row r="28" spans="1:22">
      <c r="A28" s="74">
        <v>5697</v>
      </c>
      <c r="B28" s="511" t="s">
        <v>2201</v>
      </c>
      <c r="C28" s="511" t="s">
        <v>2371</v>
      </c>
      <c r="D28" s="511">
        <f>IF(B28="","",SUMIFS(Faturas!V:V,Faturas!U:U,"Consumo*",Faturas!S:S,Energia!C28,Faturas!R:R,Energia!B28))</f>
        <v>350998503</v>
      </c>
      <c r="E28" s="511">
        <f t="shared" ref="E28:E34" si="1">IF(B28="","",D28/1000)</f>
        <v>350998.50300000003</v>
      </c>
      <c r="F28" s="599">
        <f>I28</f>
        <v>0.59</v>
      </c>
      <c r="G28" s="512">
        <f>IFERROR(VLOOKUP(CONCATENATE(A28,A78),BD!$H$43:$S$59,12,FALSE),"")</f>
        <v>284.99</v>
      </c>
      <c r="H28" s="512">
        <f t="shared" ref="H28:H34" si="2">IF(B28="","",IFERROR(G28*(1-F28),0))</f>
        <v>116.84590000000001</v>
      </c>
      <c r="I28" s="510">
        <f>SUMIFS(DescontoEnergia[Desconto],DescontoEnergia[idSupridora],Energia!A28,DescontoEnergia[Nível],Energia!C28)</f>
        <v>0.59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1"/>
      <c r="C29" s="511"/>
      <c r="D29" s="511" t="str">
        <f>IF(B29="","",SUMIFS(Faturas!V:V,Faturas!U:U,"Consumo*",Faturas!S:S,Energia!C29,Faturas!R:R,Energia!B29))</f>
        <v/>
      </c>
      <c r="E29" s="511" t="str">
        <f t="shared" si="1"/>
        <v/>
      </c>
      <c r="F29" s="599">
        <f t="shared" ref="F29:F32" si="3">I29</f>
        <v>0</v>
      </c>
      <c r="G29" s="512" t="str">
        <f>IFERROR(VLOOKUP(CONCATENATE(A29,A79),BD!$H$43:$S$59,12,FALSE),"")</f>
        <v/>
      </c>
      <c r="H29" s="512" t="str">
        <f t="shared" si="2"/>
        <v/>
      </c>
      <c r="I29" s="510">
        <f>SUMIFS(DescontoEnergia[Desconto],DescontoEnergia[idSupridora],Energia!A29,DescontoEnergia[Nível],Energia!C29)</f>
        <v>0</v>
      </c>
      <c r="K29" s="1199" t="s">
        <v>22</v>
      </c>
      <c r="L29" s="1200" t="s">
        <v>1128</v>
      </c>
      <c r="M29" s="1200" t="s">
        <v>1129</v>
      </c>
      <c r="N29" s="1201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2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1"/>
      <c r="C30" s="511"/>
      <c r="D30" s="511" t="str">
        <f>IF(B30="","",SUMIFS(Faturas!V:V,Faturas!U:U,"Consumo*",Faturas!S:S,Energia!C30,Faturas!R:R,Energia!B30))</f>
        <v/>
      </c>
      <c r="E30" s="511" t="str">
        <f t="shared" si="1"/>
        <v/>
      </c>
      <c r="F30" s="599">
        <f t="shared" si="3"/>
        <v>0</v>
      </c>
      <c r="G30" s="512" t="str">
        <f>IFERROR(VLOOKUP(CONCATENATE(A30,A80),BD!$H$43:$S$59,12,FALSE),"")</f>
        <v/>
      </c>
      <c r="H30" s="512" t="str">
        <f t="shared" si="2"/>
        <v/>
      </c>
      <c r="I30" s="510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350998.50300000003</v>
      </c>
      <c r="M30" s="92">
        <f ca="1">LnkTXTER-LnkTXTProinfa</f>
        <v>351043.4083788399</v>
      </c>
      <c r="N30" s="210">
        <f ca="1">M30/L30</f>
        <v>1.0001279360978923</v>
      </c>
      <c r="O30" s="128"/>
      <c r="P30" s="68">
        <v>121096.97702999999</v>
      </c>
      <c r="Q30" s="68">
        <v>0.63819999999999999</v>
      </c>
      <c r="R30" s="68">
        <v>273.60000000000002</v>
      </c>
      <c r="S30" s="512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1"/>
      <c r="C31" s="511"/>
      <c r="D31" s="511" t="str">
        <f>IF(B31="","",SUMIFS(Faturas!V:V,Faturas!U:U,"Consumo*",Faturas!S:S,Energia!C31,Faturas!R:R,Energia!B31))</f>
        <v/>
      </c>
      <c r="E31" s="511" t="str">
        <f t="shared" si="1"/>
        <v/>
      </c>
      <c r="F31" s="599">
        <f t="shared" si="3"/>
        <v>0</v>
      </c>
      <c r="G31" s="512" t="str">
        <f>IFERROR(VLOOKUP(CONCATENATE(A31,A81),BD!$H$43:$S$59,12,FALSE),"")</f>
        <v/>
      </c>
      <c r="H31" s="512" t="str">
        <f t="shared" si="2"/>
        <v/>
      </c>
      <c r="I31" s="510">
        <f>SUMIFS(DescontoEnergia[Desconto],DescontoEnergia[idSupridora],Energia!A31,DescontoEnergia[Nível],Energia!C31)</f>
        <v>0</v>
      </c>
      <c r="K31" s="793"/>
      <c r="L31" s="795"/>
      <c r="M31" s="794"/>
      <c r="N31" s="796"/>
      <c r="O31" s="128"/>
      <c r="P31" s="68">
        <v>252593.90320000003</v>
      </c>
      <c r="Q31" s="68">
        <v>0.53600000000000003</v>
      </c>
      <c r="R31" s="68">
        <v>273.60000000000002</v>
      </c>
      <c r="S31" s="512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1"/>
      <c r="C32" s="511"/>
      <c r="D32" s="511" t="str">
        <f>IF(B32="","",SUMIFS(Faturas!V:V,Faturas!U:U,"Consumo*",Faturas!S:S,Energia!C32,Faturas!R:R,Energia!B32))</f>
        <v/>
      </c>
      <c r="E32" s="511" t="str">
        <f t="shared" si="1"/>
        <v/>
      </c>
      <c r="F32" s="599">
        <f t="shared" si="3"/>
        <v>0</v>
      </c>
      <c r="G32" s="512" t="str">
        <f>IFERROR(VLOOKUP(CONCATENATE(A32,A82),BD!$H$43:$S$59,12,FALSE),"")</f>
        <v/>
      </c>
      <c r="H32" s="512" t="str">
        <f t="shared" si="2"/>
        <v/>
      </c>
      <c r="I32" s="510">
        <f>SUMIFS(DescontoEnergia[Desconto],DescontoEnergia[idSupridora],Energia!A32,DescontoEnergia[Nível],Energia!C32)</f>
        <v>0</v>
      </c>
      <c r="K32" s="1805"/>
      <c r="L32" s="1805"/>
      <c r="M32" s="797"/>
      <c r="N32" s="797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1"/>
      <c r="C33" s="511"/>
      <c r="D33" s="511"/>
      <c r="E33" s="511" t="str">
        <f t="shared" si="1"/>
        <v/>
      </c>
      <c r="F33" s="599" t="str">
        <f>IF(B33="","",I33)</f>
        <v/>
      </c>
      <c r="G33" s="512" t="str">
        <f>IFERROR(VLOOKUP(CONCATENATE(A33,A83),BD!$H$43:$S$59,12,FALSE),"")</f>
        <v/>
      </c>
      <c r="H33" s="512" t="str">
        <f t="shared" si="2"/>
        <v/>
      </c>
      <c r="I33" s="510">
        <f>SUMIFS(DescontoEnergia[Desconto],DescontoEnergia[idSupridora],Energia!A33,DescontoEnergia[Nível],Energia!C33)</f>
        <v>0</v>
      </c>
      <c r="K33" s="798"/>
      <c r="L33" s="799"/>
      <c r="M33" s="797"/>
      <c r="N33" s="795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1"/>
      <c r="C34" s="511"/>
      <c r="D34" s="511" t="str">
        <f>IF(B34="","",SUMIFS(Faturas!V:V,Faturas!U:U,"Consumo*",Faturas!S:S,Energia!C34,Faturas!R:R,Energia!B34))</f>
        <v/>
      </c>
      <c r="E34" s="511" t="str">
        <f t="shared" si="1"/>
        <v/>
      </c>
      <c r="F34" s="599" t="str">
        <f>IF(B34="","",I34)</f>
        <v/>
      </c>
      <c r="G34" s="512" t="str">
        <f>IFERROR(VLOOKUP(CONCATENATE(A34,A84),BD!$H$43:$S$59,12,FALSE),"")</f>
        <v/>
      </c>
      <c r="H34" s="512" t="str">
        <f t="shared" si="2"/>
        <v/>
      </c>
      <c r="I34" s="510">
        <f>SUMIFS(DescontoEnergia[Desconto],DescontoEnergia[idSupridora],Energia!A34,DescontoEnergia[Nível],Energia!C34)</f>
        <v>0</v>
      </c>
      <c r="K34" s="1560" t="s">
        <v>2161</v>
      </c>
      <c r="L34" s="1561"/>
      <c r="M34" s="747"/>
      <c r="N34" s="100"/>
      <c r="O34" s="128"/>
      <c r="V34" s="140" t="e">
        <f ca="1">V32+V33</f>
        <v>#VALUE!</v>
      </c>
    </row>
    <row r="35" spans="1:22" ht="14.25" customHeight="1">
      <c r="A35" s="74"/>
      <c r="B35" s="729"/>
      <c r="C35" s="730"/>
      <c r="D35" s="731">
        <f>SUM(D28:D34)</f>
        <v>350998503</v>
      </c>
      <c r="E35" s="731">
        <f>SUM(E28:E34)</f>
        <v>350998.50300000003</v>
      </c>
      <c r="F35" s="728"/>
      <c r="G35" s="724">
        <f>IFERROR(SUMPRODUCT(G28:G34,E28:E34)/SUM(E28:E34),0)</f>
        <v>284.99</v>
      </c>
      <c r="H35" s="725">
        <f>IFERROR(SUMPRODUCT(H28:H34,E28:E34)/SUM(E28:E34),0)</f>
        <v>116.84590000000001</v>
      </c>
      <c r="I35" s="724"/>
      <c r="K35" s="1562" t="s">
        <v>2162</v>
      </c>
      <c r="L35" s="1563">
        <f ca="1">(L16+L17+L18+L19)/LnkTXTEV</f>
        <v>6.0053488743711497E-2</v>
      </c>
      <c r="M35" s="747"/>
      <c r="N35" s="748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2049</v>
      </c>
      <c r="C39" s="69"/>
      <c r="G39" s="135"/>
      <c r="O39" s="128"/>
    </row>
    <row r="40" spans="1:22" ht="24" customHeight="1">
      <c r="A40" s="74"/>
      <c r="B40" s="1202" t="s">
        <v>778</v>
      </c>
      <c r="C40" s="1203" t="s">
        <v>1132</v>
      </c>
      <c r="D40" s="1204"/>
      <c r="E40" s="1203" t="s">
        <v>62</v>
      </c>
      <c r="F40" s="1203" t="s">
        <v>61</v>
      </c>
      <c r="G40" s="1203" t="s">
        <v>1133</v>
      </c>
      <c r="H40" s="1203" t="s">
        <v>1134</v>
      </c>
      <c r="I40" s="1203" t="s">
        <v>1135</v>
      </c>
      <c r="J40" s="1203" t="s">
        <v>898</v>
      </c>
      <c r="K40" s="1203" t="s">
        <v>1136</v>
      </c>
      <c r="L40" s="1203" t="s">
        <v>1137</v>
      </c>
      <c r="M40" s="1203" t="s">
        <v>1138</v>
      </c>
      <c r="N40" s="1203" t="s">
        <v>1139</v>
      </c>
      <c r="O40" s="128"/>
    </row>
    <row r="41" spans="1:22" ht="24" customHeight="1">
      <c r="A41" s="74"/>
      <c r="B41" s="790"/>
      <c r="C41" s="790"/>
      <c r="D41" s="790"/>
      <c r="E41" s="1742"/>
      <c r="F41" s="1743"/>
      <c r="G41" s="1744"/>
      <c r="H41" s="1745"/>
      <c r="I41" s="1742"/>
      <c r="J41" s="1738"/>
      <c r="K41" s="1740">
        <f>H7</f>
        <v>0</v>
      </c>
      <c r="L41" s="791">
        <f>IFERROR(J41*K41,0)</f>
        <v>0</v>
      </c>
      <c r="M41" s="800">
        <f t="shared" ref="M41:M47" ca="1" si="7">IFERROR(J41*$N$30,0)</f>
        <v>0</v>
      </c>
      <c r="N41" s="791">
        <f ca="1">IFERROR(K41*M41,0)</f>
        <v>0</v>
      </c>
      <c r="O41" s="128"/>
    </row>
    <row r="42" spans="1:22" ht="24" customHeight="1">
      <c r="A42" s="74"/>
      <c r="B42" s="790"/>
      <c r="C42" s="790"/>
      <c r="D42" s="790"/>
      <c r="E42" s="1742"/>
      <c r="F42" s="1743"/>
      <c r="G42" s="1744"/>
      <c r="H42" s="1745"/>
      <c r="I42" s="1746"/>
      <c r="J42" s="1738"/>
      <c r="K42" s="1740">
        <f>H8</f>
        <v>0</v>
      </c>
      <c r="L42" s="791">
        <f>IFERROR(J42*K42,0)</f>
        <v>0</v>
      </c>
      <c r="M42" s="800">
        <f t="shared" ca="1" si="7"/>
        <v>0</v>
      </c>
      <c r="N42" s="791">
        <f ca="1">IFERROR(K42*M42,0)</f>
        <v>0</v>
      </c>
      <c r="O42" s="128"/>
    </row>
    <row r="43" spans="1:22" ht="24" customHeight="1">
      <c r="A43" s="74"/>
      <c r="B43" s="790"/>
      <c r="C43" s="790"/>
      <c r="D43" s="790" t="s">
        <v>114</v>
      </c>
      <c r="E43" s="1742" t="str">
        <f>IF(B43="","",D43/1000)</f>
        <v/>
      </c>
      <c r="F43" s="1743" t="str">
        <f>IF(B43="","",I43)</f>
        <v/>
      </c>
      <c r="G43" s="1744" t="s">
        <v>114</v>
      </c>
      <c r="H43" s="1745">
        <v>0</v>
      </c>
      <c r="I43" s="1742">
        <v>0</v>
      </c>
      <c r="J43" s="1738"/>
      <c r="K43" s="1740">
        <f>IFERROR(E43*(VLOOKUP(EDATE(G43,-1),Índices!#REF!,3,FALSE)/VLOOKUP(EDATE(F43,-1),Índices!#REF!,3,FALSE)),0)</f>
        <v>0</v>
      </c>
      <c r="L43" s="791">
        <f t="shared" ref="L43:L47" si="8">J43*K43</f>
        <v>0</v>
      </c>
      <c r="M43" s="800">
        <f t="shared" ca="1" si="7"/>
        <v>0</v>
      </c>
      <c r="N43" s="791">
        <f t="shared" ref="N43:N47" ca="1" si="9">K43*M43</f>
        <v>0</v>
      </c>
      <c r="O43" s="128"/>
    </row>
    <row r="44" spans="1:22" ht="24" customHeight="1">
      <c r="A44" s="74"/>
      <c r="B44" s="790"/>
      <c r="C44" s="790"/>
      <c r="D44" s="790" t="s">
        <v>114</v>
      </c>
      <c r="E44" s="1742" t="str">
        <f>IF(B44="","",D44/1000)</f>
        <v/>
      </c>
      <c r="F44" s="1743" t="str">
        <f>IF(B44="","",I44)</f>
        <v/>
      </c>
      <c r="G44" s="1744" t="s">
        <v>114</v>
      </c>
      <c r="H44" s="1745">
        <v>0</v>
      </c>
      <c r="I44" s="1742">
        <v>0</v>
      </c>
      <c r="J44" s="1738"/>
      <c r="K44" s="1740">
        <f>IFERROR(E44*(VLOOKUP(EDATE(G44,-1),Índices!#REF!,3,FALSE)/VLOOKUP(EDATE(F44,-1),Índices!#REF!,3,FALSE)),0)</f>
        <v>0</v>
      </c>
      <c r="L44" s="791">
        <f t="shared" si="8"/>
        <v>0</v>
      </c>
      <c r="M44" s="800">
        <f t="shared" ca="1" si="7"/>
        <v>0</v>
      </c>
      <c r="N44" s="791">
        <f ca="1">K44*M44</f>
        <v>0</v>
      </c>
      <c r="O44" s="128"/>
    </row>
    <row r="45" spans="1:22" ht="24" customHeight="1">
      <c r="A45" s="74"/>
      <c r="B45" s="790"/>
      <c r="C45" s="790"/>
      <c r="D45" s="790" t="s">
        <v>114</v>
      </c>
      <c r="E45" s="1742" t="str">
        <f>IF(B45="","",D45/1000)</f>
        <v/>
      </c>
      <c r="F45" s="1743" t="str">
        <f>IF(B45="","",I45)</f>
        <v/>
      </c>
      <c r="G45" s="1744" t="s">
        <v>114</v>
      </c>
      <c r="H45" s="1745">
        <v>0</v>
      </c>
      <c r="I45" s="1742">
        <v>0</v>
      </c>
      <c r="J45" s="1738"/>
      <c r="K45" s="1740">
        <f>IFERROR(E45*(VLOOKUP(EDATE(G45,-1),Índices!#REF!,3,FALSE)/VLOOKUP(EDATE(F45,-1),Índices!#REF!,3,FALSE)),0)</f>
        <v>0</v>
      </c>
      <c r="L45" s="791">
        <f t="shared" si="8"/>
        <v>0</v>
      </c>
      <c r="M45" s="800">
        <f t="shared" ca="1" si="7"/>
        <v>0</v>
      </c>
      <c r="N45" s="791">
        <f t="shared" ca="1" si="9"/>
        <v>0</v>
      </c>
      <c r="O45" s="128"/>
    </row>
    <row r="46" spans="1:22" ht="24" customHeight="1">
      <c r="A46" s="74"/>
      <c r="B46" s="790"/>
      <c r="C46" s="790"/>
      <c r="D46" s="790" t="s">
        <v>114</v>
      </c>
      <c r="E46" s="1742" t="str">
        <f>IF(B46="","",D46/1000)</f>
        <v/>
      </c>
      <c r="F46" s="1743" t="str">
        <f>IF(B46="","",I46)</f>
        <v/>
      </c>
      <c r="G46" s="1744" t="s">
        <v>114</v>
      </c>
      <c r="H46" s="1745">
        <v>0</v>
      </c>
      <c r="I46" s="1742">
        <v>0</v>
      </c>
      <c r="J46" s="1738"/>
      <c r="K46" s="1740">
        <f>IFERROR(E46*(VLOOKUP(EDATE(G46,-1),Índices!#REF!,3,FALSE)/VLOOKUP(EDATE(F46,-1),Índices!#REF!,3,FALSE)),0)</f>
        <v>0</v>
      </c>
      <c r="L46" s="791">
        <f t="shared" si="8"/>
        <v>0</v>
      </c>
      <c r="M46" s="800">
        <f t="shared" ca="1" si="7"/>
        <v>0</v>
      </c>
      <c r="N46" s="791">
        <f t="shared" ca="1" si="9"/>
        <v>0</v>
      </c>
      <c r="O46" s="128"/>
    </row>
    <row r="47" spans="1:22" ht="24" customHeight="1">
      <c r="A47" s="74"/>
      <c r="B47" s="790"/>
      <c r="C47" s="790"/>
      <c r="D47" s="790" t="s">
        <v>114</v>
      </c>
      <c r="E47" s="1742" t="str">
        <f>IF(B47="","",D47/1000)</f>
        <v/>
      </c>
      <c r="F47" s="1743" t="str">
        <f>IF(B47="","",I47)</f>
        <v/>
      </c>
      <c r="G47" s="1744" t="s">
        <v>114</v>
      </c>
      <c r="H47" s="1745">
        <v>0</v>
      </c>
      <c r="I47" s="1742">
        <v>0</v>
      </c>
      <c r="J47" s="1738"/>
      <c r="K47" s="1740">
        <f>IFERROR(E47*(VLOOKUP(EDATE(G47,-1),Índices!#REF!,3,FALSE)/VLOOKUP(EDATE(F47,-1),Índices!#REF!,3,FALSE)),0)</f>
        <v>0</v>
      </c>
      <c r="L47" s="791">
        <f t="shared" si="8"/>
        <v>0</v>
      </c>
      <c r="M47" s="800">
        <f t="shared" ca="1" si="7"/>
        <v>0</v>
      </c>
      <c r="N47" s="791">
        <f t="shared" ca="1" si="9"/>
        <v>0</v>
      </c>
      <c r="O47" s="128"/>
    </row>
    <row r="48" spans="1:22" ht="24" customHeight="1">
      <c r="A48" s="74"/>
      <c r="B48" s="1205" t="s">
        <v>769</v>
      </c>
      <c r="C48" s="1206"/>
      <c r="D48" s="1206"/>
      <c r="E48" s="1205"/>
      <c r="F48" s="1205"/>
      <c r="G48" s="1207"/>
      <c r="H48" s="1205"/>
      <c r="I48" s="1205"/>
      <c r="J48" s="1208">
        <f>SUM(J41:J47)</f>
        <v>0</v>
      </c>
      <c r="K48" s="1209">
        <f ca="1">IFERROR(SUMPRODUCT(K41:K47,M41:M47)/SUM(M41:M47),0)</f>
        <v>0</v>
      </c>
      <c r="L48" s="1205"/>
      <c r="M48" s="1210">
        <f ca="1">SUM(M41:M47)</f>
        <v>0</v>
      </c>
      <c r="N48" s="1210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2" t="s">
        <v>778</v>
      </c>
      <c r="C52" s="1203" t="s">
        <v>1132</v>
      </c>
      <c r="D52" s="1204"/>
      <c r="E52" s="1203" t="s">
        <v>62</v>
      </c>
      <c r="F52" s="1203" t="s">
        <v>61</v>
      </c>
      <c r="G52" s="1203" t="s">
        <v>1133</v>
      </c>
      <c r="H52" s="1203" t="s">
        <v>1134</v>
      </c>
      <c r="I52" s="1203" t="s">
        <v>1135</v>
      </c>
      <c r="J52" s="1203" t="s">
        <v>898</v>
      </c>
      <c r="K52" s="1203" t="s">
        <v>1136</v>
      </c>
      <c r="L52" s="1203" t="s">
        <v>1137</v>
      </c>
      <c r="M52" s="1203" t="s">
        <v>1138</v>
      </c>
      <c r="N52" s="1203" t="s">
        <v>1139</v>
      </c>
      <c r="O52" s="128"/>
      <c r="V52" s="140" t="e">
        <f ca="1">V34-V51</f>
        <v>#VALUE!</v>
      </c>
    </row>
    <row r="53" spans="1:22" ht="18" customHeight="1">
      <c r="A53" s="74"/>
      <c r="B53" s="790"/>
      <c r="C53" s="790"/>
      <c r="D53" s="790"/>
      <c r="E53" s="1742"/>
      <c r="F53" s="1743"/>
      <c r="G53" s="1744"/>
      <c r="H53" s="1745"/>
      <c r="I53" s="1739"/>
      <c r="J53" s="1738"/>
      <c r="K53" s="1740">
        <f>H28</f>
        <v>116.84590000000001</v>
      </c>
      <c r="L53" s="791">
        <f>IFERROR(J53*K53,0)</f>
        <v>0</v>
      </c>
      <c r="M53" s="800">
        <f t="shared" ref="M53:M59" ca="1" si="10">IFERROR(J53*$N$30,0)</f>
        <v>0</v>
      </c>
      <c r="N53" s="791">
        <f ca="1">IFERROR(K53*M53,0)</f>
        <v>0</v>
      </c>
      <c r="O53" s="134"/>
    </row>
    <row r="54" spans="1:22">
      <c r="B54" s="790"/>
      <c r="C54" s="790"/>
      <c r="D54" s="790"/>
      <c r="E54" s="1742"/>
      <c r="F54" s="1743"/>
      <c r="G54" s="1744"/>
      <c r="H54" s="1745"/>
      <c r="I54" s="1741"/>
      <c r="J54" s="1738"/>
      <c r="K54" s="1740" t="str">
        <f>H29</f>
        <v/>
      </c>
      <c r="L54" s="791">
        <f>IFERROR(J54*K54,0)</f>
        <v>0</v>
      </c>
      <c r="M54" s="800">
        <f t="shared" ca="1" si="10"/>
        <v>0</v>
      </c>
      <c r="N54" s="791">
        <f ca="1">IFERROR(K54*M54,0)</f>
        <v>0</v>
      </c>
      <c r="V54" s="68">
        <v>7728827.6146981604</v>
      </c>
    </row>
    <row r="55" spans="1:22">
      <c r="B55" s="790"/>
      <c r="C55" s="790"/>
      <c r="D55" s="790" t="s">
        <v>114</v>
      </c>
      <c r="E55" s="1742" t="str">
        <f>IF(B55="","",D55/1000)</f>
        <v/>
      </c>
      <c r="F55" s="1743" t="str">
        <f>IF(B55="","",I55)</f>
        <v/>
      </c>
      <c r="G55" s="1744" t="s">
        <v>114</v>
      </c>
      <c r="H55" s="1745">
        <v>0</v>
      </c>
      <c r="I55" s="1739">
        <v>0</v>
      </c>
      <c r="J55" s="1738"/>
      <c r="K55" s="1740">
        <f>IFERROR(E55*(VLOOKUP(EDATE(G55,-1),Índices!B7:D501,3,FALSE)/VLOOKUP(EDATE(F55,-1),Índices!B7:D501,3,FALSE)),0)</f>
        <v>0</v>
      </c>
      <c r="L55" s="791">
        <f t="shared" ref="L55:L59" si="11">J55*K55</f>
        <v>0</v>
      </c>
      <c r="M55" s="800">
        <f t="shared" ca="1" si="10"/>
        <v>0</v>
      </c>
      <c r="N55" s="791">
        <f t="shared" ref="N55:N59" ca="1" si="12">K55*M55</f>
        <v>0</v>
      </c>
    </row>
    <row r="56" spans="1:22">
      <c r="B56" s="790"/>
      <c r="C56" s="790"/>
      <c r="D56" s="790" t="s">
        <v>114</v>
      </c>
      <c r="E56" s="1742" t="str">
        <f>IF(B56="","",D56/1000)</f>
        <v/>
      </c>
      <c r="F56" s="1743" t="str">
        <f>IF(B56="","",I56)</f>
        <v/>
      </c>
      <c r="G56" s="1744" t="s">
        <v>114</v>
      </c>
      <c r="H56" s="1745">
        <v>0</v>
      </c>
      <c r="I56" s="1739">
        <v>0</v>
      </c>
      <c r="J56" s="1738"/>
      <c r="K56" s="1740">
        <f>IFERROR(E56*(VLOOKUP(EDATE(G56,-1),Índices!B8:D502,3,FALSE)/VLOOKUP(EDATE(F56,-1),Índices!B8:D502,3,FALSE)),0)</f>
        <v>0</v>
      </c>
      <c r="L56" s="791">
        <f t="shared" si="11"/>
        <v>0</v>
      </c>
      <c r="M56" s="800">
        <f t="shared" ca="1" si="10"/>
        <v>0</v>
      </c>
      <c r="N56" s="791">
        <f t="shared" ca="1" si="12"/>
        <v>0</v>
      </c>
      <c r="V56" s="140" t="e">
        <f ca="1">V52+V54</f>
        <v>#VALUE!</v>
      </c>
    </row>
    <row r="57" spans="1:22">
      <c r="B57" s="790"/>
      <c r="C57" s="790"/>
      <c r="D57" s="790" t="s">
        <v>114</v>
      </c>
      <c r="E57" s="1742" t="str">
        <f>IF(B57="","",D57/1000)</f>
        <v/>
      </c>
      <c r="F57" s="1743" t="str">
        <f>IF(B57="","",I57)</f>
        <v/>
      </c>
      <c r="G57" s="1744" t="s">
        <v>114</v>
      </c>
      <c r="H57" s="1745">
        <v>0</v>
      </c>
      <c r="I57" s="1739">
        <v>0</v>
      </c>
      <c r="J57" s="1738"/>
      <c r="K57" s="1740">
        <f>IFERROR(E57*(VLOOKUP(EDATE(G57,-1),Índices!B9:D503,3,FALSE)/VLOOKUP(EDATE(F57,-1),Índices!B9:D503,3,FALSE)),0)</f>
        <v>0</v>
      </c>
      <c r="L57" s="791">
        <f t="shared" si="11"/>
        <v>0</v>
      </c>
      <c r="M57" s="800">
        <f t="shared" ca="1" si="10"/>
        <v>0</v>
      </c>
      <c r="N57" s="791">
        <f t="shared" ca="1" si="12"/>
        <v>0</v>
      </c>
    </row>
    <row r="58" spans="1:22">
      <c r="B58" s="790"/>
      <c r="C58" s="790"/>
      <c r="D58" s="790" t="s">
        <v>114</v>
      </c>
      <c r="E58" s="1742" t="str">
        <f>IF(B58="","",D58/1000)</f>
        <v/>
      </c>
      <c r="F58" s="1743" t="str">
        <f>IF(B58="","",I58)</f>
        <v/>
      </c>
      <c r="G58" s="1744" t="s">
        <v>114</v>
      </c>
      <c r="H58" s="1745">
        <v>0</v>
      </c>
      <c r="I58" s="1739">
        <v>0</v>
      </c>
      <c r="J58" s="1738"/>
      <c r="K58" s="1740">
        <f>IFERROR(E58*(VLOOKUP(EDATE(G58,-1),Índices!B10:D504,3,FALSE)/VLOOKUP(EDATE(F58,-1),Índices!B10:D504,3,FALSE)),0)</f>
        <v>0</v>
      </c>
      <c r="L58" s="791">
        <f t="shared" si="11"/>
        <v>0</v>
      </c>
      <c r="M58" s="800">
        <f t="shared" ca="1" si="10"/>
        <v>0</v>
      </c>
      <c r="N58" s="791">
        <f t="shared" ca="1" si="12"/>
        <v>0</v>
      </c>
    </row>
    <row r="59" spans="1:22">
      <c r="B59" s="790"/>
      <c r="C59" s="790"/>
      <c r="D59" s="790" t="s">
        <v>114</v>
      </c>
      <c r="E59" s="1742" t="str">
        <f>IF(B59="","",D59/1000)</f>
        <v/>
      </c>
      <c r="F59" s="1743" t="str">
        <f>IF(B59="","",I59)</f>
        <v/>
      </c>
      <c r="G59" s="1744" t="s">
        <v>114</v>
      </c>
      <c r="H59" s="1745">
        <v>0</v>
      </c>
      <c r="I59" s="1739">
        <v>0</v>
      </c>
      <c r="J59" s="1738"/>
      <c r="K59" s="1740">
        <f>IFERROR(E59*(VLOOKUP(EDATE(G59,-1),Índices!B11:D505,3,FALSE)/VLOOKUP(EDATE(F59,-1),Índices!B11:D505,3,FALSE)),0)</f>
        <v>0</v>
      </c>
      <c r="L59" s="791">
        <f t="shared" si="11"/>
        <v>0</v>
      </c>
      <c r="M59" s="800">
        <f t="shared" ca="1" si="10"/>
        <v>0</v>
      </c>
      <c r="N59" s="791">
        <f t="shared" ca="1" si="12"/>
        <v>0</v>
      </c>
    </row>
    <row r="60" spans="1:22">
      <c r="B60" s="1205" t="s">
        <v>769</v>
      </c>
      <c r="C60" s="1206"/>
      <c r="D60" s="1206"/>
      <c r="E60" s="1205"/>
      <c r="F60" s="1205"/>
      <c r="G60" s="1207"/>
      <c r="H60" s="1205"/>
      <c r="I60" s="1205"/>
      <c r="J60" s="1208">
        <f>SUM(J53:J59)</f>
        <v>0</v>
      </c>
      <c r="K60" s="1209">
        <f ca="1">IFERROR(SUMPRODUCT(K53:K59,M53:M59)/SUM(M53:M59),0)</f>
        <v>0</v>
      </c>
      <c r="L60" s="1205"/>
      <c r="M60" s="1210">
        <f ca="1">SUM(M53:M59)</f>
        <v>0</v>
      </c>
      <c r="N60" s="1210">
        <f ca="1">SUM(N53:N59)</f>
        <v>0</v>
      </c>
    </row>
    <row r="61" spans="1:22">
      <c r="C61" s="412"/>
      <c r="D61" s="412"/>
      <c r="E61" s="412"/>
      <c r="K61" s="68" t="s">
        <v>2053</v>
      </c>
    </row>
    <row r="62" spans="1:22" ht="15.75">
      <c r="B62" s="1211" t="s">
        <v>1140</v>
      </c>
      <c r="C62" s="1212" t="s">
        <v>1141</v>
      </c>
      <c r="D62" s="1213"/>
      <c r="E62" s="1214" t="s">
        <v>1142</v>
      </c>
      <c r="F62" s="1214" t="s">
        <v>1143</v>
      </c>
      <c r="H62" s="1215" t="s">
        <v>1144</v>
      </c>
      <c r="I62" s="1216" t="s">
        <v>42</v>
      </c>
      <c r="J62" s="1217" t="s">
        <v>43</v>
      </c>
      <c r="K62" s="1218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0</v>
      </c>
      <c r="D63" s="1737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19" t="s">
        <v>1146</v>
      </c>
      <c r="I63" s="1220" cm="1">
        <f t="array" ref="I63">GSFRH[GSF previsto]</f>
        <v>0.87029999999999996</v>
      </c>
      <c r="J63" s="1221" cm="1">
        <f t="array" ref="J63">GSFRH[PLD]</f>
        <v>195.04</v>
      </c>
      <c r="K63" s="1222">
        <f>(J63*(1-I63)*(C64+C65))</f>
        <v>0</v>
      </c>
    </row>
    <row r="64" spans="1:22" ht="15.75">
      <c r="B64" s="78" t="s">
        <v>1146</v>
      </c>
      <c r="C64" s="251">
        <f>BD!AE22</f>
        <v>0</v>
      </c>
      <c r="D64" s="1737">
        <f t="shared" si="13"/>
        <v>0</v>
      </c>
      <c r="E64" s="217">
        <f>BD!AG22</f>
        <v>0</v>
      </c>
      <c r="F64" s="107">
        <f>C64*E64</f>
        <v>0</v>
      </c>
      <c r="H64" s="801" t="s">
        <v>1147</v>
      </c>
      <c r="I64" s="802">
        <f>I63</f>
        <v>0.87029999999999996</v>
      </c>
      <c r="J64" s="803">
        <f>J63</f>
        <v>195.04</v>
      </c>
      <c r="K64" s="804"/>
    </row>
    <row r="65" spans="1:11" ht="15.75">
      <c r="B65" s="78" t="s">
        <v>1146</v>
      </c>
      <c r="C65" s="251">
        <f>BD!AE23</f>
        <v>0</v>
      </c>
      <c r="D65" s="1737">
        <f t="shared" si="13"/>
        <v>0</v>
      </c>
      <c r="E65" s="217">
        <f>BD!AG23</f>
        <v>0</v>
      </c>
      <c r="F65" s="107">
        <f>C65*E65</f>
        <v>0</v>
      </c>
      <c r="H65" s="805" t="s">
        <v>1148</v>
      </c>
      <c r="I65" s="802">
        <f>I64</f>
        <v>0.87029999999999996</v>
      </c>
      <c r="J65" s="803">
        <f>J64</f>
        <v>195.04</v>
      </c>
      <c r="K65" s="804">
        <f>(J65*(1-I65)*I68*K68*365*24)</f>
        <v>0</v>
      </c>
    </row>
    <row r="66" spans="1:11" ht="15.75">
      <c r="B66" s="792"/>
      <c r="C66" s="792">
        <f>SUM(C63:C65)</f>
        <v>0</v>
      </c>
      <c r="D66" s="792"/>
      <c r="E66" s="792"/>
      <c r="F66" s="792">
        <f>SUM(F63:F65)</f>
        <v>0</v>
      </c>
      <c r="H66" s="786" t="s">
        <v>1149</v>
      </c>
      <c r="I66" s="1223"/>
      <c r="J66" s="1224"/>
      <c r="K66" s="1225">
        <f>SUM(K63:K65)</f>
        <v>0</v>
      </c>
    </row>
    <row r="67" spans="1:11" ht="15.75">
      <c r="H67" s="1806" t="s">
        <v>45</v>
      </c>
      <c r="I67" s="1806"/>
      <c r="J67" s="1226"/>
      <c r="K67" s="1226" t="s">
        <v>44</v>
      </c>
    </row>
    <row r="68" spans="1:11" ht="15.75">
      <c r="H68" s="787" t="str">
        <f>CAPA!C9</f>
        <v>Coopera</v>
      </c>
      <c r="I68" s="807" cm="1">
        <f t="array" ref="I68">GSFRH[Fator de rateio]</f>
        <v>0</v>
      </c>
      <c r="J68" s="900">
        <f>J63</f>
        <v>195.04</v>
      </c>
      <c r="K68" s="788" cm="1">
        <f t="array" ref="K68">GSFRH[MWm repactuado]</f>
        <v>14739.74</v>
      </c>
    </row>
    <row r="69" spans="1:11" ht="15">
      <c r="B69" s="1211" t="s">
        <v>1150</v>
      </c>
      <c r="C69" s="1212" t="s">
        <v>1141</v>
      </c>
      <c r="D69" s="1213"/>
      <c r="E69" s="1214" t="s">
        <v>1142</v>
      </c>
      <c r="F69" s="1214" t="s">
        <v>1143</v>
      </c>
    </row>
    <row r="70" spans="1:11">
      <c r="B70" s="78" t="s">
        <v>1151</v>
      </c>
      <c r="C70" s="251">
        <f>D89</f>
        <v>0</v>
      </c>
      <c r="D70" s="806">
        <f t="shared" ref="D70" si="14">E70</f>
        <v>0</v>
      </c>
      <c r="E70" s="790">
        <v>0</v>
      </c>
      <c r="F70" s="107">
        <f>C70*E70</f>
        <v>0</v>
      </c>
    </row>
    <row r="71" spans="1:11">
      <c r="B71" s="78"/>
      <c r="C71" s="251"/>
      <c r="D71" s="806"/>
      <c r="E71" s="790"/>
      <c r="F71" s="107"/>
      <c r="J71" s="140"/>
    </row>
    <row r="72" spans="1:11">
      <c r="B72" s="792"/>
      <c r="C72" s="792">
        <f>SUM(C70:C71)</f>
        <v>0</v>
      </c>
      <c r="D72" s="792"/>
      <c r="E72" s="792"/>
      <c r="F72" s="792">
        <f>SUM(F70:F71)</f>
        <v>0</v>
      </c>
      <c r="J72" s="140"/>
    </row>
    <row r="75" spans="1:11">
      <c r="C75" s="123" t="s">
        <v>1150</v>
      </c>
    </row>
    <row r="76" spans="1:11">
      <c r="C76" s="1715" t="s">
        <v>2199</v>
      </c>
      <c r="D76" s="1715" t="s">
        <v>2306</v>
      </c>
    </row>
    <row r="77" spans="1:11">
      <c r="A77" s="68" t="s">
        <v>1152</v>
      </c>
      <c r="C77" s="1733">
        <f>SAS_RA0_DataInicio</f>
        <v>44440</v>
      </c>
      <c r="D77" s="851">
        <f>IFERROR(VLOOKUP(C77,GeracaoPropria[],2,FALSE)/1000,0)</f>
        <v>0</v>
      </c>
    </row>
    <row r="78" spans="1:11">
      <c r="A78" s="68" t="str">
        <f>TRIM(LEFT(C28,3))</f>
        <v>A3</v>
      </c>
      <c r="C78" s="1733">
        <f>EDATE(C77,1)</f>
        <v>44470</v>
      </c>
      <c r="D78" s="851">
        <f>IFERROR(VLOOKUP(C78,GeracaoPropria[],2,FALSE)/1000,0)</f>
        <v>0</v>
      </c>
    </row>
    <row r="79" spans="1:11">
      <c r="A79" s="68" t="str">
        <f t="shared" ref="A79:A84" si="15">TRIM(LEFT(C29,3))</f>
        <v/>
      </c>
      <c r="C79" s="1733">
        <f t="shared" ref="C79:C87" si="16">EDATE(C78,1)</f>
        <v>44501</v>
      </c>
      <c r="D79" s="851">
        <f>IFERROR(VLOOKUP(C79,GeracaoPropria[],2,FALSE)/1000,0)</f>
        <v>0</v>
      </c>
    </row>
    <row r="80" spans="1:11">
      <c r="A80" s="68" t="str">
        <f t="shared" si="15"/>
        <v/>
      </c>
      <c r="C80" s="1733">
        <f t="shared" si="16"/>
        <v>44531</v>
      </c>
      <c r="D80" s="851">
        <f>IFERROR(VLOOKUP(C80,GeracaoPropria[],2,FALSE)/1000,0)</f>
        <v>0</v>
      </c>
    </row>
    <row r="81" spans="1:4">
      <c r="A81" s="68" t="str">
        <f t="shared" si="15"/>
        <v/>
      </c>
      <c r="C81" s="1733">
        <f t="shared" si="16"/>
        <v>44562</v>
      </c>
      <c r="D81" s="851">
        <f>IFERROR(VLOOKUP(C81,GeracaoPropria[],2,FALSE)/1000,0)</f>
        <v>0</v>
      </c>
    </row>
    <row r="82" spans="1:4">
      <c r="A82" s="68" t="str">
        <f t="shared" si="15"/>
        <v/>
      </c>
      <c r="C82" s="1733">
        <f t="shared" si="16"/>
        <v>44593</v>
      </c>
      <c r="D82" s="851">
        <f>IFERROR(VLOOKUP(C82,GeracaoPropria[],2,FALSE)/1000,0)</f>
        <v>0</v>
      </c>
    </row>
    <row r="83" spans="1:4">
      <c r="A83" s="68" t="str">
        <f t="shared" si="15"/>
        <v/>
      </c>
      <c r="C83" s="1733">
        <f t="shared" si="16"/>
        <v>44621</v>
      </c>
      <c r="D83" s="851">
        <f>IFERROR(VLOOKUP(C83,GeracaoPropria[],2,FALSE)/1000,0)</f>
        <v>0</v>
      </c>
    </row>
    <row r="84" spans="1:4">
      <c r="A84" s="68" t="str">
        <f t="shared" si="15"/>
        <v/>
      </c>
      <c r="C84" s="1733">
        <f t="shared" si="16"/>
        <v>44652</v>
      </c>
      <c r="D84" s="851">
        <f>IFERROR(VLOOKUP(C84,GeracaoPropria[],2,FALSE)/1000,0)</f>
        <v>0</v>
      </c>
    </row>
    <row r="85" spans="1:4">
      <c r="C85" s="1733">
        <f t="shared" si="16"/>
        <v>44682</v>
      </c>
      <c r="D85" s="851">
        <f>IFERROR(VLOOKUP(C85,GeracaoPropria[],2,FALSE)/1000,0)</f>
        <v>0</v>
      </c>
    </row>
    <row r="86" spans="1:4">
      <c r="C86" s="1733">
        <f>EDATE(C85,1)</f>
        <v>44713</v>
      </c>
      <c r="D86" s="851">
        <f>IFERROR(VLOOKUP(C86,GeracaoPropria[],2,FALSE)/1000,D85)</f>
        <v>0</v>
      </c>
    </row>
    <row r="87" spans="1:4">
      <c r="C87" s="1733">
        <f t="shared" si="16"/>
        <v>44743</v>
      </c>
      <c r="D87" s="851">
        <f>IFERROR(VLOOKUP(C87,GeracaoPropria[],2,FALSE)/1000,D86)</f>
        <v>0</v>
      </c>
    </row>
    <row r="88" spans="1:4">
      <c r="C88" s="1733">
        <f>EDATE(C87,1)</f>
        <v>44774</v>
      </c>
      <c r="D88" s="851">
        <f>IFERROR(VLOOKUP(C88,GeracaoPropria[],2,FALSE)/1000,D87)</f>
        <v>0</v>
      </c>
    </row>
    <row r="89" spans="1:4">
      <c r="C89" s="1716" t="s">
        <v>769</v>
      </c>
      <c r="D89" s="1117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C36" sqref="C36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18" t="s">
        <v>2282</v>
      </c>
      <c r="C1" s="1719"/>
      <c r="D1" s="1720"/>
      <c r="E1" s="1720"/>
      <c r="F1" s="1721" t="s">
        <v>873</v>
      </c>
      <c r="G1" s="1722">
        <f ca="1">LnkTXTIRTEco</f>
        <v>1.49E-2</v>
      </c>
    </row>
    <row r="2" spans="2:10">
      <c r="B2" s="1723" t="str">
        <f>CAPA!C9</f>
        <v>Coopera</v>
      </c>
      <c r="C2" s="1724"/>
      <c r="D2" s="1724"/>
      <c r="E2" s="1724"/>
      <c r="F2" s="1725" t="s">
        <v>877</v>
      </c>
      <c r="G2" s="1726">
        <f ca="1">LnkTXTIRTTotal</f>
        <v>6.0000000000000001E-3</v>
      </c>
    </row>
    <row r="4" spans="2:10">
      <c r="B4" s="9"/>
    </row>
    <row r="5" spans="2:10" ht="25.5">
      <c r="B5" s="1715" t="s">
        <v>2199</v>
      </c>
      <c r="C5" s="1715" t="s">
        <v>2180</v>
      </c>
      <c r="D5" s="1715" t="s">
        <v>2181</v>
      </c>
      <c r="E5" s="1715" t="s">
        <v>2182</v>
      </c>
      <c r="F5" s="1715" t="s">
        <v>790</v>
      </c>
      <c r="G5" s="1715" t="s">
        <v>109</v>
      </c>
      <c r="H5" s="1715" t="s">
        <v>2200</v>
      </c>
      <c r="I5" s="1715" t="s">
        <v>742</v>
      </c>
      <c r="J5" s="1715" t="s">
        <v>1282</v>
      </c>
    </row>
    <row r="6" spans="2:10">
      <c r="B6" s="1733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27847.920999999998</v>
      </c>
      <c r="G6" s="851">
        <f>IF(C6=0,(SUMIF(FaturasT!I:I,'Perdas de Energia'!B6,FaturasT!P:P)/1000),0)</f>
        <v>528.57799999999997</v>
      </c>
      <c r="H6" s="851">
        <f>SUMIF(dados_MercadoBase[AnoMes],'Perdas de Energia'!B6,dados_MercadoBase[TE_E])</f>
        <v>27449.428999999989</v>
      </c>
      <c r="I6" s="1734">
        <f>C6-D6-E6+F6-H6+G6</f>
        <v>927.07000000000926</v>
      </c>
      <c r="J6" s="1735">
        <f>I6/(C6-D6-E6+F6+G6)</f>
        <v>3.2670344569286337E-2</v>
      </c>
    </row>
    <row r="7" spans="2:10">
      <c r="B7" s="1733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28544.460999999999</v>
      </c>
      <c r="G7" s="851">
        <f>IF(C7=0,(SUMIF(FaturasT!I:I,'Perdas de Energia'!B7,FaturasT!P:P)/1000),0)</f>
        <v>562.80999999999995</v>
      </c>
      <c r="H7" s="851">
        <f>SUMIF(dados_MercadoBase[AnoMes],'Perdas de Energia'!B7,dados_MercadoBase[TE_E])</f>
        <v>27436.698999999993</v>
      </c>
      <c r="I7" s="1734">
        <f t="shared" ref="I7:I16" si="0">C7-D7-E7+F7-H7+G7</f>
        <v>1670.572000000006</v>
      </c>
      <c r="J7" s="1735">
        <f t="shared" ref="J7:J17" si="1">I7/(C7-D7-E7+F7+G7)</f>
        <v>5.739363198975287E-2</v>
      </c>
    </row>
    <row r="8" spans="2:10">
      <c r="B8" s="1733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29395.078000000001</v>
      </c>
      <c r="G8" s="851">
        <f>IF(C8=0,(SUMIF(FaturasT!I:I,'Perdas de Energia'!B8,FaturasT!P:P)/1000),0)</f>
        <v>561.89800000000002</v>
      </c>
      <c r="H8" s="851">
        <f>SUMIF(dados_MercadoBase[AnoMes],'Perdas de Energia'!B8,dados_MercadoBase[TE_E])</f>
        <v>27773.555000000011</v>
      </c>
      <c r="I8" s="1734">
        <f t="shared" si="0"/>
        <v>2183.4209999999903</v>
      </c>
      <c r="J8" s="1735">
        <f t="shared" si="1"/>
        <v>7.2885227133739738E-2</v>
      </c>
    </row>
    <row r="9" spans="2:10">
      <c r="B9" s="1733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28972.204000000002</v>
      </c>
      <c r="G9" s="851">
        <f>IF(C9=0,(SUMIF(FaturasT!I:I,'Perdas de Energia'!B9,FaturasT!P:P)/1000),0)</f>
        <v>512.36800000000005</v>
      </c>
      <c r="H9" s="851">
        <f>SUMIF(dados_MercadoBase[AnoMes],'Perdas de Energia'!B9,dados_MercadoBase[TE_E])</f>
        <v>27149.897000000008</v>
      </c>
      <c r="I9" s="1734">
        <f t="shared" si="0"/>
        <v>2334.6749999999934</v>
      </c>
      <c r="J9" s="1735">
        <f t="shared" si="1"/>
        <v>7.9182936757569128E-2</v>
      </c>
    </row>
    <row r="10" spans="2:10">
      <c r="B10" s="1733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31743.594000000001</v>
      </c>
      <c r="G10" s="851">
        <f>IF(C10=0,(SUMIF(FaturasT!I:I,'Perdas de Energia'!B10,FaturasT!P:P)/1000),0)</f>
        <v>449.49700000000001</v>
      </c>
      <c r="H10" s="851">
        <f>SUMIF(dados_MercadoBase[AnoMes],'Perdas de Energia'!B10,dados_MercadoBase[TE_E])</f>
        <v>29351.427000000003</v>
      </c>
      <c r="I10" s="1734">
        <f t="shared" si="0"/>
        <v>2841.6639999999975</v>
      </c>
      <c r="J10" s="1735">
        <f t="shared" si="1"/>
        <v>8.8269374320098598E-2</v>
      </c>
    </row>
    <row r="11" spans="2:10">
      <c r="B11" s="1733">
        <f t="shared" si="2"/>
        <v>44593</v>
      </c>
      <c r="C11" s="851">
        <f>IFERROR(VLOOKUP(B11,PerdasDitFinal[#All],2,FALSE),0)</f>
        <v>0</v>
      </c>
      <c r="D11" s="851">
        <f>IFERROR(VLOOKUP(B11,PerdasDitFinal[#All],3,FALSE),0)</f>
        <v>0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30033.648000000001</v>
      </c>
      <c r="G11" s="851">
        <f>IF(C11=0,(SUMIF(FaturasT!I:I,'Perdas de Energia'!B11,FaturasT!P:P)/1000),0)</f>
        <v>402.577</v>
      </c>
      <c r="H11" s="851">
        <f>SUMIF(dados_MercadoBase[AnoMes],'Perdas de Energia'!B11,dados_MercadoBase[TE_E])</f>
        <v>29390.044999999998</v>
      </c>
      <c r="I11" s="1734">
        <f t="shared" si="0"/>
        <v>1046.1800000000028</v>
      </c>
      <c r="J11" s="1735">
        <f t="shared" si="1"/>
        <v>3.4372856686399271E-2</v>
      </c>
    </row>
    <row r="12" spans="2:10">
      <c r="B12" s="1733">
        <f t="shared" si="2"/>
        <v>44621</v>
      </c>
      <c r="C12" s="851">
        <f>IFERROR(VLOOKUP(B12,PerdasDitFinal[#All],2,FALSE),0)</f>
        <v>0</v>
      </c>
      <c r="D12" s="851">
        <f>IFERROR(VLOOKUP(B12,PerdasDitFinal[#All],3,FALSE),0)</f>
        <v>0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32331.822</v>
      </c>
      <c r="G12" s="851">
        <f>IF(C12=0,(SUMIF(FaturasT!I:I,'Perdas de Energia'!B12,FaturasT!P:P)/1000),0)</f>
        <v>435.10399999999998</v>
      </c>
      <c r="H12" s="851">
        <f>SUMIF(dados_MercadoBase[AnoMes],'Perdas de Energia'!B12,dados_MercadoBase[TE_E])</f>
        <v>31334.365999999998</v>
      </c>
      <c r="I12" s="1734">
        <f t="shared" si="0"/>
        <v>1432.560000000002</v>
      </c>
      <c r="J12" s="1735">
        <f t="shared" si="1"/>
        <v>4.3719694670168389E-2</v>
      </c>
    </row>
    <row r="13" spans="2:10">
      <c r="B13" s="1733">
        <f t="shared" si="2"/>
        <v>44652</v>
      </c>
      <c r="C13" s="851">
        <f>IFERROR(VLOOKUP(B13,PerdasDitFinal[#All],2,FALSE),0)</f>
        <v>0</v>
      </c>
      <c r="D13" s="851">
        <f>IFERROR(VLOOKUP(B13,PerdasDitFinal[#All],3,FALSE),0)</f>
        <v>0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28250.754000000001</v>
      </c>
      <c r="G13" s="851">
        <f>IF(C13=0,(SUMIF(FaturasT!I:I,'Perdas de Energia'!B13,FaturasT!P:P)/1000),0)</f>
        <v>418.64600000000002</v>
      </c>
      <c r="H13" s="851">
        <f>SUMIF(dados_MercadoBase[AnoMes],'Perdas de Energia'!B13,dados_MercadoBase[TE_E])</f>
        <v>27796.749999999996</v>
      </c>
      <c r="I13" s="1734">
        <f t="shared" si="0"/>
        <v>872.65000000000441</v>
      </c>
      <c r="J13" s="1735">
        <f t="shared" si="1"/>
        <v>3.0438376805932608E-2</v>
      </c>
    </row>
    <row r="14" spans="2:10">
      <c r="B14" s="1733">
        <f t="shared" si="2"/>
        <v>44682</v>
      </c>
      <c r="C14" s="851">
        <f>IFERROR(VLOOKUP(B14,PerdasDitFinal[#All],2,FALSE),0)</f>
        <v>0</v>
      </c>
      <c r="D14" s="851">
        <f>IFERROR(VLOOKUP(B14,PerdasDitFinal[#All],3,FALSE),D13)</f>
        <v>0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29364.598999999998</v>
      </c>
      <c r="G14" s="851">
        <f>IF(C14=0,IF(IFERROR(VLOOKUP(B14,FaturasT!I:I,1,FALSE),0)=B14,(SUMIF(Consulta3[MesAno],'Perdas de Energia'!B14,Consulta3[Proinfa (kWh)])/1000),G13),0)</f>
        <v>474.88799999999998</v>
      </c>
      <c r="H14" s="851">
        <f>SUMIF(dados_MercadoBase[AnoMes],'Perdas de Energia'!B14,dados_MercadoBase[TE_E])</f>
        <v>27971.403999999995</v>
      </c>
      <c r="I14" s="1734">
        <f t="shared" si="0"/>
        <v>1868.0830000000033</v>
      </c>
      <c r="J14" s="1735">
        <f t="shared" si="1"/>
        <v>6.260439396964175E-2</v>
      </c>
    </row>
    <row r="15" spans="2:10">
      <c r="B15" s="1733">
        <f>EDATE(B14,1)</f>
        <v>44713</v>
      </c>
      <c r="C15" s="851">
        <f>IFERROR(VLOOKUP(B15,PerdasDitFinal[#All],2,FALSE),C14)</f>
        <v>0</v>
      </c>
      <c r="D15" s="851">
        <f>IFERROR(VLOOKUP(B15,PerdasDitFinal[#All],3,FALSE),D14)</f>
        <v>0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28109.788</v>
      </c>
      <c r="G15" s="851">
        <f>IF(C15=0,IF(IFERROR(VLOOKUP(B15,FaturasT!I:I,1,FALSE),0)=B15,(SUMIF(Consulta3[MesAno],'Perdas de Energia'!B15,Consulta3[Proinfa (kWh)])/1000),G14),0)</f>
        <v>474.56099999999998</v>
      </c>
      <c r="H15" s="851">
        <f>SUMIF(dados_MercadoBase[AnoMes],'Perdas de Energia'!B15,dados_MercadoBase[TE_E])</f>
        <v>26739.928999999993</v>
      </c>
      <c r="I15" s="1734">
        <f t="shared" si="0"/>
        <v>1844.4200000000076</v>
      </c>
      <c r="J15" s="1735">
        <f t="shared" si="1"/>
        <v>6.4525520591705882E-2</v>
      </c>
    </row>
    <row r="16" spans="2:10">
      <c r="B16" s="1733">
        <f t="shared" si="2"/>
        <v>44743</v>
      </c>
      <c r="C16" s="851">
        <f>IFERROR(VLOOKUP(B16,PerdasDitFinal[#All],2,FALSE),C15)</f>
        <v>0</v>
      </c>
      <c r="D16" s="851">
        <f>IFERROR(VLOOKUP(B16,PerdasDitFinal[#All],3,FALSE),D15)</f>
        <v>0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28202.316999999999</v>
      </c>
      <c r="G16" s="851">
        <f>IF(C16=0,IF(IFERROR(VLOOKUP(B16,FaturasT!I:I,1,FALSE),0)=B16,(SUMIF(Consulta3[MesAno],'Perdas de Energia'!B16,Consulta3[Proinfa (kWh)])/1000),G15),0)</f>
        <v>491.70100000000002</v>
      </c>
      <c r="H16" s="851">
        <f>SUMIF(dados_MercadoBase[AnoMes],'Perdas de Energia'!B16,dados_MercadoBase[TE_E])</f>
        <v>27199.986000000001</v>
      </c>
      <c r="I16" s="1734">
        <f t="shared" si="0"/>
        <v>1494.0319999999983</v>
      </c>
      <c r="J16" s="1735">
        <f t="shared" si="1"/>
        <v>5.2067716692726626E-2</v>
      </c>
    </row>
    <row r="17" spans="2:10">
      <c r="B17" s="1733">
        <f>EDATE(B16,1)</f>
        <v>44774</v>
      </c>
      <c r="C17" s="851">
        <f>IFERROR(VLOOKUP(B17,PerdasDitFinal[#All],2,FALSE),C16)</f>
        <v>0</v>
      </c>
      <c r="D17" s="851">
        <f>IFERROR(VLOOKUP(B17,PerdasDitFinal[#All],3,FALSE),D16)</f>
        <v>0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28202.316999999999</v>
      </c>
      <c r="G17" s="851">
        <f>IF(C17=0,IF(IFERROR(VLOOKUP(B17,FaturasT!I:I,1,FALSE),0)=B17,(SUMIF(Consulta3[MesAno],'Perdas de Energia'!B17,Consulta3[Proinfa (kWh)])/1000),G16),0)</f>
        <v>491.70100000000002</v>
      </c>
      <c r="H17" s="851">
        <f>SUMIF(dados_MercadoBase[AnoMes],'Perdas de Energia'!B17,dados_MercadoBase[TE_E])</f>
        <v>27199.986000000001</v>
      </c>
      <c r="I17" s="1734">
        <f>C17-D17-E17+F17-H17+G17</f>
        <v>1494.0319999999983</v>
      </c>
      <c r="J17" s="1735">
        <f t="shared" si="1"/>
        <v>5.2067716692726626E-2</v>
      </c>
    </row>
    <row r="18" spans="2:10">
      <c r="B18" s="1716" t="s">
        <v>769</v>
      </c>
      <c r="C18" s="1117">
        <f t="shared" ref="C18:G18" si="3">SUM(C6:C17)</f>
        <v>0</v>
      </c>
      <c r="D18" s="1117">
        <f t="shared" si="3"/>
        <v>0</v>
      </c>
      <c r="E18" s="1117">
        <f t="shared" si="3"/>
        <v>0</v>
      </c>
      <c r="F18" s="1117">
        <f t="shared" si="3"/>
        <v>350998.50299999997</v>
      </c>
      <c r="G18" s="1117">
        <f t="shared" si="3"/>
        <v>5804.3289999999997</v>
      </c>
      <c r="H18" s="1117">
        <f>SUM(H6:H17)</f>
        <v>336793.473</v>
      </c>
      <c r="I18" s="1117">
        <f>SUM(I6:I17)</f>
        <v>20009.359000000015</v>
      </c>
      <c r="J18" s="1717">
        <f>I18/(C18-D18-E18+F18+G18)</f>
        <v>5.6079596924275575E-2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Normal="100" workbookViewId="0"/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7" t="s">
        <v>635</v>
      </c>
      <c r="C1" s="1021">
        <f>Resultado!C1</f>
        <v>0</v>
      </c>
      <c r="D1" s="1228"/>
      <c r="E1" s="1229"/>
      <c r="F1" s="1230"/>
      <c r="G1" s="1131" t="s">
        <v>873</v>
      </c>
      <c r="H1" s="1231">
        <f ca="1">LnkTXTIRTEco</f>
        <v>1.49E-2</v>
      </c>
    </row>
    <row r="2" spans="2:27">
      <c r="B2" s="136" t="str">
        <f>CAPA!C9</f>
        <v>Coopera</v>
      </c>
      <c r="C2" s="70"/>
      <c r="D2" s="70"/>
      <c r="G2" s="120" t="s">
        <v>877</v>
      </c>
      <c r="H2" s="146">
        <f ca="1">LnkTXTIRTTotal</f>
        <v>6.0000000000000001E-3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2" t="s">
        <v>1153</v>
      </c>
      <c r="C6" s="1232"/>
      <c r="D6" s="1232"/>
      <c r="E6" s="1232"/>
      <c r="F6" s="1232"/>
      <c r="G6" s="1232"/>
      <c r="H6" s="1232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3" t="s">
        <v>778</v>
      </c>
      <c r="C8" s="1233" t="s">
        <v>1154</v>
      </c>
      <c r="D8" s="1233" t="s">
        <v>1155</v>
      </c>
      <c r="E8" s="1233" t="s">
        <v>1156</v>
      </c>
      <c r="H8" s="150"/>
    </row>
    <row r="9" spans="2:27">
      <c r="B9" s="156" t="s">
        <v>893</v>
      </c>
      <c r="C9" s="179">
        <f>SUMIFS($M$18:$M$63,$D$18:$D$63,"Ponta")</f>
        <v>582</v>
      </c>
      <c r="D9" s="179">
        <f>SUMIFS($J$18:$J$63,$D$18:$D$63,"Ponta")</f>
        <v>3946542</v>
      </c>
      <c r="E9" s="179">
        <f>SUMIFS($L$18:$L$63,$D$18:$D$63,"Ponta")</f>
        <v>576180</v>
      </c>
    </row>
    <row r="10" spans="2:27">
      <c r="B10" s="1234" t="s">
        <v>1157</v>
      </c>
      <c r="C10" s="1235">
        <f>SUMIFS($M$18:$M$63,$D$18:$D$63,"Fora Ponta")</f>
        <v>741</v>
      </c>
      <c r="D10" s="1235">
        <f>SUMIFS($J$18:$J$63,$D$18:$D$63,"Fora Ponta")</f>
        <v>5398185</v>
      </c>
      <c r="E10" s="1235">
        <f>SUMIFS($L$18:$L$63,$D$18:$D$63,"Fora Ponta")</f>
        <v>733590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6" t="s">
        <v>1158</v>
      </c>
      <c r="G14" s="1237"/>
      <c r="H14" s="1237"/>
      <c r="I14" s="1237"/>
      <c r="J14" s="1237"/>
      <c r="K14" s="1237"/>
      <c r="L14" s="1237"/>
      <c r="M14" s="1237"/>
      <c r="N14" s="1237"/>
      <c r="O14" s="1237"/>
      <c r="P14" s="1237"/>
      <c r="Q14" s="1237"/>
      <c r="R14" s="1238"/>
    </row>
    <row r="15" spans="2:27">
      <c r="B15" s="1817" t="s">
        <v>1159</v>
      </c>
      <c r="C15" s="1818" t="s">
        <v>1160</v>
      </c>
      <c r="D15" s="1819" t="s">
        <v>78</v>
      </c>
      <c r="E15" s="1820" t="s">
        <v>1161</v>
      </c>
      <c r="F15" s="1820"/>
      <c r="G15" s="1820"/>
      <c r="H15" s="1821"/>
      <c r="I15" s="1822" t="s">
        <v>1162</v>
      </c>
      <c r="J15" s="1823"/>
      <c r="K15" s="1823"/>
      <c r="L15" s="1823"/>
      <c r="M15" s="1807" t="s">
        <v>1163</v>
      </c>
      <c r="N15" s="1808"/>
      <c r="O15" s="1808"/>
      <c r="P15" s="1808"/>
      <c r="Q15" s="1808"/>
      <c r="R15" s="1808"/>
      <c r="S15" s="1808"/>
      <c r="T15" s="1808"/>
      <c r="U15" s="1808"/>
      <c r="V15" s="1808"/>
      <c r="W15" s="1808"/>
      <c r="X15" s="1808"/>
      <c r="Y15" s="1808"/>
      <c r="Z15" s="65"/>
      <c r="AA15" s="382"/>
    </row>
    <row r="16" spans="2:27">
      <c r="B16" s="1817"/>
      <c r="C16" s="1818"/>
      <c r="D16" s="1819"/>
      <c r="E16" s="1811" t="s">
        <v>110</v>
      </c>
      <c r="F16" s="1812"/>
      <c r="G16" s="1812" t="s">
        <v>1164</v>
      </c>
      <c r="H16" s="1813"/>
      <c r="I16" s="1814" t="s">
        <v>110</v>
      </c>
      <c r="J16" s="1815"/>
      <c r="K16" s="1815" t="s">
        <v>1164</v>
      </c>
      <c r="L16" s="1816"/>
      <c r="M16" s="1809"/>
      <c r="N16" s="1810"/>
      <c r="O16" s="1810"/>
      <c r="P16" s="1810"/>
      <c r="Q16" s="1810"/>
      <c r="R16" s="1810"/>
      <c r="S16" s="1810"/>
      <c r="T16" s="1810"/>
      <c r="U16" s="1810"/>
      <c r="V16" s="1810"/>
      <c r="W16" s="1810"/>
      <c r="X16" s="1810"/>
      <c r="Y16" s="1810"/>
      <c r="Z16" s="65"/>
      <c r="AA16" s="382"/>
    </row>
    <row r="17" spans="2:27">
      <c r="B17" s="1817"/>
      <c r="C17" s="1818"/>
      <c r="D17" s="1819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>
      <c r="B18" s="1239" t="str">
        <f>RBBD!B3</f>
        <v>FORQUILHINHA - 69 kV (A)</v>
      </c>
      <c r="C18" s="1239" t="str">
        <f>RBBD!C3</f>
        <v>69</v>
      </c>
      <c r="D18" s="1239" t="str">
        <f>RBBD!D3</f>
        <v>Ponta</v>
      </c>
      <c r="E18" s="1239">
        <f>RBBD!E3</f>
        <v>4701</v>
      </c>
      <c r="F18" s="1239">
        <f>RBBD!F3</f>
        <v>6781</v>
      </c>
      <c r="G18" s="1239">
        <f>RBBD!G3</f>
        <v>945</v>
      </c>
      <c r="H18" s="1239">
        <f>RBBD!H3</f>
        <v>990</v>
      </c>
      <c r="I18" s="1239">
        <f>E18*$M18</f>
        <v>2735982</v>
      </c>
      <c r="J18" s="1239">
        <f>F18*$M18</f>
        <v>3946542</v>
      </c>
      <c r="K18" s="1239">
        <f>G18*$M18</f>
        <v>549990</v>
      </c>
      <c r="L18" s="1239">
        <f>H18*$M18</f>
        <v>576180</v>
      </c>
      <c r="M18" s="1239">
        <f>SUM(N18:Y18)</f>
        <v>582</v>
      </c>
      <c r="N18" s="1239">
        <f>RBBD!I3</f>
        <v>46</v>
      </c>
      <c r="O18" s="1239">
        <f>RBBD!J3</f>
        <v>46</v>
      </c>
      <c r="P18" s="1239">
        <f>RBBD!K3</f>
        <v>49</v>
      </c>
      <c r="Q18" s="1239">
        <f>RBBD!L3</f>
        <v>49</v>
      </c>
      <c r="R18" s="1239">
        <f>RBBD!M3</f>
        <v>50</v>
      </c>
      <c r="S18" s="1239">
        <f>RBBD!N3</f>
        <v>50</v>
      </c>
      <c r="T18" s="1239">
        <f>RBBD!O3</f>
        <v>50</v>
      </c>
      <c r="U18" s="1239">
        <f>RBBD!P3</f>
        <v>50</v>
      </c>
      <c r="V18" s="1239">
        <f>RBBD!Q3</f>
        <v>50</v>
      </c>
      <c r="W18" s="1239">
        <f>RBBD!R3</f>
        <v>50</v>
      </c>
      <c r="X18" s="1239">
        <f>RBBD!S3</f>
        <v>46</v>
      </c>
      <c r="Y18" s="1239">
        <f>RBBD!T3</f>
        <v>46</v>
      </c>
      <c r="Z18" s="65"/>
      <c r="AA18" s="324">
        <f t="shared" ref="AA18:AA23" si="1">IF(B18=0,0,1)</f>
        <v>1</v>
      </c>
    </row>
    <row r="19" spans="2:27">
      <c r="B19" s="1239" t="str">
        <f>RBBD!B4</f>
        <v>FORQUILHINHA - 69 kV (A)</v>
      </c>
      <c r="C19" s="1239" t="str">
        <f>RBBD!C4</f>
        <v>69</v>
      </c>
      <c r="D19" s="1239" t="str">
        <f>RBBD!D4</f>
        <v>Fora Ponta</v>
      </c>
      <c r="E19" s="1239">
        <f>RBBD!E4</f>
        <v>5346</v>
      </c>
      <c r="F19" s="1239">
        <f>RBBD!F4</f>
        <v>7285</v>
      </c>
      <c r="G19" s="1239">
        <f>RBBD!G4</f>
        <v>945</v>
      </c>
      <c r="H19" s="1239">
        <f>RBBD!H4</f>
        <v>990</v>
      </c>
      <c r="I19" s="1239">
        <f t="shared" ref="I19:L60" si="2">E19*$M19</f>
        <v>3961386</v>
      </c>
      <c r="J19" s="1239">
        <f t="shared" si="2"/>
        <v>5398185</v>
      </c>
      <c r="K19" s="1239">
        <f t="shared" si="2"/>
        <v>700245</v>
      </c>
      <c r="L19" s="1239">
        <f t="shared" si="2"/>
        <v>733590</v>
      </c>
      <c r="M19" s="1239">
        <f t="shared" ref="M19:M60" si="3">SUM(N19:Y19)</f>
        <v>741</v>
      </c>
      <c r="N19" s="1239">
        <f>RBBD!I4</f>
        <v>56.5</v>
      </c>
      <c r="O19" s="1239">
        <f>RBBD!J4</f>
        <v>56.5</v>
      </c>
      <c r="P19" s="1239">
        <f>RBBD!K4</f>
        <v>64</v>
      </c>
      <c r="Q19" s="1239">
        <f>RBBD!L4</f>
        <v>64</v>
      </c>
      <c r="R19" s="1239">
        <f>RBBD!M4</f>
        <v>64</v>
      </c>
      <c r="S19" s="1239">
        <f>RBBD!N4</f>
        <v>64</v>
      </c>
      <c r="T19" s="1239">
        <f>RBBD!O4</f>
        <v>64</v>
      </c>
      <c r="U19" s="1239">
        <f>RBBD!P4</f>
        <v>64</v>
      </c>
      <c r="V19" s="1239">
        <f>RBBD!Q4</f>
        <v>64</v>
      </c>
      <c r="W19" s="1239">
        <f>RBBD!R4</f>
        <v>64</v>
      </c>
      <c r="X19" s="1239">
        <f>RBBD!S4</f>
        <v>58</v>
      </c>
      <c r="Y19" s="1239">
        <f>RBBD!T4</f>
        <v>58</v>
      </c>
      <c r="Z19" s="65"/>
      <c r="AA19" s="324">
        <f t="shared" si="1"/>
        <v>1</v>
      </c>
    </row>
    <row r="20" spans="2:27" hidden="1">
      <c r="B20" s="1239">
        <f>RBBD!B5</f>
        <v>0</v>
      </c>
      <c r="C20" s="1239">
        <f>RBBD!C5</f>
        <v>0</v>
      </c>
      <c r="D20" s="1239">
        <f>RBBD!D5</f>
        <v>0</v>
      </c>
      <c r="E20" s="1239">
        <f>RBBD!E5</f>
        <v>0</v>
      </c>
      <c r="F20" s="1239">
        <f>RBBD!F5</f>
        <v>0</v>
      </c>
      <c r="G20" s="1239">
        <f>RBBD!G5</f>
        <v>0</v>
      </c>
      <c r="H20" s="1239">
        <f>RBBD!H5</f>
        <v>0</v>
      </c>
      <c r="I20" s="1239">
        <f t="shared" si="2"/>
        <v>0</v>
      </c>
      <c r="J20" s="1239">
        <f t="shared" si="2"/>
        <v>0</v>
      </c>
      <c r="K20" s="1239">
        <f t="shared" si="2"/>
        <v>0</v>
      </c>
      <c r="L20" s="1239">
        <f t="shared" si="2"/>
        <v>0</v>
      </c>
      <c r="M20" s="1239">
        <f t="shared" si="3"/>
        <v>0</v>
      </c>
      <c r="N20" s="1239">
        <f>RBBD!I5</f>
        <v>0</v>
      </c>
      <c r="O20" s="1239">
        <f>RBBD!J5</f>
        <v>0</v>
      </c>
      <c r="P20" s="1239">
        <f>RBBD!K5</f>
        <v>0</v>
      </c>
      <c r="Q20" s="1239">
        <f>RBBD!L5</f>
        <v>0</v>
      </c>
      <c r="R20" s="1239">
        <f>RBBD!M5</f>
        <v>0</v>
      </c>
      <c r="S20" s="1239">
        <f>RBBD!N5</f>
        <v>0</v>
      </c>
      <c r="T20" s="1239">
        <f>RBBD!O5</f>
        <v>0</v>
      </c>
      <c r="U20" s="1239">
        <f>RBBD!P5</f>
        <v>0</v>
      </c>
      <c r="V20" s="1239">
        <f>RBBD!Q5</f>
        <v>0</v>
      </c>
      <c r="W20" s="1239">
        <f>RBBD!R5</f>
        <v>0</v>
      </c>
      <c r="X20" s="1239">
        <f>RBBD!S5</f>
        <v>0</v>
      </c>
      <c r="Y20" s="1239">
        <f>RBBD!T5</f>
        <v>0</v>
      </c>
      <c r="Z20" s="65"/>
      <c r="AA20" s="324">
        <f t="shared" si="1"/>
        <v>0</v>
      </c>
    </row>
    <row r="21" spans="2:27" hidden="1">
      <c r="B21" s="1239">
        <f>RBBD!B6</f>
        <v>0</v>
      </c>
      <c r="C21" s="1239">
        <f>RBBD!C6</f>
        <v>0</v>
      </c>
      <c r="D21" s="1239">
        <f>RBBD!D6</f>
        <v>0</v>
      </c>
      <c r="E21" s="1239">
        <f>RBBD!E6</f>
        <v>0</v>
      </c>
      <c r="F21" s="1239">
        <f>RBBD!F6</f>
        <v>0</v>
      </c>
      <c r="G21" s="1239">
        <f>RBBD!G6</f>
        <v>0</v>
      </c>
      <c r="H21" s="1239">
        <f>RBBD!H6</f>
        <v>0</v>
      </c>
      <c r="I21" s="1239">
        <f t="shared" si="2"/>
        <v>0</v>
      </c>
      <c r="J21" s="1239">
        <f t="shared" si="2"/>
        <v>0</v>
      </c>
      <c r="K21" s="1239">
        <f t="shared" si="2"/>
        <v>0</v>
      </c>
      <c r="L21" s="1239">
        <f t="shared" si="2"/>
        <v>0</v>
      </c>
      <c r="M21" s="1239">
        <f t="shared" si="3"/>
        <v>0</v>
      </c>
      <c r="N21" s="1239">
        <f>RBBD!I6</f>
        <v>0</v>
      </c>
      <c r="O21" s="1239">
        <f>RBBD!J6</f>
        <v>0</v>
      </c>
      <c r="P21" s="1239">
        <f>RBBD!K6</f>
        <v>0</v>
      </c>
      <c r="Q21" s="1239">
        <f>RBBD!L6</f>
        <v>0</v>
      </c>
      <c r="R21" s="1239">
        <f>RBBD!M6</f>
        <v>0</v>
      </c>
      <c r="S21" s="1239">
        <f>RBBD!N6</f>
        <v>0</v>
      </c>
      <c r="T21" s="1239">
        <f>RBBD!O6</f>
        <v>0</v>
      </c>
      <c r="U21" s="1239">
        <f>RBBD!P6</f>
        <v>0</v>
      </c>
      <c r="V21" s="1239">
        <f>RBBD!Q6</f>
        <v>0</v>
      </c>
      <c r="W21" s="1239">
        <f>RBBD!R6</f>
        <v>0</v>
      </c>
      <c r="X21" s="1239">
        <f>RBBD!S6</f>
        <v>0</v>
      </c>
      <c r="Y21" s="1239">
        <f>RBBD!T6</f>
        <v>0</v>
      </c>
      <c r="Z21" s="65"/>
      <c r="AA21" s="324">
        <f t="shared" si="1"/>
        <v>0</v>
      </c>
    </row>
    <row r="22" spans="2:27" hidden="1">
      <c r="B22" s="1239">
        <f>RBBD!B7</f>
        <v>0</v>
      </c>
      <c r="C22" s="1239">
        <f>RBBD!C7</f>
        <v>0</v>
      </c>
      <c r="D22" s="1239">
        <f>RBBD!D7</f>
        <v>0</v>
      </c>
      <c r="E22" s="1239">
        <f>RBBD!E7</f>
        <v>0</v>
      </c>
      <c r="F22" s="1239">
        <f>RBBD!F7</f>
        <v>0</v>
      </c>
      <c r="G22" s="1239">
        <f>RBBD!G7</f>
        <v>0</v>
      </c>
      <c r="H22" s="1239">
        <f>RBBD!H7</f>
        <v>0</v>
      </c>
      <c r="I22" s="1239">
        <f t="shared" si="2"/>
        <v>0</v>
      </c>
      <c r="J22" s="1239">
        <f t="shared" si="2"/>
        <v>0</v>
      </c>
      <c r="K22" s="1239">
        <f t="shared" si="2"/>
        <v>0</v>
      </c>
      <c r="L22" s="1239">
        <f t="shared" si="2"/>
        <v>0</v>
      </c>
      <c r="M22" s="1239">
        <f t="shared" si="3"/>
        <v>0</v>
      </c>
      <c r="N22" s="1239">
        <f>RBBD!I7</f>
        <v>0</v>
      </c>
      <c r="O22" s="1239">
        <f>RBBD!J7</f>
        <v>0</v>
      </c>
      <c r="P22" s="1239">
        <f>RBBD!K7</f>
        <v>0</v>
      </c>
      <c r="Q22" s="1239">
        <f>RBBD!L7</f>
        <v>0</v>
      </c>
      <c r="R22" s="1239">
        <f>RBBD!M7</f>
        <v>0</v>
      </c>
      <c r="S22" s="1239">
        <f>RBBD!N7</f>
        <v>0</v>
      </c>
      <c r="T22" s="1239">
        <f>RBBD!O7</f>
        <v>0</v>
      </c>
      <c r="U22" s="1239">
        <f>RBBD!P7</f>
        <v>0</v>
      </c>
      <c r="V22" s="1239">
        <f>RBBD!Q7</f>
        <v>0</v>
      </c>
      <c r="W22" s="1239">
        <f>RBBD!R7</f>
        <v>0</v>
      </c>
      <c r="X22" s="1239">
        <f>RBBD!S7</f>
        <v>0</v>
      </c>
      <c r="Y22" s="1239">
        <f>RBBD!T7</f>
        <v>0</v>
      </c>
      <c r="Z22" s="65"/>
      <c r="AA22" s="324">
        <f t="shared" si="1"/>
        <v>0</v>
      </c>
    </row>
    <row r="23" spans="2:27" hidden="1">
      <c r="B23" s="1239">
        <f>RBBD!B8</f>
        <v>0</v>
      </c>
      <c r="C23" s="1239">
        <f>RBBD!C8</f>
        <v>0</v>
      </c>
      <c r="D23" s="1239">
        <f>RBBD!D8</f>
        <v>0</v>
      </c>
      <c r="E23" s="1239">
        <f>RBBD!E8</f>
        <v>0</v>
      </c>
      <c r="F23" s="1239">
        <f>RBBD!F8</f>
        <v>0</v>
      </c>
      <c r="G23" s="1239">
        <f>RBBD!G8</f>
        <v>0</v>
      </c>
      <c r="H23" s="1239">
        <f>RBBD!H8</f>
        <v>0</v>
      </c>
      <c r="I23" s="1239">
        <f t="shared" si="2"/>
        <v>0</v>
      </c>
      <c r="J23" s="1239">
        <f t="shared" si="2"/>
        <v>0</v>
      </c>
      <c r="K23" s="1239">
        <f t="shared" si="2"/>
        <v>0</v>
      </c>
      <c r="L23" s="1239">
        <f t="shared" si="2"/>
        <v>0</v>
      </c>
      <c r="M23" s="1239">
        <f t="shared" si="3"/>
        <v>0</v>
      </c>
      <c r="N23" s="1239">
        <f>RBBD!I8</f>
        <v>0</v>
      </c>
      <c r="O23" s="1239">
        <f>RBBD!J8</f>
        <v>0</v>
      </c>
      <c r="P23" s="1239">
        <f>RBBD!K8</f>
        <v>0</v>
      </c>
      <c r="Q23" s="1239">
        <f>RBBD!L8</f>
        <v>0</v>
      </c>
      <c r="R23" s="1239">
        <f>RBBD!M8</f>
        <v>0</v>
      </c>
      <c r="S23" s="1239">
        <f>RBBD!N8</f>
        <v>0</v>
      </c>
      <c r="T23" s="1239">
        <f>RBBD!O8</f>
        <v>0</v>
      </c>
      <c r="U23" s="1239">
        <f>RBBD!P8</f>
        <v>0</v>
      </c>
      <c r="V23" s="1239">
        <f>RBBD!Q8</f>
        <v>0</v>
      </c>
      <c r="W23" s="1239">
        <f>RBBD!R8</f>
        <v>0</v>
      </c>
      <c r="X23" s="1239">
        <f>RBBD!S8</f>
        <v>0</v>
      </c>
      <c r="Y23" s="1239">
        <f>RBBD!T8</f>
        <v>0</v>
      </c>
      <c r="Z23" s="65"/>
      <c r="AA23" s="324">
        <f t="shared" si="1"/>
        <v>0</v>
      </c>
    </row>
    <row r="24" spans="2:27" hidden="1">
      <c r="B24" s="1239">
        <f>RBBD!B9</f>
        <v>0</v>
      </c>
      <c r="C24" s="1239">
        <f>RBBD!C9</f>
        <v>0</v>
      </c>
      <c r="D24" s="1239">
        <f>RBBD!D9</f>
        <v>0</v>
      </c>
      <c r="E24" s="1239">
        <f>RBBD!E9</f>
        <v>0</v>
      </c>
      <c r="F24" s="1239">
        <f>RBBD!F9</f>
        <v>0</v>
      </c>
      <c r="G24" s="1239">
        <f>RBBD!G9</f>
        <v>0</v>
      </c>
      <c r="H24" s="1239">
        <f>RBBD!H9</f>
        <v>0</v>
      </c>
      <c r="I24" s="1239">
        <f t="shared" si="2"/>
        <v>0</v>
      </c>
      <c r="J24" s="1239">
        <f t="shared" si="2"/>
        <v>0</v>
      </c>
      <c r="K24" s="1239">
        <f t="shared" si="2"/>
        <v>0</v>
      </c>
      <c r="L24" s="1239">
        <f t="shared" si="2"/>
        <v>0</v>
      </c>
      <c r="M24" s="1239">
        <f t="shared" si="3"/>
        <v>0</v>
      </c>
      <c r="N24" s="1239">
        <f>RBBD!I9</f>
        <v>0</v>
      </c>
      <c r="O24" s="1239">
        <f>RBBD!J9</f>
        <v>0</v>
      </c>
      <c r="P24" s="1239">
        <f>RBBD!K9</f>
        <v>0</v>
      </c>
      <c r="Q24" s="1239">
        <f>RBBD!L9</f>
        <v>0</v>
      </c>
      <c r="R24" s="1239">
        <f>RBBD!M9</f>
        <v>0</v>
      </c>
      <c r="S24" s="1239">
        <f>RBBD!N9</f>
        <v>0</v>
      </c>
      <c r="T24" s="1239">
        <f>RBBD!O9</f>
        <v>0</v>
      </c>
      <c r="U24" s="1239">
        <f>RBBD!P9</f>
        <v>0</v>
      </c>
      <c r="V24" s="1239">
        <f>RBBD!Q9</f>
        <v>0</v>
      </c>
      <c r="W24" s="1239">
        <f>RBBD!R9</f>
        <v>0</v>
      </c>
      <c r="X24" s="1239">
        <f>RBBD!S9</f>
        <v>0</v>
      </c>
      <c r="Y24" s="1239">
        <f>RBBD!T9</f>
        <v>0</v>
      </c>
      <c r="Z24" s="65"/>
      <c r="AA24" s="324">
        <f t="shared" ref="AA24:AA38" si="4">IF(B24=0,0,1)</f>
        <v>0</v>
      </c>
    </row>
    <row r="25" spans="2:27" hidden="1">
      <c r="B25" s="1239">
        <f>RBBD!B10</f>
        <v>0</v>
      </c>
      <c r="C25" s="1239">
        <f>RBBD!C10</f>
        <v>0</v>
      </c>
      <c r="D25" s="1239">
        <f>RBBD!D10</f>
        <v>0</v>
      </c>
      <c r="E25" s="1239">
        <f>RBBD!E10</f>
        <v>0</v>
      </c>
      <c r="F25" s="1239">
        <f>RBBD!F10</f>
        <v>0</v>
      </c>
      <c r="G25" s="1239">
        <f>RBBD!G10</f>
        <v>0</v>
      </c>
      <c r="H25" s="1239">
        <f>RBBD!H10</f>
        <v>0</v>
      </c>
      <c r="I25" s="1239">
        <f t="shared" si="2"/>
        <v>0</v>
      </c>
      <c r="J25" s="1239">
        <f t="shared" si="2"/>
        <v>0</v>
      </c>
      <c r="K25" s="1239">
        <f t="shared" si="2"/>
        <v>0</v>
      </c>
      <c r="L25" s="1239">
        <f t="shared" si="2"/>
        <v>0</v>
      </c>
      <c r="M25" s="1239">
        <f t="shared" si="3"/>
        <v>0</v>
      </c>
      <c r="N25" s="1239">
        <f>RBBD!I10</f>
        <v>0</v>
      </c>
      <c r="O25" s="1239">
        <f>RBBD!J10</f>
        <v>0</v>
      </c>
      <c r="P25" s="1239">
        <f>RBBD!K10</f>
        <v>0</v>
      </c>
      <c r="Q25" s="1239">
        <f>RBBD!L10</f>
        <v>0</v>
      </c>
      <c r="R25" s="1239">
        <f>RBBD!M10</f>
        <v>0</v>
      </c>
      <c r="S25" s="1239">
        <f>RBBD!N10</f>
        <v>0</v>
      </c>
      <c r="T25" s="1239">
        <f>RBBD!O10</f>
        <v>0</v>
      </c>
      <c r="U25" s="1239">
        <f>RBBD!P10</f>
        <v>0</v>
      </c>
      <c r="V25" s="1239">
        <f>RBBD!Q10</f>
        <v>0</v>
      </c>
      <c r="W25" s="1239">
        <f>RBBD!R10</f>
        <v>0</v>
      </c>
      <c r="X25" s="1239">
        <f>RBBD!S10</f>
        <v>0</v>
      </c>
      <c r="Y25" s="1239">
        <f>RBBD!T10</f>
        <v>0</v>
      </c>
      <c r="Z25" s="65"/>
      <c r="AA25" s="324">
        <f t="shared" si="4"/>
        <v>0</v>
      </c>
    </row>
    <row r="26" spans="2:27" hidden="1">
      <c r="B26" s="1239">
        <f>RBBD!B11</f>
        <v>0</v>
      </c>
      <c r="C26" s="1239">
        <f>RBBD!C11</f>
        <v>0</v>
      </c>
      <c r="D26" s="1239">
        <f>RBBD!D11</f>
        <v>0</v>
      </c>
      <c r="E26" s="1239">
        <f>RBBD!E11</f>
        <v>0</v>
      </c>
      <c r="F26" s="1239">
        <f>RBBD!F11</f>
        <v>0</v>
      </c>
      <c r="G26" s="1239">
        <f>RBBD!G11</f>
        <v>0</v>
      </c>
      <c r="H26" s="1239">
        <f>RBBD!H11</f>
        <v>0</v>
      </c>
      <c r="I26" s="1239">
        <f t="shared" si="2"/>
        <v>0</v>
      </c>
      <c r="J26" s="1239">
        <f t="shared" si="2"/>
        <v>0</v>
      </c>
      <c r="K26" s="1239">
        <f t="shared" si="2"/>
        <v>0</v>
      </c>
      <c r="L26" s="1239">
        <f t="shared" si="2"/>
        <v>0</v>
      </c>
      <c r="M26" s="1239">
        <f t="shared" si="3"/>
        <v>0</v>
      </c>
      <c r="N26" s="1239">
        <f>RBBD!I11</f>
        <v>0</v>
      </c>
      <c r="O26" s="1239">
        <f>RBBD!J11</f>
        <v>0</v>
      </c>
      <c r="P26" s="1239">
        <f>RBBD!K11</f>
        <v>0</v>
      </c>
      <c r="Q26" s="1239">
        <f>RBBD!L11</f>
        <v>0</v>
      </c>
      <c r="R26" s="1239">
        <f>RBBD!M11</f>
        <v>0</v>
      </c>
      <c r="S26" s="1239">
        <f>RBBD!N11</f>
        <v>0</v>
      </c>
      <c r="T26" s="1239">
        <f>RBBD!O11</f>
        <v>0</v>
      </c>
      <c r="U26" s="1239">
        <f>RBBD!P11</f>
        <v>0</v>
      </c>
      <c r="V26" s="1239">
        <f>RBBD!Q11</f>
        <v>0</v>
      </c>
      <c r="W26" s="1239">
        <f>RBBD!R11</f>
        <v>0</v>
      </c>
      <c r="X26" s="1239">
        <f>RBBD!S11</f>
        <v>0</v>
      </c>
      <c r="Y26" s="1239">
        <f>RBBD!T11</f>
        <v>0</v>
      </c>
      <c r="Z26" s="65"/>
      <c r="AA26" s="324">
        <f t="shared" si="4"/>
        <v>0</v>
      </c>
    </row>
    <row r="27" spans="2:27" hidden="1">
      <c r="B27" s="1239">
        <f>RBBD!B12</f>
        <v>0</v>
      </c>
      <c r="C27" s="1239">
        <f>RBBD!C12</f>
        <v>0</v>
      </c>
      <c r="D27" s="1239">
        <f>RBBD!D12</f>
        <v>0</v>
      </c>
      <c r="E27" s="1239">
        <f>RBBD!E12</f>
        <v>0</v>
      </c>
      <c r="F27" s="1239">
        <f>RBBD!F12</f>
        <v>0</v>
      </c>
      <c r="G27" s="1239">
        <f>RBBD!G12</f>
        <v>0</v>
      </c>
      <c r="H27" s="1239">
        <f>RBBD!H12</f>
        <v>0</v>
      </c>
      <c r="I27" s="1239">
        <f t="shared" si="2"/>
        <v>0</v>
      </c>
      <c r="J27" s="1239">
        <f t="shared" si="2"/>
        <v>0</v>
      </c>
      <c r="K27" s="1239">
        <f t="shared" si="2"/>
        <v>0</v>
      </c>
      <c r="L27" s="1239">
        <f t="shared" si="2"/>
        <v>0</v>
      </c>
      <c r="M27" s="1239">
        <f t="shared" si="3"/>
        <v>0</v>
      </c>
      <c r="N27" s="1239">
        <f>RBBD!I12</f>
        <v>0</v>
      </c>
      <c r="O27" s="1239">
        <f>RBBD!J12</f>
        <v>0</v>
      </c>
      <c r="P27" s="1239">
        <f>RBBD!K12</f>
        <v>0</v>
      </c>
      <c r="Q27" s="1239">
        <f>RBBD!L12</f>
        <v>0</v>
      </c>
      <c r="R27" s="1239">
        <f>RBBD!M12</f>
        <v>0</v>
      </c>
      <c r="S27" s="1239">
        <f>RBBD!N12</f>
        <v>0</v>
      </c>
      <c r="T27" s="1239">
        <f>RBBD!O12</f>
        <v>0</v>
      </c>
      <c r="U27" s="1239">
        <f>RBBD!P12</f>
        <v>0</v>
      </c>
      <c r="V27" s="1239">
        <f>RBBD!Q12</f>
        <v>0</v>
      </c>
      <c r="W27" s="1239">
        <f>RBBD!R12</f>
        <v>0</v>
      </c>
      <c r="X27" s="1239">
        <f>RBBD!S12</f>
        <v>0</v>
      </c>
      <c r="Y27" s="1239">
        <f>RBBD!T12</f>
        <v>0</v>
      </c>
      <c r="Z27" s="65"/>
      <c r="AA27" s="324">
        <f t="shared" si="4"/>
        <v>0</v>
      </c>
    </row>
    <row r="28" spans="2:27" hidden="1">
      <c r="B28" s="1239">
        <f>RBBD!B13</f>
        <v>0</v>
      </c>
      <c r="C28" s="1239">
        <f>RBBD!C13</f>
        <v>0</v>
      </c>
      <c r="D28" s="1239">
        <f>RBBD!D13</f>
        <v>0</v>
      </c>
      <c r="E28" s="1239">
        <f>RBBD!G13</f>
        <v>0</v>
      </c>
      <c r="F28" s="1239">
        <f>RBBD!H13</f>
        <v>0</v>
      </c>
      <c r="G28" s="1239">
        <f>RBBD!E13</f>
        <v>0</v>
      </c>
      <c r="H28" s="1239">
        <f>RBBD!F13</f>
        <v>0</v>
      </c>
      <c r="I28" s="1239">
        <f t="shared" si="2"/>
        <v>0</v>
      </c>
      <c r="J28" s="1239">
        <f t="shared" si="2"/>
        <v>0</v>
      </c>
      <c r="K28" s="1239">
        <f t="shared" si="2"/>
        <v>0</v>
      </c>
      <c r="L28" s="1239">
        <f t="shared" si="2"/>
        <v>0</v>
      </c>
      <c r="M28" s="1239">
        <f t="shared" si="3"/>
        <v>0</v>
      </c>
      <c r="N28" s="1239">
        <f>RBBD!I13</f>
        <v>0</v>
      </c>
      <c r="O28" s="1239">
        <f>RBBD!J13</f>
        <v>0</v>
      </c>
      <c r="P28" s="1239">
        <f>RBBD!K13</f>
        <v>0</v>
      </c>
      <c r="Q28" s="1239">
        <f>RBBD!L13</f>
        <v>0</v>
      </c>
      <c r="R28" s="1239">
        <f>RBBD!M13</f>
        <v>0</v>
      </c>
      <c r="S28" s="1239">
        <f>RBBD!N13</f>
        <v>0</v>
      </c>
      <c r="T28" s="1239">
        <f>RBBD!O13</f>
        <v>0</v>
      </c>
      <c r="U28" s="1239">
        <f>RBBD!P13</f>
        <v>0</v>
      </c>
      <c r="V28" s="1239">
        <f>RBBD!Q13</f>
        <v>0</v>
      </c>
      <c r="W28" s="1239">
        <f>RBBD!R13</f>
        <v>0</v>
      </c>
      <c r="X28" s="1239">
        <f>RBBD!S13</f>
        <v>0</v>
      </c>
      <c r="Y28" s="1239">
        <f>RBBD!T13</f>
        <v>0</v>
      </c>
      <c r="Z28" s="65"/>
      <c r="AA28" s="324">
        <f t="shared" si="4"/>
        <v>0</v>
      </c>
    </row>
    <row r="29" spans="2:27" hidden="1">
      <c r="B29" s="1239">
        <f>RBBD!B14</f>
        <v>0</v>
      </c>
      <c r="C29" s="1239">
        <f>RBBD!C14</f>
        <v>0</v>
      </c>
      <c r="D29" s="1239">
        <f>RBBD!D14</f>
        <v>0</v>
      </c>
      <c r="E29" s="1239">
        <f>RBBD!G14</f>
        <v>0</v>
      </c>
      <c r="F29" s="1239">
        <f>RBBD!H14</f>
        <v>0</v>
      </c>
      <c r="G29" s="1239">
        <f>RBBD!E14</f>
        <v>0</v>
      </c>
      <c r="H29" s="1239">
        <f>RBBD!F14</f>
        <v>0</v>
      </c>
      <c r="I29" s="1239">
        <f t="shared" si="2"/>
        <v>0</v>
      </c>
      <c r="J29" s="1239">
        <f t="shared" si="2"/>
        <v>0</v>
      </c>
      <c r="K29" s="1239">
        <f t="shared" si="2"/>
        <v>0</v>
      </c>
      <c r="L29" s="1239">
        <f t="shared" si="2"/>
        <v>0</v>
      </c>
      <c r="M29" s="1239">
        <f t="shared" si="3"/>
        <v>0</v>
      </c>
      <c r="N29" s="1239">
        <f>RBBD!I14</f>
        <v>0</v>
      </c>
      <c r="O29" s="1239">
        <f>RBBD!J14</f>
        <v>0</v>
      </c>
      <c r="P29" s="1239">
        <f>RBBD!K14</f>
        <v>0</v>
      </c>
      <c r="Q29" s="1239">
        <f>RBBD!L14</f>
        <v>0</v>
      </c>
      <c r="R29" s="1239">
        <f>RBBD!M14</f>
        <v>0</v>
      </c>
      <c r="S29" s="1239">
        <f>RBBD!N14</f>
        <v>0</v>
      </c>
      <c r="T29" s="1239">
        <f>RBBD!O14</f>
        <v>0</v>
      </c>
      <c r="U29" s="1239">
        <f>RBBD!P14</f>
        <v>0</v>
      </c>
      <c r="V29" s="1239">
        <f>RBBD!Q14</f>
        <v>0</v>
      </c>
      <c r="W29" s="1239">
        <f>RBBD!R14</f>
        <v>0</v>
      </c>
      <c r="X29" s="1239">
        <f>RBBD!S14</f>
        <v>0</v>
      </c>
      <c r="Y29" s="1239">
        <f>RBBD!T14</f>
        <v>0</v>
      </c>
      <c r="Z29" s="65"/>
      <c r="AA29" s="324">
        <f t="shared" si="4"/>
        <v>0</v>
      </c>
    </row>
    <row r="30" spans="2:27" hidden="1">
      <c r="B30" s="1239">
        <f>RBBD!B15</f>
        <v>0</v>
      </c>
      <c r="C30" s="1239">
        <f>RBBD!C15</f>
        <v>0</v>
      </c>
      <c r="D30" s="1239">
        <f>RBBD!D15</f>
        <v>0</v>
      </c>
      <c r="E30" s="1239">
        <f>RBBD!G15</f>
        <v>0</v>
      </c>
      <c r="F30" s="1239">
        <f>RBBD!H15</f>
        <v>0</v>
      </c>
      <c r="G30" s="1239">
        <f>RBBD!E15</f>
        <v>0</v>
      </c>
      <c r="H30" s="1239">
        <f>RBBD!F15</f>
        <v>0</v>
      </c>
      <c r="I30" s="1239">
        <f t="shared" si="2"/>
        <v>0</v>
      </c>
      <c r="J30" s="1239">
        <f t="shared" si="2"/>
        <v>0</v>
      </c>
      <c r="K30" s="1239">
        <f t="shared" si="2"/>
        <v>0</v>
      </c>
      <c r="L30" s="1239">
        <f t="shared" si="2"/>
        <v>0</v>
      </c>
      <c r="M30" s="1239">
        <f t="shared" si="3"/>
        <v>0</v>
      </c>
      <c r="N30" s="1239">
        <f>RBBD!I15</f>
        <v>0</v>
      </c>
      <c r="O30" s="1239">
        <f>RBBD!J15</f>
        <v>0</v>
      </c>
      <c r="P30" s="1239">
        <f>RBBD!K15</f>
        <v>0</v>
      </c>
      <c r="Q30" s="1239">
        <f>RBBD!L15</f>
        <v>0</v>
      </c>
      <c r="R30" s="1239">
        <f>RBBD!M15</f>
        <v>0</v>
      </c>
      <c r="S30" s="1239">
        <f>RBBD!N15</f>
        <v>0</v>
      </c>
      <c r="T30" s="1239">
        <f>RBBD!O15</f>
        <v>0</v>
      </c>
      <c r="U30" s="1239">
        <f>RBBD!P15</f>
        <v>0</v>
      </c>
      <c r="V30" s="1239">
        <f>RBBD!Q15</f>
        <v>0</v>
      </c>
      <c r="W30" s="1239">
        <f>RBBD!R15</f>
        <v>0</v>
      </c>
      <c r="X30" s="1239">
        <f>RBBD!S15</f>
        <v>0</v>
      </c>
      <c r="Y30" s="1239">
        <f>RBBD!T15</f>
        <v>0</v>
      </c>
      <c r="Z30" s="65"/>
      <c r="AA30" s="324">
        <f t="shared" si="4"/>
        <v>0</v>
      </c>
    </row>
    <row r="31" spans="2:27" hidden="1">
      <c r="B31" s="1239">
        <f>RBBD!B16</f>
        <v>0</v>
      </c>
      <c r="C31" s="1239">
        <f>RBBD!C16</f>
        <v>0</v>
      </c>
      <c r="D31" s="1239">
        <f>RBBD!D16</f>
        <v>0</v>
      </c>
      <c r="E31" s="1239">
        <f>RBBD!G16</f>
        <v>0</v>
      </c>
      <c r="F31" s="1239">
        <f>RBBD!H16</f>
        <v>0</v>
      </c>
      <c r="G31" s="1239">
        <f>RBBD!E16</f>
        <v>0</v>
      </c>
      <c r="H31" s="1239">
        <f>RBBD!F16</f>
        <v>0</v>
      </c>
      <c r="I31" s="1239">
        <f t="shared" si="2"/>
        <v>0</v>
      </c>
      <c r="J31" s="1239">
        <f t="shared" si="2"/>
        <v>0</v>
      </c>
      <c r="K31" s="1239">
        <f t="shared" si="2"/>
        <v>0</v>
      </c>
      <c r="L31" s="1239">
        <f t="shared" si="2"/>
        <v>0</v>
      </c>
      <c r="M31" s="1239">
        <f t="shared" si="3"/>
        <v>0</v>
      </c>
      <c r="N31" s="1239">
        <f>RBBD!I16</f>
        <v>0</v>
      </c>
      <c r="O31" s="1239">
        <f>RBBD!J16</f>
        <v>0</v>
      </c>
      <c r="P31" s="1239">
        <f>RBBD!K16</f>
        <v>0</v>
      </c>
      <c r="Q31" s="1239">
        <f>RBBD!L16</f>
        <v>0</v>
      </c>
      <c r="R31" s="1239">
        <f>RBBD!M16</f>
        <v>0</v>
      </c>
      <c r="S31" s="1239">
        <f>RBBD!N16</f>
        <v>0</v>
      </c>
      <c r="T31" s="1239">
        <f>RBBD!O16</f>
        <v>0</v>
      </c>
      <c r="U31" s="1239">
        <f>RBBD!P16</f>
        <v>0</v>
      </c>
      <c r="V31" s="1239">
        <f>RBBD!Q16</f>
        <v>0</v>
      </c>
      <c r="W31" s="1239">
        <f>RBBD!R16</f>
        <v>0</v>
      </c>
      <c r="X31" s="1239">
        <f>RBBD!S16</f>
        <v>0</v>
      </c>
      <c r="Y31" s="1239">
        <f>RBBD!T16</f>
        <v>0</v>
      </c>
      <c r="Z31" s="65"/>
      <c r="AA31" s="324">
        <f t="shared" si="4"/>
        <v>0</v>
      </c>
    </row>
    <row r="32" spans="2:27" hidden="1">
      <c r="B32" s="1239">
        <f>RBBD!B17</f>
        <v>0</v>
      </c>
      <c r="C32" s="1239">
        <f>RBBD!C17</f>
        <v>0</v>
      </c>
      <c r="D32" s="1239">
        <f>RBBD!D17</f>
        <v>0</v>
      </c>
      <c r="E32" s="1239">
        <f>RBBD!G17</f>
        <v>0</v>
      </c>
      <c r="F32" s="1239">
        <f>RBBD!H17</f>
        <v>0</v>
      </c>
      <c r="G32" s="1239">
        <f>RBBD!E17</f>
        <v>0</v>
      </c>
      <c r="H32" s="1239">
        <f>RBBD!F17</f>
        <v>0</v>
      </c>
      <c r="I32" s="1239">
        <f t="shared" si="2"/>
        <v>0</v>
      </c>
      <c r="J32" s="1239">
        <f t="shared" si="2"/>
        <v>0</v>
      </c>
      <c r="K32" s="1239">
        <f t="shared" si="2"/>
        <v>0</v>
      </c>
      <c r="L32" s="1239">
        <f t="shared" si="2"/>
        <v>0</v>
      </c>
      <c r="M32" s="1239">
        <f t="shared" si="3"/>
        <v>0</v>
      </c>
      <c r="N32" s="1239">
        <f>RBBD!I17</f>
        <v>0</v>
      </c>
      <c r="O32" s="1239">
        <f>RBBD!J17</f>
        <v>0</v>
      </c>
      <c r="P32" s="1239">
        <f>RBBD!K17</f>
        <v>0</v>
      </c>
      <c r="Q32" s="1239">
        <f>RBBD!L17</f>
        <v>0</v>
      </c>
      <c r="R32" s="1239">
        <f>RBBD!M17</f>
        <v>0</v>
      </c>
      <c r="S32" s="1239">
        <f>RBBD!N17</f>
        <v>0</v>
      </c>
      <c r="T32" s="1239">
        <f>RBBD!O17</f>
        <v>0</v>
      </c>
      <c r="U32" s="1239">
        <f>RBBD!P17</f>
        <v>0</v>
      </c>
      <c r="V32" s="1239">
        <f>RBBD!Q17</f>
        <v>0</v>
      </c>
      <c r="W32" s="1239">
        <f>RBBD!R17</f>
        <v>0</v>
      </c>
      <c r="X32" s="1239">
        <f>RBBD!S17</f>
        <v>0</v>
      </c>
      <c r="Y32" s="1239">
        <f>RBBD!T17</f>
        <v>0</v>
      </c>
      <c r="Z32" s="65"/>
      <c r="AA32" s="324">
        <f t="shared" si="4"/>
        <v>0</v>
      </c>
    </row>
    <row r="33" spans="2:27" hidden="1">
      <c r="B33" s="1239">
        <f>RBBD!B18</f>
        <v>0</v>
      </c>
      <c r="C33" s="1239">
        <f>RBBD!C18</f>
        <v>0</v>
      </c>
      <c r="D33" s="1239">
        <f>RBBD!D18</f>
        <v>0</v>
      </c>
      <c r="E33" s="1239">
        <f>RBBD!G18</f>
        <v>0</v>
      </c>
      <c r="F33" s="1239">
        <f>RBBD!H18</f>
        <v>0</v>
      </c>
      <c r="G33" s="1239">
        <f>RBBD!E18</f>
        <v>0</v>
      </c>
      <c r="H33" s="1239">
        <f>RBBD!F18</f>
        <v>0</v>
      </c>
      <c r="I33" s="1239">
        <f t="shared" si="2"/>
        <v>0</v>
      </c>
      <c r="J33" s="1239">
        <f t="shared" si="2"/>
        <v>0</v>
      </c>
      <c r="K33" s="1239">
        <f t="shared" si="2"/>
        <v>0</v>
      </c>
      <c r="L33" s="1239">
        <f t="shared" si="2"/>
        <v>0</v>
      </c>
      <c r="M33" s="1239">
        <f t="shared" si="3"/>
        <v>0</v>
      </c>
      <c r="N33" s="1239">
        <f>RBBD!I18</f>
        <v>0</v>
      </c>
      <c r="O33" s="1239">
        <f>RBBD!J18</f>
        <v>0</v>
      </c>
      <c r="P33" s="1239">
        <f>RBBD!K18</f>
        <v>0</v>
      </c>
      <c r="Q33" s="1239">
        <f>RBBD!L18</f>
        <v>0</v>
      </c>
      <c r="R33" s="1239">
        <f>RBBD!M18</f>
        <v>0</v>
      </c>
      <c r="S33" s="1239">
        <f>RBBD!N18</f>
        <v>0</v>
      </c>
      <c r="T33" s="1239">
        <f>RBBD!O18</f>
        <v>0</v>
      </c>
      <c r="U33" s="1239">
        <f>RBBD!P18</f>
        <v>0</v>
      </c>
      <c r="V33" s="1239">
        <f>RBBD!Q18</f>
        <v>0</v>
      </c>
      <c r="W33" s="1239">
        <f>RBBD!R18</f>
        <v>0</v>
      </c>
      <c r="X33" s="1239">
        <f>RBBD!S18</f>
        <v>0</v>
      </c>
      <c r="Y33" s="1239">
        <f>RBBD!T18</f>
        <v>0</v>
      </c>
      <c r="Z33" s="65"/>
      <c r="AA33" s="324">
        <f t="shared" si="4"/>
        <v>0</v>
      </c>
    </row>
    <row r="34" spans="2:27" hidden="1">
      <c r="B34" s="1239">
        <f>RBBD!B19</f>
        <v>0</v>
      </c>
      <c r="C34" s="1239">
        <f>RBBD!C19</f>
        <v>0</v>
      </c>
      <c r="D34" s="1239">
        <f>RBBD!D19</f>
        <v>0</v>
      </c>
      <c r="E34" s="1239">
        <f>RBBD!G19</f>
        <v>0</v>
      </c>
      <c r="F34" s="1239">
        <f>RBBD!H19</f>
        <v>0</v>
      </c>
      <c r="G34" s="1239">
        <f>RBBD!E19</f>
        <v>0</v>
      </c>
      <c r="H34" s="1239">
        <f>RBBD!F19</f>
        <v>0</v>
      </c>
      <c r="I34" s="1239">
        <f t="shared" si="2"/>
        <v>0</v>
      </c>
      <c r="J34" s="1239">
        <f t="shared" si="2"/>
        <v>0</v>
      </c>
      <c r="K34" s="1239">
        <f t="shared" si="2"/>
        <v>0</v>
      </c>
      <c r="L34" s="1239">
        <f t="shared" si="2"/>
        <v>0</v>
      </c>
      <c r="M34" s="1239">
        <f t="shared" si="3"/>
        <v>0</v>
      </c>
      <c r="N34" s="1239">
        <f>RBBD!I19</f>
        <v>0</v>
      </c>
      <c r="O34" s="1239">
        <f>RBBD!J19</f>
        <v>0</v>
      </c>
      <c r="P34" s="1239">
        <f>RBBD!K19</f>
        <v>0</v>
      </c>
      <c r="Q34" s="1239">
        <f>RBBD!L19</f>
        <v>0</v>
      </c>
      <c r="R34" s="1239">
        <f>RBBD!M19</f>
        <v>0</v>
      </c>
      <c r="S34" s="1239">
        <f>RBBD!N19</f>
        <v>0</v>
      </c>
      <c r="T34" s="1239">
        <f>RBBD!O19</f>
        <v>0</v>
      </c>
      <c r="U34" s="1239">
        <f>RBBD!P19</f>
        <v>0</v>
      </c>
      <c r="V34" s="1239">
        <f>RBBD!Q19</f>
        <v>0</v>
      </c>
      <c r="W34" s="1239">
        <f>RBBD!R19</f>
        <v>0</v>
      </c>
      <c r="X34" s="1239">
        <f>RBBD!S19</f>
        <v>0</v>
      </c>
      <c r="Y34" s="1239">
        <f>RBBD!T19</f>
        <v>0</v>
      </c>
      <c r="Z34" s="65"/>
      <c r="AA34" s="324">
        <f t="shared" si="4"/>
        <v>0</v>
      </c>
    </row>
    <row r="35" spans="2:27" hidden="1">
      <c r="B35" s="1239">
        <f>RBBD!B20</f>
        <v>0</v>
      </c>
      <c r="C35" s="1239">
        <f>RBBD!C20</f>
        <v>0</v>
      </c>
      <c r="D35" s="1239">
        <f>RBBD!D20</f>
        <v>0</v>
      </c>
      <c r="E35" s="1239">
        <f>RBBD!G20</f>
        <v>0</v>
      </c>
      <c r="F35" s="1239">
        <f>RBBD!H20</f>
        <v>0</v>
      </c>
      <c r="G35" s="1239">
        <f>RBBD!E20</f>
        <v>0</v>
      </c>
      <c r="H35" s="1239">
        <f>RBBD!F20</f>
        <v>0</v>
      </c>
      <c r="I35" s="1239">
        <f t="shared" si="2"/>
        <v>0</v>
      </c>
      <c r="J35" s="1239">
        <f t="shared" si="2"/>
        <v>0</v>
      </c>
      <c r="K35" s="1239">
        <f t="shared" si="2"/>
        <v>0</v>
      </c>
      <c r="L35" s="1239">
        <f t="shared" si="2"/>
        <v>0</v>
      </c>
      <c r="M35" s="1239">
        <f t="shared" si="3"/>
        <v>0</v>
      </c>
      <c r="N35" s="1239">
        <f>RBBD!I20</f>
        <v>0</v>
      </c>
      <c r="O35" s="1239">
        <f>RBBD!J20</f>
        <v>0</v>
      </c>
      <c r="P35" s="1239">
        <f>RBBD!K20</f>
        <v>0</v>
      </c>
      <c r="Q35" s="1239">
        <f>RBBD!L20</f>
        <v>0</v>
      </c>
      <c r="R35" s="1239">
        <f>RBBD!M20</f>
        <v>0</v>
      </c>
      <c r="S35" s="1239">
        <f>RBBD!N20</f>
        <v>0</v>
      </c>
      <c r="T35" s="1239">
        <f>RBBD!O20</f>
        <v>0</v>
      </c>
      <c r="U35" s="1239">
        <f>RBBD!P20</f>
        <v>0</v>
      </c>
      <c r="V35" s="1239">
        <f>RBBD!Q20</f>
        <v>0</v>
      </c>
      <c r="W35" s="1239">
        <f>RBBD!R20</f>
        <v>0</v>
      </c>
      <c r="X35" s="1239">
        <f>RBBD!S20</f>
        <v>0</v>
      </c>
      <c r="Y35" s="1239">
        <f>RBBD!T20</f>
        <v>0</v>
      </c>
      <c r="Z35" s="65"/>
      <c r="AA35" s="324">
        <f t="shared" si="4"/>
        <v>0</v>
      </c>
    </row>
    <row r="36" spans="2:27" hidden="1">
      <c r="B36" s="1239">
        <f>RBBD!B21</f>
        <v>0</v>
      </c>
      <c r="C36" s="1239">
        <f>RBBD!C21</f>
        <v>0</v>
      </c>
      <c r="D36" s="1239">
        <f>RBBD!D21</f>
        <v>0</v>
      </c>
      <c r="E36" s="1239">
        <f>RBBD!G21</f>
        <v>0</v>
      </c>
      <c r="F36" s="1239">
        <f>RBBD!H21</f>
        <v>0</v>
      </c>
      <c r="G36" s="1239">
        <f>RBBD!E21</f>
        <v>0</v>
      </c>
      <c r="H36" s="1239">
        <f>RBBD!F21</f>
        <v>0</v>
      </c>
      <c r="I36" s="1239">
        <f t="shared" si="2"/>
        <v>0</v>
      </c>
      <c r="J36" s="1239">
        <f t="shared" si="2"/>
        <v>0</v>
      </c>
      <c r="K36" s="1239">
        <f t="shared" si="2"/>
        <v>0</v>
      </c>
      <c r="L36" s="1239">
        <f t="shared" si="2"/>
        <v>0</v>
      </c>
      <c r="M36" s="1239">
        <f t="shared" si="3"/>
        <v>0</v>
      </c>
      <c r="N36" s="1239">
        <f>RBBD!I21</f>
        <v>0</v>
      </c>
      <c r="O36" s="1239">
        <f>RBBD!J21</f>
        <v>0</v>
      </c>
      <c r="P36" s="1239">
        <f>RBBD!K21</f>
        <v>0</v>
      </c>
      <c r="Q36" s="1239">
        <f>RBBD!L21</f>
        <v>0</v>
      </c>
      <c r="R36" s="1239">
        <f>RBBD!M21</f>
        <v>0</v>
      </c>
      <c r="S36" s="1239">
        <f>RBBD!N21</f>
        <v>0</v>
      </c>
      <c r="T36" s="1239">
        <f>RBBD!O21</f>
        <v>0</v>
      </c>
      <c r="U36" s="1239">
        <f>RBBD!P21</f>
        <v>0</v>
      </c>
      <c r="V36" s="1239">
        <f>RBBD!Q21</f>
        <v>0</v>
      </c>
      <c r="W36" s="1239">
        <f>RBBD!R21</f>
        <v>0</v>
      </c>
      <c r="X36" s="1239">
        <f>RBBD!S21</f>
        <v>0</v>
      </c>
      <c r="Y36" s="1239">
        <f>RBBD!T21</f>
        <v>0</v>
      </c>
      <c r="Z36" s="65"/>
      <c r="AA36" s="324">
        <f t="shared" si="4"/>
        <v>0</v>
      </c>
    </row>
    <row r="37" spans="2:27" hidden="1">
      <c r="B37" s="1239">
        <f>RBBD!B22</f>
        <v>0</v>
      </c>
      <c r="C37" s="1239">
        <f>RBBD!C22</f>
        <v>0</v>
      </c>
      <c r="D37" s="1239">
        <f>RBBD!D22</f>
        <v>0</v>
      </c>
      <c r="E37" s="1239">
        <f>RBBD!G22</f>
        <v>0</v>
      </c>
      <c r="F37" s="1239">
        <f>RBBD!H22</f>
        <v>0</v>
      </c>
      <c r="G37" s="1239">
        <f>RBBD!E22</f>
        <v>0</v>
      </c>
      <c r="H37" s="1239">
        <f>RBBD!F22</f>
        <v>0</v>
      </c>
      <c r="I37" s="1239">
        <f t="shared" si="2"/>
        <v>0</v>
      </c>
      <c r="J37" s="1239">
        <f t="shared" si="2"/>
        <v>0</v>
      </c>
      <c r="K37" s="1239">
        <f t="shared" si="2"/>
        <v>0</v>
      </c>
      <c r="L37" s="1239">
        <f t="shared" si="2"/>
        <v>0</v>
      </c>
      <c r="M37" s="1239">
        <f t="shared" si="3"/>
        <v>0</v>
      </c>
      <c r="N37" s="1239">
        <f>RBBD!I22</f>
        <v>0</v>
      </c>
      <c r="O37" s="1239">
        <f>RBBD!J22</f>
        <v>0</v>
      </c>
      <c r="P37" s="1239">
        <f>RBBD!K22</f>
        <v>0</v>
      </c>
      <c r="Q37" s="1239">
        <f>RBBD!L22</f>
        <v>0</v>
      </c>
      <c r="R37" s="1239">
        <f>RBBD!M22</f>
        <v>0</v>
      </c>
      <c r="S37" s="1239">
        <f>RBBD!N22</f>
        <v>0</v>
      </c>
      <c r="T37" s="1239">
        <f>RBBD!O22</f>
        <v>0</v>
      </c>
      <c r="U37" s="1239">
        <f>RBBD!P22</f>
        <v>0</v>
      </c>
      <c r="V37" s="1239">
        <f>RBBD!Q22</f>
        <v>0</v>
      </c>
      <c r="W37" s="1239">
        <f>RBBD!R22</f>
        <v>0</v>
      </c>
      <c r="X37" s="1239">
        <f>RBBD!S22</f>
        <v>0</v>
      </c>
      <c r="Y37" s="1239">
        <f>RBBD!T22</f>
        <v>0</v>
      </c>
      <c r="Z37" s="65"/>
      <c r="AA37" s="324">
        <f t="shared" si="4"/>
        <v>0</v>
      </c>
    </row>
    <row r="38" spans="2:27" hidden="1">
      <c r="B38" s="1239">
        <f>RBBD!B23</f>
        <v>0</v>
      </c>
      <c r="C38" s="1239">
        <f>RBBD!C23</f>
        <v>0</v>
      </c>
      <c r="D38" s="1239">
        <f>RBBD!D23</f>
        <v>0</v>
      </c>
      <c r="E38" s="1239">
        <f>RBBD!G23</f>
        <v>0</v>
      </c>
      <c r="F38" s="1239">
        <f>RBBD!H23</f>
        <v>0</v>
      </c>
      <c r="G38" s="1239">
        <f>RBBD!E23</f>
        <v>0</v>
      </c>
      <c r="H38" s="1239">
        <f>RBBD!F23</f>
        <v>0</v>
      </c>
      <c r="I38" s="1239">
        <f t="shared" si="2"/>
        <v>0</v>
      </c>
      <c r="J38" s="1239">
        <f t="shared" si="2"/>
        <v>0</v>
      </c>
      <c r="K38" s="1239">
        <f t="shared" si="2"/>
        <v>0</v>
      </c>
      <c r="L38" s="1239">
        <f t="shared" si="2"/>
        <v>0</v>
      </c>
      <c r="M38" s="1239">
        <f t="shared" si="3"/>
        <v>0</v>
      </c>
      <c r="N38" s="1239">
        <f>RBBD!I23</f>
        <v>0</v>
      </c>
      <c r="O38" s="1239">
        <f>RBBD!J23</f>
        <v>0</v>
      </c>
      <c r="P38" s="1239">
        <f>RBBD!K23</f>
        <v>0</v>
      </c>
      <c r="Q38" s="1239">
        <f>RBBD!L23</f>
        <v>0</v>
      </c>
      <c r="R38" s="1239">
        <f>RBBD!M23</f>
        <v>0</v>
      </c>
      <c r="S38" s="1239">
        <f>RBBD!N23</f>
        <v>0</v>
      </c>
      <c r="T38" s="1239">
        <f>RBBD!O23</f>
        <v>0</v>
      </c>
      <c r="U38" s="1239">
        <f>RBBD!P23</f>
        <v>0</v>
      </c>
      <c r="V38" s="1239">
        <f>RBBD!Q23</f>
        <v>0</v>
      </c>
      <c r="W38" s="1239">
        <f>RBBD!R23</f>
        <v>0</v>
      </c>
      <c r="X38" s="1239">
        <f>RBBD!S23</f>
        <v>0</v>
      </c>
      <c r="Y38" s="1239">
        <f>RBBD!T23</f>
        <v>0</v>
      </c>
      <c r="Z38" s="65"/>
      <c r="AA38" s="324">
        <f t="shared" si="4"/>
        <v>0</v>
      </c>
    </row>
    <row r="39" spans="2:27" hidden="1">
      <c r="B39" s="1239">
        <f>RBBD!B24</f>
        <v>0</v>
      </c>
      <c r="C39" s="1239">
        <f>RBBD!C24</f>
        <v>0</v>
      </c>
      <c r="D39" s="1239">
        <f>RBBD!D24</f>
        <v>0</v>
      </c>
      <c r="E39" s="1239">
        <f>RBBD!G24</f>
        <v>0</v>
      </c>
      <c r="F39" s="1239">
        <f>RBBD!H24</f>
        <v>0</v>
      </c>
      <c r="G39" s="1239">
        <f>RBBD!E24</f>
        <v>0</v>
      </c>
      <c r="H39" s="1239">
        <f>RBBD!F24</f>
        <v>0</v>
      </c>
      <c r="I39" s="1239">
        <f t="shared" si="2"/>
        <v>0</v>
      </c>
      <c r="J39" s="1239">
        <f t="shared" si="2"/>
        <v>0</v>
      </c>
      <c r="K39" s="1239">
        <f t="shared" si="2"/>
        <v>0</v>
      </c>
      <c r="L39" s="1239">
        <f t="shared" si="2"/>
        <v>0</v>
      </c>
      <c r="M39" s="1239">
        <f t="shared" si="3"/>
        <v>0</v>
      </c>
      <c r="N39" s="1239">
        <f>RBBD!I24</f>
        <v>0</v>
      </c>
      <c r="O39" s="1239">
        <f>RBBD!J24</f>
        <v>0</v>
      </c>
      <c r="P39" s="1239">
        <f>RBBD!K24</f>
        <v>0</v>
      </c>
      <c r="Q39" s="1239">
        <f>RBBD!L24</f>
        <v>0</v>
      </c>
      <c r="R39" s="1239">
        <f>RBBD!M24</f>
        <v>0</v>
      </c>
      <c r="S39" s="1239">
        <f>RBBD!N24</f>
        <v>0</v>
      </c>
      <c r="T39" s="1239">
        <f>RBBD!O24</f>
        <v>0</v>
      </c>
      <c r="U39" s="1239">
        <f>RBBD!P24</f>
        <v>0</v>
      </c>
      <c r="V39" s="1239">
        <f>RBBD!Q24</f>
        <v>0</v>
      </c>
      <c r="W39" s="1239">
        <f>RBBD!R24</f>
        <v>0</v>
      </c>
      <c r="X39" s="1239">
        <f>RBBD!S24</f>
        <v>0</v>
      </c>
      <c r="Y39" s="1239">
        <f>RBBD!T24</f>
        <v>0</v>
      </c>
      <c r="Z39" s="65"/>
      <c r="AA39" s="324">
        <f t="shared" ref="AA39:AA60" si="5">IF(B39=0,0,1)</f>
        <v>0</v>
      </c>
    </row>
    <row r="40" spans="2:27" hidden="1">
      <c r="B40" s="1239">
        <f>RBBD!B25</f>
        <v>0</v>
      </c>
      <c r="C40" s="1239">
        <f>RBBD!C25</f>
        <v>0</v>
      </c>
      <c r="D40" s="1239">
        <f>RBBD!D25</f>
        <v>0</v>
      </c>
      <c r="E40" s="1239">
        <f>RBBD!G25</f>
        <v>0</v>
      </c>
      <c r="F40" s="1239">
        <f>RBBD!H25</f>
        <v>0</v>
      </c>
      <c r="G40" s="1239">
        <f>RBBD!E25</f>
        <v>0</v>
      </c>
      <c r="H40" s="1239">
        <f>RBBD!F25</f>
        <v>0</v>
      </c>
      <c r="I40" s="1239">
        <f t="shared" si="2"/>
        <v>0</v>
      </c>
      <c r="J40" s="1239">
        <f t="shared" si="2"/>
        <v>0</v>
      </c>
      <c r="K40" s="1239">
        <f t="shared" si="2"/>
        <v>0</v>
      </c>
      <c r="L40" s="1239">
        <f t="shared" si="2"/>
        <v>0</v>
      </c>
      <c r="M40" s="1239">
        <f t="shared" si="3"/>
        <v>0</v>
      </c>
      <c r="N40" s="1239">
        <f>RBBD!I25</f>
        <v>0</v>
      </c>
      <c r="O40" s="1239">
        <f>RBBD!J25</f>
        <v>0</v>
      </c>
      <c r="P40" s="1239">
        <f>RBBD!K25</f>
        <v>0</v>
      </c>
      <c r="Q40" s="1239">
        <f>RBBD!L25</f>
        <v>0</v>
      </c>
      <c r="R40" s="1239">
        <f>RBBD!M25</f>
        <v>0</v>
      </c>
      <c r="S40" s="1239">
        <f>RBBD!N25</f>
        <v>0</v>
      </c>
      <c r="T40" s="1239">
        <f>RBBD!O25</f>
        <v>0</v>
      </c>
      <c r="U40" s="1239">
        <f>RBBD!P25</f>
        <v>0</v>
      </c>
      <c r="V40" s="1239">
        <f>RBBD!Q25</f>
        <v>0</v>
      </c>
      <c r="W40" s="1239">
        <f>RBBD!R25</f>
        <v>0</v>
      </c>
      <c r="X40" s="1239">
        <f>RBBD!S25</f>
        <v>0</v>
      </c>
      <c r="Y40" s="1239">
        <f>RBBD!T25</f>
        <v>0</v>
      </c>
      <c r="Z40" s="65"/>
      <c r="AA40" s="324">
        <f t="shared" si="5"/>
        <v>0</v>
      </c>
    </row>
    <row r="41" spans="2:27" hidden="1">
      <c r="B41" s="1239">
        <f>RBBD!B26</f>
        <v>0</v>
      </c>
      <c r="C41" s="1239">
        <f>RBBD!C26</f>
        <v>0</v>
      </c>
      <c r="D41" s="1239">
        <f>RBBD!D26</f>
        <v>0</v>
      </c>
      <c r="E41" s="1239">
        <f>RBBD!G26</f>
        <v>0</v>
      </c>
      <c r="F41" s="1239">
        <f>RBBD!H26</f>
        <v>0</v>
      </c>
      <c r="G41" s="1239">
        <f>RBBD!E26</f>
        <v>0</v>
      </c>
      <c r="H41" s="1239">
        <f>RBBD!F26</f>
        <v>0</v>
      </c>
      <c r="I41" s="1239">
        <f t="shared" si="2"/>
        <v>0</v>
      </c>
      <c r="J41" s="1239">
        <f t="shared" si="2"/>
        <v>0</v>
      </c>
      <c r="K41" s="1239">
        <f t="shared" si="2"/>
        <v>0</v>
      </c>
      <c r="L41" s="1239">
        <f t="shared" si="2"/>
        <v>0</v>
      </c>
      <c r="M41" s="1239">
        <f t="shared" si="3"/>
        <v>0</v>
      </c>
      <c r="N41" s="1239">
        <f>RBBD!I26</f>
        <v>0</v>
      </c>
      <c r="O41" s="1239">
        <f>RBBD!J26</f>
        <v>0</v>
      </c>
      <c r="P41" s="1239">
        <f>RBBD!K26</f>
        <v>0</v>
      </c>
      <c r="Q41" s="1239">
        <f>RBBD!L26</f>
        <v>0</v>
      </c>
      <c r="R41" s="1239">
        <f>RBBD!M26</f>
        <v>0</v>
      </c>
      <c r="S41" s="1239">
        <f>RBBD!N26</f>
        <v>0</v>
      </c>
      <c r="T41" s="1239">
        <f>RBBD!O26</f>
        <v>0</v>
      </c>
      <c r="U41" s="1239">
        <f>RBBD!P26</f>
        <v>0</v>
      </c>
      <c r="V41" s="1239">
        <f>RBBD!Q26</f>
        <v>0</v>
      </c>
      <c r="W41" s="1239">
        <f>RBBD!R26</f>
        <v>0</v>
      </c>
      <c r="X41" s="1239">
        <f>RBBD!S26</f>
        <v>0</v>
      </c>
      <c r="Y41" s="1239">
        <f>RBBD!T26</f>
        <v>0</v>
      </c>
      <c r="Z41" s="65"/>
      <c r="AA41" s="324">
        <f t="shared" si="5"/>
        <v>0</v>
      </c>
    </row>
    <row r="42" spans="2:27" hidden="1">
      <c r="B42" s="1239">
        <f>RBBD!B27</f>
        <v>0</v>
      </c>
      <c r="C42" s="1239">
        <f>RBBD!C27</f>
        <v>0</v>
      </c>
      <c r="D42" s="1239">
        <f>RBBD!D27</f>
        <v>0</v>
      </c>
      <c r="E42" s="1239">
        <f>RBBD!G27</f>
        <v>0</v>
      </c>
      <c r="F42" s="1239">
        <f>RBBD!H27</f>
        <v>0</v>
      </c>
      <c r="G42" s="1239">
        <f>RBBD!E27</f>
        <v>0</v>
      </c>
      <c r="H42" s="1239">
        <f>RBBD!F27</f>
        <v>0</v>
      </c>
      <c r="I42" s="1239">
        <f t="shared" si="2"/>
        <v>0</v>
      </c>
      <c r="J42" s="1239">
        <f t="shared" si="2"/>
        <v>0</v>
      </c>
      <c r="K42" s="1239">
        <f t="shared" si="2"/>
        <v>0</v>
      </c>
      <c r="L42" s="1239">
        <f t="shared" si="2"/>
        <v>0</v>
      </c>
      <c r="M42" s="1239">
        <f t="shared" si="3"/>
        <v>0</v>
      </c>
      <c r="N42" s="1239">
        <f>RBBD!I27</f>
        <v>0</v>
      </c>
      <c r="O42" s="1239">
        <f>RBBD!J27</f>
        <v>0</v>
      </c>
      <c r="P42" s="1239">
        <f>RBBD!K27</f>
        <v>0</v>
      </c>
      <c r="Q42" s="1239">
        <f>RBBD!L27</f>
        <v>0</v>
      </c>
      <c r="R42" s="1239">
        <f>RBBD!M27</f>
        <v>0</v>
      </c>
      <c r="S42" s="1239">
        <f>RBBD!N27</f>
        <v>0</v>
      </c>
      <c r="T42" s="1239">
        <f>RBBD!O27</f>
        <v>0</v>
      </c>
      <c r="U42" s="1239">
        <f>RBBD!P27</f>
        <v>0</v>
      </c>
      <c r="V42" s="1239">
        <f>RBBD!Q27</f>
        <v>0</v>
      </c>
      <c r="W42" s="1239">
        <f>RBBD!R27</f>
        <v>0</v>
      </c>
      <c r="X42" s="1239">
        <f>RBBD!S27</f>
        <v>0</v>
      </c>
      <c r="Y42" s="1239">
        <f>RBBD!T27</f>
        <v>0</v>
      </c>
      <c r="Z42" s="65"/>
      <c r="AA42" s="324">
        <f t="shared" si="5"/>
        <v>0</v>
      </c>
    </row>
    <row r="43" spans="2:27" hidden="1">
      <c r="B43" s="1239">
        <f>RBBD!B28</f>
        <v>0</v>
      </c>
      <c r="C43" s="1239">
        <f>RBBD!C28</f>
        <v>0</v>
      </c>
      <c r="D43" s="1239">
        <f>RBBD!D28</f>
        <v>0</v>
      </c>
      <c r="E43" s="1239">
        <f>RBBD!G28</f>
        <v>0</v>
      </c>
      <c r="F43" s="1239">
        <f>RBBD!H28</f>
        <v>0</v>
      </c>
      <c r="G43" s="1239">
        <f>RBBD!E28</f>
        <v>0</v>
      </c>
      <c r="H43" s="1239">
        <f>RBBD!F28</f>
        <v>0</v>
      </c>
      <c r="I43" s="1239">
        <f t="shared" si="2"/>
        <v>0</v>
      </c>
      <c r="J43" s="1239">
        <f t="shared" si="2"/>
        <v>0</v>
      </c>
      <c r="K43" s="1239">
        <f t="shared" si="2"/>
        <v>0</v>
      </c>
      <c r="L43" s="1239">
        <f t="shared" si="2"/>
        <v>0</v>
      </c>
      <c r="M43" s="1239">
        <f t="shared" si="3"/>
        <v>0</v>
      </c>
      <c r="N43" s="1239">
        <f>RBBD!I28</f>
        <v>0</v>
      </c>
      <c r="O43" s="1239">
        <f>RBBD!J28</f>
        <v>0</v>
      </c>
      <c r="P43" s="1239">
        <f>RBBD!K28</f>
        <v>0</v>
      </c>
      <c r="Q43" s="1239">
        <f>RBBD!L28</f>
        <v>0</v>
      </c>
      <c r="R43" s="1239">
        <f>RBBD!M28</f>
        <v>0</v>
      </c>
      <c r="S43" s="1239">
        <f>RBBD!N28</f>
        <v>0</v>
      </c>
      <c r="T43" s="1239">
        <f>RBBD!O28</f>
        <v>0</v>
      </c>
      <c r="U43" s="1239">
        <f>RBBD!P28</f>
        <v>0</v>
      </c>
      <c r="V43" s="1239">
        <f>RBBD!Q28</f>
        <v>0</v>
      </c>
      <c r="W43" s="1239">
        <f>RBBD!R28</f>
        <v>0</v>
      </c>
      <c r="X43" s="1239">
        <f>RBBD!S28</f>
        <v>0</v>
      </c>
      <c r="Y43" s="1239">
        <f>RBBD!T28</f>
        <v>0</v>
      </c>
      <c r="Z43" s="65"/>
      <c r="AA43" s="324">
        <f t="shared" si="5"/>
        <v>0</v>
      </c>
    </row>
    <row r="44" spans="2:27" hidden="1">
      <c r="B44" s="1239">
        <f>RBBD!B29</f>
        <v>0</v>
      </c>
      <c r="C44" s="1239">
        <f>RBBD!C29</f>
        <v>0</v>
      </c>
      <c r="D44" s="1239">
        <f>RBBD!D29</f>
        <v>0</v>
      </c>
      <c r="E44" s="1239">
        <f>RBBD!G29</f>
        <v>0</v>
      </c>
      <c r="F44" s="1239">
        <f>RBBD!H29</f>
        <v>0</v>
      </c>
      <c r="G44" s="1239">
        <f>RBBD!E29</f>
        <v>0</v>
      </c>
      <c r="H44" s="1239">
        <f>RBBD!F29</f>
        <v>0</v>
      </c>
      <c r="I44" s="1239">
        <f t="shared" si="2"/>
        <v>0</v>
      </c>
      <c r="J44" s="1239">
        <f t="shared" si="2"/>
        <v>0</v>
      </c>
      <c r="K44" s="1239">
        <f t="shared" si="2"/>
        <v>0</v>
      </c>
      <c r="L44" s="1239">
        <f t="shared" si="2"/>
        <v>0</v>
      </c>
      <c r="M44" s="1239">
        <f t="shared" si="3"/>
        <v>0</v>
      </c>
      <c r="N44" s="1239">
        <f>RBBD!I29</f>
        <v>0</v>
      </c>
      <c r="O44" s="1239">
        <f>RBBD!J29</f>
        <v>0</v>
      </c>
      <c r="P44" s="1239">
        <f>RBBD!K29</f>
        <v>0</v>
      </c>
      <c r="Q44" s="1239">
        <f>RBBD!L29</f>
        <v>0</v>
      </c>
      <c r="R44" s="1239">
        <f>RBBD!M29</f>
        <v>0</v>
      </c>
      <c r="S44" s="1239">
        <f>RBBD!N29</f>
        <v>0</v>
      </c>
      <c r="T44" s="1239">
        <f>RBBD!O29</f>
        <v>0</v>
      </c>
      <c r="U44" s="1239">
        <f>RBBD!P29</f>
        <v>0</v>
      </c>
      <c r="V44" s="1239">
        <f>RBBD!Q29</f>
        <v>0</v>
      </c>
      <c r="W44" s="1239">
        <f>RBBD!R29</f>
        <v>0</v>
      </c>
      <c r="X44" s="1239">
        <f>RBBD!S29</f>
        <v>0</v>
      </c>
      <c r="Y44" s="1239">
        <f>RBBD!T29</f>
        <v>0</v>
      </c>
      <c r="Z44" s="65"/>
      <c r="AA44" s="324">
        <f t="shared" si="5"/>
        <v>0</v>
      </c>
    </row>
    <row r="45" spans="2:27" hidden="1">
      <c r="B45" s="1239">
        <f>RBBD!B30</f>
        <v>0</v>
      </c>
      <c r="C45" s="1239">
        <f>RBBD!C30</f>
        <v>0</v>
      </c>
      <c r="D45" s="1239">
        <f>RBBD!D30</f>
        <v>0</v>
      </c>
      <c r="E45" s="1239">
        <f>RBBD!G30</f>
        <v>0</v>
      </c>
      <c r="F45" s="1239">
        <f>RBBD!H30</f>
        <v>0</v>
      </c>
      <c r="G45" s="1239">
        <f>RBBD!E30</f>
        <v>0</v>
      </c>
      <c r="H45" s="1239">
        <f>RBBD!F30</f>
        <v>0</v>
      </c>
      <c r="I45" s="1239">
        <f t="shared" si="2"/>
        <v>0</v>
      </c>
      <c r="J45" s="1239">
        <f t="shared" si="2"/>
        <v>0</v>
      </c>
      <c r="K45" s="1239">
        <f t="shared" si="2"/>
        <v>0</v>
      </c>
      <c r="L45" s="1239">
        <f t="shared" si="2"/>
        <v>0</v>
      </c>
      <c r="M45" s="1239">
        <f t="shared" si="3"/>
        <v>0</v>
      </c>
      <c r="N45" s="1239">
        <f>RBBD!I30</f>
        <v>0</v>
      </c>
      <c r="O45" s="1239">
        <f>RBBD!J30</f>
        <v>0</v>
      </c>
      <c r="P45" s="1239">
        <f>RBBD!K30</f>
        <v>0</v>
      </c>
      <c r="Q45" s="1239">
        <f>RBBD!L30</f>
        <v>0</v>
      </c>
      <c r="R45" s="1239">
        <f>RBBD!M30</f>
        <v>0</v>
      </c>
      <c r="S45" s="1239">
        <f>RBBD!N30</f>
        <v>0</v>
      </c>
      <c r="T45" s="1239">
        <f>RBBD!O30</f>
        <v>0</v>
      </c>
      <c r="U45" s="1239">
        <f>RBBD!P30</f>
        <v>0</v>
      </c>
      <c r="V45" s="1239">
        <f>RBBD!Q30</f>
        <v>0</v>
      </c>
      <c r="W45" s="1239">
        <f>RBBD!R30</f>
        <v>0</v>
      </c>
      <c r="X45" s="1239">
        <f>RBBD!S30</f>
        <v>0</v>
      </c>
      <c r="Y45" s="1239">
        <f>RBBD!T30</f>
        <v>0</v>
      </c>
      <c r="Z45" s="65"/>
      <c r="AA45" s="324">
        <f t="shared" si="5"/>
        <v>0</v>
      </c>
    </row>
    <row r="46" spans="2:27" hidden="1">
      <c r="B46" s="1239">
        <f>RBBD!B31</f>
        <v>0</v>
      </c>
      <c r="C46" s="1239">
        <f>RBBD!C31</f>
        <v>0</v>
      </c>
      <c r="D46" s="1239">
        <f>RBBD!D31</f>
        <v>0</v>
      </c>
      <c r="E46" s="1239">
        <f>RBBD!G31</f>
        <v>0</v>
      </c>
      <c r="F46" s="1239">
        <f>RBBD!H31</f>
        <v>0</v>
      </c>
      <c r="G46" s="1239">
        <f>RBBD!E31</f>
        <v>0</v>
      </c>
      <c r="H46" s="1239">
        <f>RBBD!F31</f>
        <v>0</v>
      </c>
      <c r="I46" s="1239">
        <f t="shared" si="2"/>
        <v>0</v>
      </c>
      <c r="J46" s="1239">
        <f t="shared" si="2"/>
        <v>0</v>
      </c>
      <c r="K46" s="1239">
        <f t="shared" si="2"/>
        <v>0</v>
      </c>
      <c r="L46" s="1239">
        <f t="shared" si="2"/>
        <v>0</v>
      </c>
      <c r="M46" s="1239">
        <f t="shared" si="3"/>
        <v>0</v>
      </c>
      <c r="N46" s="1239">
        <f>RBBD!I31</f>
        <v>0</v>
      </c>
      <c r="O46" s="1239">
        <f>RBBD!J31</f>
        <v>0</v>
      </c>
      <c r="P46" s="1239">
        <f>RBBD!K31</f>
        <v>0</v>
      </c>
      <c r="Q46" s="1239">
        <f>RBBD!L31</f>
        <v>0</v>
      </c>
      <c r="R46" s="1239">
        <f>RBBD!M31</f>
        <v>0</v>
      </c>
      <c r="S46" s="1239">
        <f>RBBD!N31</f>
        <v>0</v>
      </c>
      <c r="T46" s="1239">
        <f>RBBD!O31</f>
        <v>0</v>
      </c>
      <c r="U46" s="1239">
        <f>RBBD!P31</f>
        <v>0</v>
      </c>
      <c r="V46" s="1239">
        <f>RBBD!Q31</f>
        <v>0</v>
      </c>
      <c r="W46" s="1239">
        <f>RBBD!R31</f>
        <v>0</v>
      </c>
      <c r="X46" s="1239">
        <f>RBBD!S31</f>
        <v>0</v>
      </c>
      <c r="Y46" s="1239">
        <f>RBBD!T31</f>
        <v>0</v>
      </c>
      <c r="Z46" s="65"/>
      <c r="AA46" s="324">
        <f t="shared" si="5"/>
        <v>0</v>
      </c>
    </row>
    <row r="47" spans="2:27" hidden="1">
      <c r="B47" s="1239">
        <f>RBBD!B32</f>
        <v>0</v>
      </c>
      <c r="C47" s="1239">
        <f>RBBD!C32</f>
        <v>0</v>
      </c>
      <c r="D47" s="1239">
        <f>RBBD!D32</f>
        <v>0</v>
      </c>
      <c r="E47" s="1239">
        <f>RBBD!G32</f>
        <v>0</v>
      </c>
      <c r="F47" s="1239">
        <f>RBBD!H32</f>
        <v>0</v>
      </c>
      <c r="G47" s="1239">
        <f>RBBD!E32</f>
        <v>0</v>
      </c>
      <c r="H47" s="1239">
        <f>RBBD!F32</f>
        <v>0</v>
      </c>
      <c r="I47" s="1239">
        <f t="shared" si="2"/>
        <v>0</v>
      </c>
      <c r="J47" s="1239">
        <f t="shared" si="2"/>
        <v>0</v>
      </c>
      <c r="K47" s="1239">
        <f t="shared" si="2"/>
        <v>0</v>
      </c>
      <c r="L47" s="1239">
        <f t="shared" si="2"/>
        <v>0</v>
      </c>
      <c r="M47" s="1239">
        <f t="shared" si="3"/>
        <v>0</v>
      </c>
      <c r="N47" s="1239">
        <f>RBBD!I32</f>
        <v>0</v>
      </c>
      <c r="O47" s="1239">
        <f>RBBD!J32</f>
        <v>0</v>
      </c>
      <c r="P47" s="1239">
        <f>RBBD!K32</f>
        <v>0</v>
      </c>
      <c r="Q47" s="1239">
        <f>RBBD!L32</f>
        <v>0</v>
      </c>
      <c r="R47" s="1239">
        <f>RBBD!M32</f>
        <v>0</v>
      </c>
      <c r="S47" s="1239">
        <f>RBBD!N32</f>
        <v>0</v>
      </c>
      <c r="T47" s="1239">
        <f>RBBD!O32</f>
        <v>0</v>
      </c>
      <c r="U47" s="1239">
        <f>RBBD!P32</f>
        <v>0</v>
      </c>
      <c r="V47" s="1239">
        <f>RBBD!Q32</f>
        <v>0</v>
      </c>
      <c r="W47" s="1239">
        <f>RBBD!R32</f>
        <v>0</v>
      </c>
      <c r="X47" s="1239">
        <f>RBBD!S32</f>
        <v>0</v>
      </c>
      <c r="Y47" s="1239">
        <f>RBBD!T32</f>
        <v>0</v>
      </c>
      <c r="Z47" s="65"/>
      <c r="AA47" s="324">
        <f t="shared" si="5"/>
        <v>0</v>
      </c>
    </row>
    <row r="48" spans="2:27" hidden="1">
      <c r="B48" s="1239">
        <f>RBBD!B33</f>
        <v>0</v>
      </c>
      <c r="C48" s="1239">
        <f>RBBD!C33</f>
        <v>0</v>
      </c>
      <c r="D48" s="1239">
        <f>RBBD!D33</f>
        <v>0</v>
      </c>
      <c r="E48" s="1239">
        <f>RBBD!G33</f>
        <v>0</v>
      </c>
      <c r="F48" s="1239">
        <f>RBBD!H33</f>
        <v>0</v>
      </c>
      <c r="G48" s="1239">
        <f>RBBD!E33</f>
        <v>0</v>
      </c>
      <c r="H48" s="1239">
        <f>RBBD!F33</f>
        <v>0</v>
      </c>
      <c r="I48" s="1239">
        <f t="shared" si="2"/>
        <v>0</v>
      </c>
      <c r="J48" s="1239">
        <f t="shared" si="2"/>
        <v>0</v>
      </c>
      <c r="K48" s="1239">
        <f t="shared" si="2"/>
        <v>0</v>
      </c>
      <c r="L48" s="1239">
        <f t="shared" si="2"/>
        <v>0</v>
      </c>
      <c r="M48" s="1239">
        <f t="shared" si="3"/>
        <v>0</v>
      </c>
      <c r="N48" s="1239">
        <f>RBBD!I33</f>
        <v>0</v>
      </c>
      <c r="O48" s="1239">
        <f>RBBD!J33</f>
        <v>0</v>
      </c>
      <c r="P48" s="1239">
        <f>RBBD!K33</f>
        <v>0</v>
      </c>
      <c r="Q48" s="1239">
        <f>RBBD!L33</f>
        <v>0</v>
      </c>
      <c r="R48" s="1239">
        <f>RBBD!M33</f>
        <v>0</v>
      </c>
      <c r="S48" s="1239">
        <f>RBBD!N33</f>
        <v>0</v>
      </c>
      <c r="T48" s="1239">
        <f>RBBD!O33</f>
        <v>0</v>
      </c>
      <c r="U48" s="1239">
        <f>RBBD!P33</f>
        <v>0</v>
      </c>
      <c r="V48" s="1239">
        <f>RBBD!Q33</f>
        <v>0</v>
      </c>
      <c r="W48" s="1239">
        <f>RBBD!R33</f>
        <v>0</v>
      </c>
      <c r="X48" s="1239">
        <f>RBBD!S33</f>
        <v>0</v>
      </c>
      <c r="Y48" s="1239">
        <f>RBBD!T33</f>
        <v>0</v>
      </c>
      <c r="Z48" s="65"/>
      <c r="AA48" s="324">
        <f t="shared" si="5"/>
        <v>0</v>
      </c>
    </row>
    <row r="49" spans="2:27" hidden="1">
      <c r="B49" s="1239">
        <f>RBBD!B34</f>
        <v>0</v>
      </c>
      <c r="C49" s="1239">
        <f>RBBD!C34</f>
        <v>0</v>
      </c>
      <c r="D49" s="1239">
        <f>RBBD!D34</f>
        <v>0</v>
      </c>
      <c r="E49" s="1239">
        <f>RBBD!G34</f>
        <v>0</v>
      </c>
      <c r="F49" s="1239">
        <f>RBBD!H34</f>
        <v>0</v>
      </c>
      <c r="G49" s="1239">
        <f>RBBD!E34</f>
        <v>0</v>
      </c>
      <c r="H49" s="1239">
        <f>RBBD!F34</f>
        <v>0</v>
      </c>
      <c r="I49" s="1239">
        <f t="shared" si="2"/>
        <v>0</v>
      </c>
      <c r="J49" s="1239">
        <f t="shared" si="2"/>
        <v>0</v>
      </c>
      <c r="K49" s="1239">
        <f t="shared" si="2"/>
        <v>0</v>
      </c>
      <c r="L49" s="1239">
        <f t="shared" si="2"/>
        <v>0</v>
      </c>
      <c r="M49" s="1239">
        <f t="shared" si="3"/>
        <v>0</v>
      </c>
      <c r="N49" s="1239">
        <f>RBBD!I34</f>
        <v>0</v>
      </c>
      <c r="O49" s="1239">
        <f>RBBD!J34</f>
        <v>0</v>
      </c>
      <c r="P49" s="1239">
        <f>RBBD!K34</f>
        <v>0</v>
      </c>
      <c r="Q49" s="1239">
        <f>RBBD!L34</f>
        <v>0</v>
      </c>
      <c r="R49" s="1239">
        <f>RBBD!M34</f>
        <v>0</v>
      </c>
      <c r="S49" s="1239">
        <f>RBBD!N34</f>
        <v>0</v>
      </c>
      <c r="T49" s="1239">
        <f>RBBD!O34</f>
        <v>0</v>
      </c>
      <c r="U49" s="1239">
        <f>RBBD!P34</f>
        <v>0</v>
      </c>
      <c r="V49" s="1239">
        <f>RBBD!Q34</f>
        <v>0</v>
      </c>
      <c r="W49" s="1239">
        <f>RBBD!R34</f>
        <v>0</v>
      </c>
      <c r="X49" s="1239">
        <f>RBBD!S34</f>
        <v>0</v>
      </c>
      <c r="Y49" s="1239">
        <f>RBBD!T34</f>
        <v>0</v>
      </c>
      <c r="Z49" s="65"/>
      <c r="AA49" s="324">
        <f t="shared" si="5"/>
        <v>0</v>
      </c>
    </row>
    <row r="50" spans="2:27" hidden="1">
      <c r="B50" s="1239">
        <f>RBBD!B35</f>
        <v>0</v>
      </c>
      <c r="C50" s="1239">
        <f>RBBD!C35</f>
        <v>0</v>
      </c>
      <c r="D50" s="1239">
        <f>RBBD!D35</f>
        <v>0</v>
      </c>
      <c r="E50" s="1239">
        <f>RBBD!G35</f>
        <v>0</v>
      </c>
      <c r="F50" s="1239">
        <f>RBBD!H35</f>
        <v>0</v>
      </c>
      <c r="G50" s="1239">
        <f>RBBD!E35</f>
        <v>0</v>
      </c>
      <c r="H50" s="1239">
        <f>RBBD!F35</f>
        <v>0</v>
      </c>
      <c r="I50" s="1239">
        <f t="shared" si="2"/>
        <v>0</v>
      </c>
      <c r="J50" s="1239">
        <f t="shared" si="2"/>
        <v>0</v>
      </c>
      <c r="K50" s="1239">
        <f t="shared" si="2"/>
        <v>0</v>
      </c>
      <c r="L50" s="1239">
        <f t="shared" si="2"/>
        <v>0</v>
      </c>
      <c r="M50" s="1239">
        <f t="shared" si="3"/>
        <v>0</v>
      </c>
      <c r="N50" s="1239">
        <f>RBBD!I35</f>
        <v>0</v>
      </c>
      <c r="O50" s="1239">
        <f>RBBD!J35</f>
        <v>0</v>
      </c>
      <c r="P50" s="1239">
        <f>RBBD!K35</f>
        <v>0</v>
      </c>
      <c r="Q50" s="1239">
        <f>RBBD!L35</f>
        <v>0</v>
      </c>
      <c r="R50" s="1239">
        <f>RBBD!M35</f>
        <v>0</v>
      </c>
      <c r="S50" s="1239">
        <f>RBBD!N35</f>
        <v>0</v>
      </c>
      <c r="T50" s="1239">
        <f>RBBD!O35</f>
        <v>0</v>
      </c>
      <c r="U50" s="1239">
        <f>RBBD!P35</f>
        <v>0</v>
      </c>
      <c r="V50" s="1239">
        <f>RBBD!Q35</f>
        <v>0</v>
      </c>
      <c r="W50" s="1239">
        <f>RBBD!R35</f>
        <v>0</v>
      </c>
      <c r="X50" s="1239">
        <f>RBBD!S35</f>
        <v>0</v>
      </c>
      <c r="Y50" s="1239">
        <f>RBBD!T35</f>
        <v>0</v>
      </c>
      <c r="Z50" s="65"/>
      <c r="AA50" s="324">
        <f t="shared" si="5"/>
        <v>0</v>
      </c>
    </row>
    <row r="51" spans="2:27" hidden="1">
      <c r="B51" s="1239">
        <f>RBBD!B36</f>
        <v>0</v>
      </c>
      <c r="C51" s="1239">
        <f>RBBD!C36</f>
        <v>0</v>
      </c>
      <c r="D51" s="1239">
        <f>RBBD!D36</f>
        <v>0</v>
      </c>
      <c r="E51" s="1239">
        <f>RBBD!G36</f>
        <v>0</v>
      </c>
      <c r="F51" s="1239">
        <f>RBBD!H36</f>
        <v>0</v>
      </c>
      <c r="G51" s="1239">
        <f>RBBD!E36</f>
        <v>0</v>
      </c>
      <c r="H51" s="1239">
        <f>RBBD!F36</f>
        <v>0</v>
      </c>
      <c r="I51" s="1239">
        <f t="shared" si="2"/>
        <v>0</v>
      </c>
      <c r="J51" s="1239">
        <f t="shared" si="2"/>
        <v>0</v>
      </c>
      <c r="K51" s="1239">
        <f t="shared" si="2"/>
        <v>0</v>
      </c>
      <c r="L51" s="1239">
        <f t="shared" si="2"/>
        <v>0</v>
      </c>
      <c r="M51" s="1239">
        <f t="shared" si="3"/>
        <v>0</v>
      </c>
      <c r="N51" s="1239">
        <f>RBBD!I36</f>
        <v>0</v>
      </c>
      <c r="O51" s="1239">
        <f>RBBD!J36</f>
        <v>0</v>
      </c>
      <c r="P51" s="1239">
        <f>RBBD!K36</f>
        <v>0</v>
      </c>
      <c r="Q51" s="1239">
        <f>RBBD!L36</f>
        <v>0</v>
      </c>
      <c r="R51" s="1239">
        <f>RBBD!M36</f>
        <v>0</v>
      </c>
      <c r="S51" s="1239">
        <f>RBBD!N36</f>
        <v>0</v>
      </c>
      <c r="T51" s="1239">
        <f>RBBD!O36</f>
        <v>0</v>
      </c>
      <c r="U51" s="1239">
        <f>RBBD!P36</f>
        <v>0</v>
      </c>
      <c r="V51" s="1239">
        <f>RBBD!Q36</f>
        <v>0</v>
      </c>
      <c r="W51" s="1239">
        <f>RBBD!R36</f>
        <v>0</v>
      </c>
      <c r="X51" s="1239">
        <f>RBBD!S36</f>
        <v>0</v>
      </c>
      <c r="Y51" s="1239">
        <f>RBBD!T36</f>
        <v>0</v>
      </c>
      <c r="Z51" s="65"/>
      <c r="AA51" s="324">
        <f t="shared" si="5"/>
        <v>0</v>
      </c>
    </row>
    <row r="52" spans="2:27" hidden="1">
      <c r="B52" s="1239">
        <f>RBBD!B37</f>
        <v>0</v>
      </c>
      <c r="C52" s="1239">
        <f>RBBD!C37</f>
        <v>0</v>
      </c>
      <c r="D52" s="1239">
        <f>RBBD!D37</f>
        <v>0</v>
      </c>
      <c r="E52" s="1239">
        <f>RBBD!G37</f>
        <v>0</v>
      </c>
      <c r="F52" s="1239">
        <f>RBBD!H37</f>
        <v>0</v>
      </c>
      <c r="G52" s="1239">
        <f>RBBD!E37</f>
        <v>0</v>
      </c>
      <c r="H52" s="1239">
        <f>RBBD!F37</f>
        <v>0</v>
      </c>
      <c r="I52" s="1239">
        <f t="shared" si="2"/>
        <v>0</v>
      </c>
      <c r="J52" s="1239">
        <f t="shared" si="2"/>
        <v>0</v>
      </c>
      <c r="K52" s="1239">
        <f t="shared" si="2"/>
        <v>0</v>
      </c>
      <c r="L52" s="1239">
        <f t="shared" si="2"/>
        <v>0</v>
      </c>
      <c r="M52" s="1239">
        <f t="shared" si="3"/>
        <v>0</v>
      </c>
      <c r="N52" s="1239">
        <f>RBBD!I37</f>
        <v>0</v>
      </c>
      <c r="O52" s="1239">
        <f>RBBD!J37</f>
        <v>0</v>
      </c>
      <c r="P52" s="1239">
        <f>RBBD!K37</f>
        <v>0</v>
      </c>
      <c r="Q52" s="1239">
        <f>RBBD!L37</f>
        <v>0</v>
      </c>
      <c r="R52" s="1239">
        <f>RBBD!M37</f>
        <v>0</v>
      </c>
      <c r="S52" s="1239">
        <f>RBBD!N37</f>
        <v>0</v>
      </c>
      <c r="T52" s="1239">
        <f>RBBD!O37</f>
        <v>0</v>
      </c>
      <c r="U52" s="1239">
        <f>RBBD!P37</f>
        <v>0</v>
      </c>
      <c r="V52" s="1239">
        <f>RBBD!Q37</f>
        <v>0</v>
      </c>
      <c r="W52" s="1239">
        <f>RBBD!R37</f>
        <v>0</v>
      </c>
      <c r="X52" s="1239">
        <f>RBBD!S37</f>
        <v>0</v>
      </c>
      <c r="Y52" s="1239">
        <f>RBBD!T37</f>
        <v>0</v>
      </c>
      <c r="Z52" s="65"/>
      <c r="AA52" s="324">
        <f t="shared" si="5"/>
        <v>0</v>
      </c>
    </row>
    <row r="53" spans="2:27" hidden="1">
      <c r="B53" s="1239">
        <f>RBBD!B38</f>
        <v>0</v>
      </c>
      <c r="C53" s="1239">
        <f>RBBD!C38</f>
        <v>0</v>
      </c>
      <c r="D53" s="1239">
        <f>RBBD!D38</f>
        <v>0</v>
      </c>
      <c r="E53" s="1239">
        <f>RBBD!G38</f>
        <v>0</v>
      </c>
      <c r="F53" s="1239">
        <f>RBBD!H38</f>
        <v>0</v>
      </c>
      <c r="G53" s="1239">
        <f>RBBD!E38</f>
        <v>0</v>
      </c>
      <c r="H53" s="1239">
        <f>RBBD!F38</f>
        <v>0</v>
      </c>
      <c r="I53" s="1239">
        <f t="shared" si="2"/>
        <v>0</v>
      </c>
      <c r="J53" s="1239">
        <f t="shared" si="2"/>
        <v>0</v>
      </c>
      <c r="K53" s="1239">
        <f t="shared" si="2"/>
        <v>0</v>
      </c>
      <c r="L53" s="1239">
        <f t="shared" si="2"/>
        <v>0</v>
      </c>
      <c r="M53" s="1239">
        <f t="shared" si="3"/>
        <v>0</v>
      </c>
      <c r="N53" s="1239">
        <f>RBBD!I38</f>
        <v>0</v>
      </c>
      <c r="O53" s="1239">
        <f>RBBD!J38</f>
        <v>0</v>
      </c>
      <c r="P53" s="1239">
        <f>RBBD!K38</f>
        <v>0</v>
      </c>
      <c r="Q53" s="1239">
        <f>RBBD!L38</f>
        <v>0</v>
      </c>
      <c r="R53" s="1239">
        <f>RBBD!M38</f>
        <v>0</v>
      </c>
      <c r="S53" s="1239">
        <f>RBBD!N38</f>
        <v>0</v>
      </c>
      <c r="T53" s="1239">
        <f>RBBD!O38</f>
        <v>0</v>
      </c>
      <c r="U53" s="1239">
        <f>RBBD!P38</f>
        <v>0</v>
      </c>
      <c r="V53" s="1239">
        <f>RBBD!Q38</f>
        <v>0</v>
      </c>
      <c r="W53" s="1239">
        <f>RBBD!R38</f>
        <v>0</v>
      </c>
      <c r="X53" s="1239">
        <f>RBBD!S38</f>
        <v>0</v>
      </c>
      <c r="Y53" s="1239">
        <f>RBBD!T38</f>
        <v>0</v>
      </c>
      <c r="Z53" s="65"/>
      <c r="AA53" s="324">
        <f t="shared" si="5"/>
        <v>0</v>
      </c>
    </row>
    <row r="54" spans="2:27" hidden="1">
      <c r="B54" s="1239">
        <f>RBBD!B39</f>
        <v>0</v>
      </c>
      <c r="C54" s="1239">
        <f>RBBD!C39</f>
        <v>0</v>
      </c>
      <c r="D54" s="1239">
        <f>RBBD!D39</f>
        <v>0</v>
      </c>
      <c r="E54" s="1239">
        <f>RBBD!G39</f>
        <v>0</v>
      </c>
      <c r="F54" s="1239">
        <f>RBBD!H39</f>
        <v>0</v>
      </c>
      <c r="G54" s="1239">
        <f>RBBD!E39</f>
        <v>0</v>
      </c>
      <c r="H54" s="1239">
        <f>RBBD!F39</f>
        <v>0</v>
      </c>
      <c r="I54" s="1239">
        <f t="shared" si="2"/>
        <v>0</v>
      </c>
      <c r="J54" s="1239">
        <f t="shared" si="2"/>
        <v>0</v>
      </c>
      <c r="K54" s="1239">
        <f t="shared" si="2"/>
        <v>0</v>
      </c>
      <c r="L54" s="1239">
        <f t="shared" si="2"/>
        <v>0</v>
      </c>
      <c r="M54" s="1239">
        <f t="shared" si="3"/>
        <v>0</v>
      </c>
      <c r="N54" s="1239">
        <f>RBBD!I39</f>
        <v>0</v>
      </c>
      <c r="O54" s="1239">
        <f>RBBD!J39</f>
        <v>0</v>
      </c>
      <c r="P54" s="1239">
        <f>RBBD!K39</f>
        <v>0</v>
      </c>
      <c r="Q54" s="1239">
        <f>RBBD!L39</f>
        <v>0</v>
      </c>
      <c r="R54" s="1239">
        <f>RBBD!M39</f>
        <v>0</v>
      </c>
      <c r="S54" s="1239">
        <f>RBBD!N39</f>
        <v>0</v>
      </c>
      <c r="T54" s="1239">
        <f>RBBD!O39</f>
        <v>0</v>
      </c>
      <c r="U54" s="1239">
        <f>RBBD!P39</f>
        <v>0</v>
      </c>
      <c r="V54" s="1239">
        <f>RBBD!Q39</f>
        <v>0</v>
      </c>
      <c r="W54" s="1239">
        <f>RBBD!R39</f>
        <v>0</v>
      </c>
      <c r="X54" s="1239">
        <f>RBBD!S39</f>
        <v>0</v>
      </c>
      <c r="Y54" s="1239">
        <f>RBBD!T39</f>
        <v>0</v>
      </c>
      <c r="Z54" s="65"/>
      <c r="AA54" s="324">
        <f t="shared" si="5"/>
        <v>0</v>
      </c>
    </row>
    <row r="55" spans="2:27" hidden="1">
      <c r="B55" s="1239">
        <f>RBBD!B40</f>
        <v>0</v>
      </c>
      <c r="C55" s="1239">
        <f>RBBD!C40</f>
        <v>0</v>
      </c>
      <c r="D55" s="1239">
        <f>RBBD!D40</f>
        <v>0</v>
      </c>
      <c r="E55" s="1239">
        <f>RBBD!G40</f>
        <v>0</v>
      </c>
      <c r="F55" s="1239">
        <f>RBBD!H40</f>
        <v>0</v>
      </c>
      <c r="G55" s="1239">
        <f>RBBD!E40</f>
        <v>0</v>
      </c>
      <c r="H55" s="1239">
        <f>RBBD!F40</f>
        <v>0</v>
      </c>
      <c r="I55" s="1239">
        <f t="shared" si="2"/>
        <v>0</v>
      </c>
      <c r="J55" s="1239">
        <f t="shared" si="2"/>
        <v>0</v>
      </c>
      <c r="K55" s="1239">
        <f t="shared" si="2"/>
        <v>0</v>
      </c>
      <c r="L55" s="1239">
        <f t="shared" si="2"/>
        <v>0</v>
      </c>
      <c r="M55" s="1239">
        <f t="shared" si="3"/>
        <v>0</v>
      </c>
      <c r="N55" s="1239">
        <f>RBBD!I40</f>
        <v>0</v>
      </c>
      <c r="O55" s="1239">
        <f>RBBD!J40</f>
        <v>0</v>
      </c>
      <c r="P55" s="1239">
        <f>RBBD!K40</f>
        <v>0</v>
      </c>
      <c r="Q55" s="1239">
        <f>RBBD!L40</f>
        <v>0</v>
      </c>
      <c r="R55" s="1239">
        <f>RBBD!M40</f>
        <v>0</v>
      </c>
      <c r="S55" s="1239">
        <f>RBBD!N40</f>
        <v>0</v>
      </c>
      <c r="T55" s="1239">
        <f>RBBD!O40</f>
        <v>0</v>
      </c>
      <c r="U55" s="1239">
        <f>RBBD!P40</f>
        <v>0</v>
      </c>
      <c r="V55" s="1239">
        <f>RBBD!Q40</f>
        <v>0</v>
      </c>
      <c r="W55" s="1239">
        <f>RBBD!R40</f>
        <v>0</v>
      </c>
      <c r="X55" s="1239">
        <f>RBBD!S40</f>
        <v>0</v>
      </c>
      <c r="Y55" s="1239">
        <f>RBBD!T40</f>
        <v>0</v>
      </c>
      <c r="Z55" s="65"/>
      <c r="AA55" s="324">
        <f t="shared" si="5"/>
        <v>0</v>
      </c>
    </row>
    <row r="56" spans="2:27" hidden="1">
      <c r="B56" s="1239">
        <f>RBBD!B41</f>
        <v>0</v>
      </c>
      <c r="C56" s="1239">
        <f>RBBD!C41</f>
        <v>0</v>
      </c>
      <c r="D56" s="1239">
        <f>RBBD!D41</f>
        <v>0</v>
      </c>
      <c r="E56" s="1239">
        <f>RBBD!G41</f>
        <v>0</v>
      </c>
      <c r="F56" s="1239">
        <f>RBBD!H41</f>
        <v>0</v>
      </c>
      <c r="G56" s="1239">
        <f>RBBD!E41</f>
        <v>0</v>
      </c>
      <c r="H56" s="1239">
        <f>RBBD!F41</f>
        <v>0</v>
      </c>
      <c r="I56" s="1239">
        <f t="shared" si="2"/>
        <v>0</v>
      </c>
      <c r="J56" s="1239">
        <f t="shared" si="2"/>
        <v>0</v>
      </c>
      <c r="K56" s="1239">
        <f t="shared" si="2"/>
        <v>0</v>
      </c>
      <c r="L56" s="1239">
        <f t="shared" si="2"/>
        <v>0</v>
      </c>
      <c r="M56" s="1239">
        <f t="shared" si="3"/>
        <v>0</v>
      </c>
      <c r="N56" s="1239">
        <f>RBBD!I41</f>
        <v>0</v>
      </c>
      <c r="O56" s="1239">
        <f>RBBD!J41</f>
        <v>0</v>
      </c>
      <c r="P56" s="1239">
        <f>RBBD!K41</f>
        <v>0</v>
      </c>
      <c r="Q56" s="1239">
        <f>RBBD!L41</f>
        <v>0</v>
      </c>
      <c r="R56" s="1239">
        <f>RBBD!M41</f>
        <v>0</v>
      </c>
      <c r="S56" s="1239">
        <f>RBBD!N41</f>
        <v>0</v>
      </c>
      <c r="T56" s="1239">
        <f>RBBD!O41</f>
        <v>0</v>
      </c>
      <c r="U56" s="1239">
        <f>RBBD!P41</f>
        <v>0</v>
      </c>
      <c r="V56" s="1239">
        <f>RBBD!Q41</f>
        <v>0</v>
      </c>
      <c r="W56" s="1239">
        <f>RBBD!R41</f>
        <v>0</v>
      </c>
      <c r="X56" s="1239">
        <f>RBBD!S41</f>
        <v>0</v>
      </c>
      <c r="Y56" s="1239">
        <f>RBBD!T41</f>
        <v>0</v>
      </c>
      <c r="Z56" s="65"/>
      <c r="AA56" s="324">
        <f t="shared" si="5"/>
        <v>0</v>
      </c>
    </row>
    <row r="57" spans="2:27" hidden="1">
      <c r="B57" s="1239">
        <f>RBBD!B42</f>
        <v>0</v>
      </c>
      <c r="C57" s="1239">
        <f>RBBD!C42</f>
        <v>0</v>
      </c>
      <c r="D57" s="1239">
        <f>RBBD!D42</f>
        <v>0</v>
      </c>
      <c r="E57" s="1239">
        <f>RBBD!G42</f>
        <v>0</v>
      </c>
      <c r="F57" s="1239">
        <f>RBBD!H42</f>
        <v>0</v>
      </c>
      <c r="G57" s="1239">
        <f>RBBD!E42</f>
        <v>0</v>
      </c>
      <c r="H57" s="1239">
        <f>RBBD!F42</f>
        <v>0</v>
      </c>
      <c r="I57" s="1239">
        <f t="shared" si="2"/>
        <v>0</v>
      </c>
      <c r="J57" s="1239">
        <f t="shared" si="2"/>
        <v>0</v>
      </c>
      <c r="K57" s="1239">
        <f t="shared" si="2"/>
        <v>0</v>
      </c>
      <c r="L57" s="1239">
        <f t="shared" si="2"/>
        <v>0</v>
      </c>
      <c r="M57" s="1239">
        <f t="shared" si="3"/>
        <v>0</v>
      </c>
      <c r="N57" s="1239">
        <f>RBBD!I42</f>
        <v>0</v>
      </c>
      <c r="O57" s="1239">
        <f>RBBD!J42</f>
        <v>0</v>
      </c>
      <c r="P57" s="1239">
        <f>RBBD!K42</f>
        <v>0</v>
      </c>
      <c r="Q57" s="1239">
        <f>RBBD!L42</f>
        <v>0</v>
      </c>
      <c r="R57" s="1239">
        <f>RBBD!M42</f>
        <v>0</v>
      </c>
      <c r="S57" s="1239">
        <f>RBBD!N42</f>
        <v>0</v>
      </c>
      <c r="T57" s="1239">
        <f>RBBD!O42</f>
        <v>0</v>
      </c>
      <c r="U57" s="1239">
        <f>RBBD!P42</f>
        <v>0</v>
      </c>
      <c r="V57" s="1239">
        <f>RBBD!Q42</f>
        <v>0</v>
      </c>
      <c r="W57" s="1239">
        <f>RBBD!R42</f>
        <v>0</v>
      </c>
      <c r="X57" s="1239">
        <f>RBBD!S42</f>
        <v>0</v>
      </c>
      <c r="Y57" s="1239">
        <f>RBBD!T42</f>
        <v>0</v>
      </c>
      <c r="Z57" s="65"/>
      <c r="AA57" s="324">
        <f t="shared" si="5"/>
        <v>0</v>
      </c>
    </row>
    <row r="58" spans="2:27" hidden="1">
      <c r="B58" s="1239">
        <f>RBBD!B43</f>
        <v>0</v>
      </c>
      <c r="C58" s="1239">
        <f>RBBD!C43</f>
        <v>0</v>
      </c>
      <c r="D58" s="1239">
        <f>RBBD!D43</f>
        <v>0</v>
      </c>
      <c r="E58" s="1239">
        <f>RBBD!G43</f>
        <v>0</v>
      </c>
      <c r="F58" s="1239">
        <f>RBBD!H43</f>
        <v>0</v>
      </c>
      <c r="G58" s="1239">
        <f>RBBD!E43</f>
        <v>0</v>
      </c>
      <c r="H58" s="1239">
        <f>RBBD!F43</f>
        <v>0</v>
      </c>
      <c r="I58" s="1239">
        <f t="shared" si="2"/>
        <v>0</v>
      </c>
      <c r="J58" s="1239">
        <f t="shared" si="2"/>
        <v>0</v>
      </c>
      <c r="K58" s="1239">
        <f t="shared" si="2"/>
        <v>0</v>
      </c>
      <c r="L58" s="1239">
        <f t="shared" si="2"/>
        <v>0</v>
      </c>
      <c r="M58" s="1239">
        <f t="shared" si="3"/>
        <v>0</v>
      </c>
      <c r="N58" s="1239">
        <f>RBBD!I43</f>
        <v>0</v>
      </c>
      <c r="O58" s="1239">
        <f>RBBD!J43</f>
        <v>0</v>
      </c>
      <c r="P58" s="1239">
        <f>RBBD!K43</f>
        <v>0</v>
      </c>
      <c r="Q58" s="1239">
        <f>RBBD!L43</f>
        <v>0</v>
      </c>
      <c r="R58" s="1239">
        <f>RBBD!M43</f>
        <v>0</v>
      </c>
      <c r="S58" s="1239">
        <f>RBBD!N43</f>
        <v>0</v>
      </c>
      <c r="T58" s="1239">
        <f>RBBD!O43</f>
        <v>0</v>
      </c>
      <c r="U58" s="1239">
        <f>RBBD!P43</f>
        <v>0</v>
      </c>
      <c r="V58" s="1239">
        <f>RBBD!Q43</f>
        <v>0</v>
      </c>
      <c r="W58" s="1239">
        <f>RBBD!R43</f>
        <v>0</v>
      </c>
      <c r="X58" s="1239">
        <f>RBBD!S43</f>
        <v>0</v>
      </c>
      <c r="Y58" s="1239">
        <f>RBBD!T43</f>
        <v>0</v>
      </c>
      <c r="Z58" s="65"/>
      <c r="AA58" s="324">
        <f t="shared" si="5"/>
        <v>0</v>
      </c>
    </row>
    <row r="59" spans="2:27" hidden="1">
      <c r="B59" s="1239">
        <f>RBBD!B44</f>
        <v>0</v>
      </c>
      <c r="C59" s="1239">
        <f>RBBD!C44</f>
        <v>0</v>
      </c>
      <c r="D59" s="1239">
        <f>RBBD!D44</f>
        <v>0</v>
      </c>
      <c r="E59" s="1239">
        <f>RBBD!G44</f>
        <v>0</v>
      </c>
      <c r="F59" s="1239">
        <f>RBBD!H44</f>
        <v>0</v>
      </c>
      <c r="G59" s="1239">
        <f>RBBD!E44</f>
        <v>0</v>
      </c>
      <c r="H59" s="1239">
        <f>RBBD!F44</f>
        <v>0</v>
      </c>
      <c r="I59" s="1239">
        <f t="shared" si="2"/>
        <v>0</v>
      </c>
      <c r="J59" s="1239">
        <f t="shared" si="2"/>
        <v>0</v>
      </c>
      <c r="K59" s="1239">
        <f t="shared" si="2"/>
        <v>0</v>
      </c>
      <c r="L59" s="1239">
        <f t="shared" si="2"/>
        <v>0</v>
      </c>
      <c r="M59" s="1239">
        <f t="shared" si="3"/>
        <v>0</v>
      </c>
      <c r="N59" s="1239">
        <f>RBBD!I44</f>
        <v>0</v>
      </c>
      <c r="O59" s="1239">
        <f>RBBD!J44</f>
        <v>0</v>
      </c>
      <c r="P59" s="1239">
        <f>RBBD!K44</f>
        <v>0</v>
      </c>
      <c r="Q59" s="1239">
        <f>RBBD!L44</f>
        <v>0</v>
      </c>
      <c r="R59" s="1239">
        <f>RBBD!M44</f>
        <v>0</v>
      </c>
      <c r="S59" s="1239">
        <f>RBBD!N44</f>
        <v>0</v>
      </c>
      <c r="T59" s="1239">
        <f>RBBD!O44</f>
        <v>0</v>
      </c>
      <c r="U59" s="1239">
        <f>RBBD!P44</f>
        <v>0</v>
      </c>
      <c r="V59" s="1239">
        <f>RBBD!Q44</f>
        <v>0</v>
      </c>
      <c r="W59" s="1239">
        <f>RBBD!R44</f>
        <v>0</v>
      </c>
      <c r="X59" s="1239">
        <f>RBBD!S44</f>
        <v>0</v>
      </c>
      <c r="Y59" s="1239">
        <f>RBBD!T44</f>
        <v>0</v>
      </c>
      <c r="Z59" s="65"/>
      <c r="AA59" s="324">
        <f t="shared" si="5"/>
        <v>0</v>
      </c>
    </row>
    <row r="60" spans="2:27" hidden="1">
      <c r="B60" s="1239">
        <f>RBBD!B45</f>
        <v>0</v>
      </c>
      <c r="C60" s="1239">
        <f>RBBD!C45</f>
        <v>0</v>
      </c>
      <c r="D60" s="1239">
        <f>RBBD!D45</f>
        <v>0</v>
      </c>
      <c r="E60" s="1239">
        <f>RBBD!G45</f>
        <v>0</v>
      </c>
      <c r="F60" s="1239">
        <f>RBBD!H45</f>
        <v>0</v>
      </c>
      <c r="G60" s="1239">
        <f>RBBD!E45</f>
        <v>0</v>
      </c>
      <c r="H60" s="1239">
        <f>RBBD!F45</f>
        <v>0</v>
      </c>
      <c r="I60" s="1239">
        <f t="shared" si="2"/>
        <v>0</v>
      </c>
      <c r="J60" s="1239">
        <f t="shared" si="2"/>
        <v>0</v>
      </c>
      <c r="K60" s="1239">
        <f t="shared" si="2"/>
        <v>0</v>
      </c>
      <c r="L60" s="1239">
        <f t="shared" si="2"/>
        <v>0</v>
      </c>
      <c r="M60" s="1239">
        <f t="shared" si="3"/>
        <v>0</v>
      </c>
      <c r="N60" s="1239">
        <f>RBBD!I45</f>
        <v>0</v>
      </c>
      <c r="O60" s="1239">
        <f>RBBD!J45</f>
        <v>0</v>
      </c>
      <c r="P60" s="1239">
        <f>RBBD!K45</f>
        <v>0</v>
      </c>
      <c r="Q60" s="1239">
        <f>RBBD!L45</f>
        <v>0</v>
      </c>
      <c r="R60" s="1239">
        <f>RBBD!M45</f>
        <v>0</v>
      </c>
      <c r="S60" s="1239">
        <f>RBBD!N45</f>
        <v>0</v>
      </c>
      <c r="T60" s="1239">
        <f>RBBD!O45</f>
        <v>0</v>
      </c>
      <c r="U60" s="1239">
        <f>RBBD!P45</f>
        <v>0</v>
      </c>
      <c r="V60" s="1239">
        <f>RBBD!Q45</f>
        <v>0</v>
      </c>
      <c r="W60" s="1239">
        <f>RBBD!R45</f>
        <v>0</v>
      </c>
      <c r="X60" s="1239">
        <f>RBBD!S45</f>
        <v>0</v>
      </c>
      <c r="Y60" s="1239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0" t="s">
        <v>1165</v>
      </c>
      <c r="D62" s="1241"/>
      <c r="E62" s="1241">
        <f>SUM(I18:I61)/SUM(M18:M61)</f>
        <v>5062.2585034013609</v>
      </c>
      <c r="F62" s="1241">
        <f>SUM(J18:J61)/SUM(M18:M61)</f>
        <v>7063.2857142857147</v>
      </c>
      <c r="G62" s="1241">
        <f>SUM(K18:K61)/SUM(M18:M61)</f>
        <v>945</v>
      </c>
      <c r="H62" s="1241">
        <f>SUM(L18:L61)/SUM(M18:M61)</f>
        <v>990</v>
      </c>
      <c r="I62" s="1242">
        <f>SUM(I16:I61)</f>
        <v>6697368</v>
      </c>
      <c r="J62" s="1242">
        <f>SUM(J16:J61)</f>
        <v>9344727</v>
      </c>
      <c r="K62" s="1242">
        <f>SUM(K16:K61)</f>
        <v>1250235</v>
      </c>
      <c r="L62" s="1242">
        <f>SUM(L16:L61)</f>
        <v>1309770</v>
      </c>
      <c r="M62" s="1242">
        <f>SUM(M17:M61)</f>
        <v>1323</v>
      </c>
      <c r="N62" s="1242">
        <f>SUM(N18:N61)</f>
        <v>102.5</v>
      </c>
      <c r="O62" s="1242">
        <f t="shared" ref="O62:Y62" si="6">SUM(O18:O61)</f>
        <v>102.5</v>
      </c>
      <c r="P62" s="1242">
        <f t="shared" si="6"/>
        <v>113</v>
      </c>
      <c r="Q62" s="1242">
        <f t="shared" si="6"/>
        <v>113</v>
      </c>
      <c r="R62" s="1242">
        <f t="shared" si="6"/>
        <v>114</v>
      </c>
      <c r="S62" s="1242">
        <f t="shared" si="6"/>
        <v>114</v>
      </c>
      <c r="T62" s="1242">
        <f t="shared" si="6"/>
        <v>114</v>
      </c>
      <c r="U62" s="1242">
        <f t="shared" si="6"/>
        <v>114</v>
      </c>
      <c r="V62" s="1242">
        <f t="shared" si="6"/>
        <v>114</v>
      </c>
      <c r="W62" s="1242">
        <f t="shared" si="6"/>
        <v>114</v>
      </c>
      <c r="X62" s="1242">
        <f t="shared" si="6"/>
        <v>104</v>
      </c>
      <c r="Y62" s="1242">
        <f t="shared" si="6"/>
        <v>104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2" t="s">
        <v>1166</v>
      </c>
      <c r="C67" s="1232"/>
      <c r="D67" s="1232"/>
      <c r="E67" s="1232"/>
      <c r="F67" s="1232"/>
      <c r="G67" s="1232"/>
      <c r="H67" s="1232"/>
      <c r="I67" s="1232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6"/>
      <c r="E69" s="1243">
        <f>IF(MONTH(E70)=7,E70,0)</f>
        <v>0</v>
      </c>
      <c r="F69" s="1243">
        <f t="shared" ref="F69:P69" si="7">IF(MONTH(F70)=7,F70,0)</f>
        <v>0</v>
      </c>
      <c r="G69" s="1243">
        <f t="shared" si="7"/>
        <v>0</v>
      </c>
      <c r="H69" s="1243">
        <f t="shared" si="7"/>
        <v>0</v>
      </c>
      <c r="I69" s="1243">
        <f t="shared" si="7"/>
        <v>0</v>
      </c>
      <c r="J69" s="1243">
        <f t="shared" si="7"/>
        <v>0</v>
      </c>
      <c r="K69" s="1243">
        <f t="shared" si="7"/>
        <v>0</v>
      </c>
      <c r="L69" s="1243">
        <f t="shared" si="7"/>
        <v>0</v>
      </c>
      <c r="M69" s="1243">
        <f t="shared" si="7"/>
        <v>0</v>
      </c>
      <c r="N69" s="1243">
        <f t="shared" si="7"/>
        <v>0</v>
      </c>
      <c r="O69" s="1243">
        <f t="shared" si="7"/>
        <v>44743</v>
      </c>
      <c r="P69" s="1243">
        <f t="shared" si="7"/>
        <v>0</v>
      </c>
      <c r="Q69" s="770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4">
        <f>G76</f>
        <v>44440</v>
      </c>
      <c r="F70" s="1244">
        <f>G77</f>
        <v>44470</v>
      </c>
      <c r="G70" s="1244">
        <f>G78</f>
        <v>44501</v>
      </c>
      <c r="H70" s="1244">
        <f>G79</f>
        <v>44531</v>
      </c>
      <c r="I70" s="1244">
        <f>G80</f>
        <v>44562</v>
      </c>
      <c r="J70" s="1244">
        <f>G81</f>
        <v>44593</v>
      </c>
      <c r="K70" s="1244">
        <f>G82</f>
        <v>44621</v>
      </c>
      <c r="L70" s="1244">
        <f>G83</f>
        <v>44652</v>
      </c>
      <c r="M70" s="1244">
        <f>G84</f>
        <v>44682</v>
      </c>
      <c r="N70" s="1244">
        <f>G85</f>
        <v>44713</v>
      </c>
      <c r="O70" s="1244">
        <f>G86</f>
        <v>44743</v>
      </c>
      <c r="P70" s="1244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5" t="s">
        <v>1168</v>
      </c>
      <c r="D71" s="1246">
        <f>SUM(E71:P71)</f>
        <v>425644</v>
      </c>
      <c r="E71" s="1247">
        <f>SUMIF($G$76:$G$420,E70,$N$76:$N$420)</f>
        <v>0</v>
      </c>
      <c r="F71" s="1247">
        <f t="shared" ref="F71:P71" si="8">SUMIF($G$76:$G$420,F70,$N$76:$N$420)</f>
        <v>0</v>
      </c>
      <c r="G71" s="1247">
        <f t="shared" si="8"/>
        <v>0</v>
      </c>
      <c r="H71" s="1247">
        <f t="shared" si="8"/>
        <v>0</v>
      </c>
      <c r="I71" s="1247">
        <f t="shared" si="8"/>
        <v>0</v>
      </c>
      <c r="J71" s="1247">
        <f t="shared" si="8"/>
        <v>0</v>
      </c>
      <c r="K71" s="1247">
        <f t="shared" si="8"/>
        <v>0</v>
      </c>
      <c r="L71" s="1247">
        <f t="shared" si="8"/>
        <v>0</v>
      </c>
      <c r="M71" s="1247">
        <f t="shared" si="8"/>
        <v>0</v>
      </c>
      <c r="N71" s="1247">
        <f t="shared" si="8"/>
        <v>0</v>
      </c>
      <c r="O71" s="1247">
        <f t="shared" si="8"/>
        <v>212822</v>
      </c>
      <c r="P71" s="1247">
        <f t="shared" si="8"/>
        <v>212822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5" t="s">
        <v>1169</v>
      </c>
      <c r="D72" s="1246">
        <f>SUM(E72:P72)</f>
        <v>422669.89445101382</v>
      </c>
      <c r="E72" s="1247">
        <f>SUMIF(Indexador!$B$25:$B$48,'Rede Básica + Ajuste'!E70,Indexador!$J$25:$J$48)</f>
        <v>0</v>
      </c>
      <c r="F72" s="1247">
        <f>SUMIF(Indexador!$B$25:$B$48,'Rede Básica + Ajuste'!F70,Indexador!$J$25:$J$48)</f>
        <v>0</v>
      </c>
      <c r="G72" s="1247">
        <f>SUMIF(Indexador!$B$25:$B$48,'Rede Básica + Ajuste'!G70,Indexador!$J$25:$J$48)</f>
        <v>0</v>
      </c>
      <c r="H72" s="1247">
        <f>SUMIF(Indexador!$B$25:$B$48,'Rede Básica + Ajuste'!H70,Indexador!$J$25:$J$48)</f>
        <v>0</v>
      </c>
      <c r="I72" s="1247">
        <f>SUMIF(Indexador!$B$25:$B$48,'Rede Básica + Ajuste'!I70,Indexador!$J$25:$J$48)</f>
        <v>0</v>
      </c>
      <c r="J72" s="1247">
        <f>SUMIF(Indexador!$B$25:$B$48,'Rede Básica + Ajuste'!J70,Indexador!$J$25:$J$48)</f>
        <v>0</v>
      </c>
      <c r="K72" s="1247">
        <f>SUMIF(Indexador!$B$25:$B$48,'Rede Básica + Ajuste'!K70,Indexador!$J$25:$J$48)</f>
        <v>0</v>
      </c>
      <c r="L72" s="1247">
        <f>SUMIF(Indexador!$B$25:$B$48,'Rede Básica + Ajuste'!L70,Indexador!$J$25:$J$48)</f>
        <v>0</v>
      </c>
      <c r="M72" s="1247">
        <f>SUMIF(Indexador!$B$25:$B$48,'Rede Básica + Ajuste'!M70,Indexador!$J$25:$J$48)</f>
        <v>0</v>
      </c>
      <c r="N72" s="1247">
        <f>SUMIF(Indexador!$B$25:$B$48,'Rede Básica + Ajuste'!N70,Indexador!$J$25:$J$48)</f>
        <v>0</v>
      </c>
      <c r="O72" s="1247">
        <f>SUMIF(Indexador!$B$25:$B$48,'Rede Básica + Ajuste'!O70,Indexador!$J$25:$J$48)</f>
        <v>210613.95341279614</v>
      </c>
      <c r="P72" s="1247">
        <f>SUMIF(Indexador!$B$25:$B$48,'Rede Básica + Ajuste'!P70,Indexador!$J$25:$J$48)</f>
        <v>212055.94103821769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24" t="s">
        <v>1170</v>
      </c>
      <c r="K74" s="1825"/>
      <c r="L74" s="1826" t="s">
        <v>1171</v>
      </c>
      <c r="M74" s="1826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7" t="s">
        <v>1153</v>
      </c>
      <c r="D75" s="1828"/>
      <c r="F75" s="270"/>
      <c r="G75" s="1248" t="s">
        <v>646</v>
      </c>
      <c r="H75" s="1249" t="s">
        <v>1172</v>
      </c>
      <c r="I75" s="1249" t="s">
        <v>1173</v>
      </c>
      <c r="J75" s="1250" t="s">
        <v>1174</v>
      </c>
      <c r="K75" s="1250" t="s">
        <v>1175</v>
      </c>
      <c r="L75" s="1250" t="s">
        <v>1174</v>
      </c>
      <c r="M75" s="1250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5" t="s">
        <v>1177</v>
      </c>
      <c r="D76" s="1251" t="str">
        <f>IF(D18="Ponta",B18,0)</f>
        <v>FORQUILHINHA - 69 kV (A)</v>
      </c>
      <c r="E76" s="18"/>
      <c r="F76" s="270"/>
      <c r="G76" s="1252">
        <f>DATE(YEAR(CAPA!C14),MONTH(CAPA!C14),1)</f>
        <v>44440</v>
      </c>
      <c r="H76" s="272">
        <f>SUMIFS($N$18:$N$60,$B$18:$B$60,$D$76,$D$18:$D$60,"Ponta")</f>
        <v>46</v>
      </c>
      <c r="I76" s="272">
        <f>SUMIFS($N$18:$N$60,$B$18:$B$60,$D$76,$D$18:$D$60,"Fora Ponta")</f>
        <v>56.5</v>
      </c>
      <c r="J76" s="272">
        <f>SUMIFS($E$18:$E$60,$B$18:$B$60,$D$76,$D$18:$D$60,"Ponta")</f>
        <v>4701</v>
      </c>
      <c r="K76" s="272">
        <f>SUMIFS($E$18:$E$60,$B$18:$B$60,$D$76,$D$18:$D$60,"Fora Ponta")</f>
        <v>5346</v>
      </c>
      <c r="L76" s="1253">
        <f>IF(MONTH(DataRevRea)=7,'Rede Básica + Ajuste'!J76,IF(G76&lt;$Q$69,(SUMIFS($E$18:$E$60,$B$18:$B$60,$D$76,$D$18:$D$60,"Ponta")),(SUMIFS($F$18:$F$60,$B$18:$B$60,$D$76,$D$18:$D$60,"Ponta"))))</f>
        <v>4701</v>
      </c>
      <c r="M76" s="1253">
        <f>IF(MONTH(DataRevRea)=7,'Rede Básica + Ajuste'!K76,IF(G76&lt;$Q$69,(SUMIFS($E$18:$E$60,$B$18:$B$60,$D$76,$D$18:$D$60,"Fora Ponta")),(SUMIFS($F$18:$F$60,$B$18:$B$60,$D$76,$D$18:$D$60,"Fora Ponta"))))</f>
        <v>5346</v>
      </c>
      <c r="N76" s="1254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46</v>
      </c>
      <c r="I77" s="272">
        <f>SUMIFS($O$18:$O$60,$B$18:$B$60,$D$76,$D$18:$D$60,"Fora Ponta")</f>
        <v>56.5</v>
      </c>
      <c r="J77" s="272">
        <f t="shared" ref="J77:J87" si="9">SUMIFS($E$18:$E$60,$B$18:$B$60,$D$76,$D$18:$D$60,"Ponta")</f>
        <v>4701</v>
      </c>
      <c r="K77" s="272">
        <f t="shared" ref="K77:K87" si="10">SUMIFS($E$18:$E$60,$B$18:$B$60,$D$76,$D$18:$D$60,"Fora Ponta")</f>
        <v>5346</v>
      </c>
      <c r="L77" s="272">
        <f>IF(MONTH(DataRevRea)=7,'Rede Básica + Ajuste'!J77,IF(G77&lt;$Q$69,(SUMIFS($E$18:$E$60,$B$18:$B$60,$D$76,$D$18:$D$60,"Ponta")),(SUMIFS($F$18:$F$60,$B$18:$B$60,$D$76,$D$18:$D$60,"Ponta"))))</f>
        <v>4701</v>
      </c>
      <c r="M77" s="272">
        <f>IF(MONTH(DataRevRea)=7,'Rede Básica + Ajuste'!K77,IF(G77&lt;$Q$69,(SUMIFS($E$18:$E$60,$B$18:$B$60,$D$76,$D$18:$D$60,"Fora Ponta")),(SUMIFS($F$18:$F$60,$B$18:$B$60,$D$76,$D$18:$D$60,"Fora Ponta"))))</f>
        <v>5346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5" t="s">
        <v>1178</v>
      </c>
      <c r="E78" s="1256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49</v>
      </c>
      <c r="I78" s="272">
        <f>SUMIFS($P$18:$P$60,$B$18:$B$60,$D$76,$D$18:$D$60,"Fora Ponta")</f>
        <v>64</v>
      </c>
      <c r="J78" s="272">
        <f t="shared" si="9"/>
        <v>4701</v>
      </c>
      <c r="K78" s="272">
        <f t="shared" si="10"/>
        <v>5346</v>
      </c>
      <c r="L78" s="272">
        <f>IF(MONTH(DataRevRea)=7,'Rede Básica + Ajuste'!J78,IF(G78&lt;$Q$69,(SUMIFS($E$18:$E$60,$B$18:$B$60,$D$76,$D$18:$D$60,"Ponta")),(SUMIFS($F$18:$F$60,$B$18:$B$60,$D$76,$D$18:$D$60,"Ponta"))))</f>
        <v>4701</v>
      </c>
      <c r="M78" s="272">
        <f>IF(MONTH(DataRevRea)=7,'Rede Básica + Ajuste'!K78,IF(G78&lt;$Q$69,(SUMIFS($E$18:$E$60,$B$18:$B$60,$D$76,$D$18:$D$60,"Fora Ponta")),(SUMIFS($F$18:$F$60,$B$18:$B$60,$D$76,$D$18:$D$60,"Fora Ponta"))))</f>
        <v>5346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7" t="str">
        <f>"Cobertura "&amp;YEAR(CAPA!C14)</f>
        <v>Cobertura 2021</v>
      </c>
      <c r="D79" s="1258">
        <f>SUMPRODUCT(H76:H87,J76:J87)</f>
        <v>2735982</v>
      </c>
      <c r="E79" s="1258">
        <f>SUMPRODUCT(I76:I87,K76:K87)</f>
        <v>3961386</v>
      </c>
      <c r="F79" s="270"/>
      <c r="G79" s="271">
        <f t="shared" si="12"/>
        <v>44531</v>
      </c>
      <c r="H79" s="272">
        <f>SUMIFS($Q$18:$Q$60,$B$18:$B$60,$D$76,$D$18:$D$60,"Ponta")</f>
        <v>49</v>
      </c>
      <c r="I79" s="272">
        <f>SUMIFS($Q$18:$Q$60,$B$18:$B$60,$D$76,$D$18:$D$60,"Fora Ponta")</f>
        <v>64</v>
      </c>
      <c r="J79" s="272">
        <f t="shared" si="9"/>
        <v>4701</v>
      </c>
      <c r="K79" s="272">
        <f t="shared" si="10"/>
        <v>5346</v>
      </c>
      <c r="L79" s="272">
        <f>IF(MONTH(DataRevRea)=7,'Rede Básica + Ajuste'!J79,IF(G79&lt;$Q$69,(SUMIFS($E$18:$E$60,$B$18:$B$60,$D$76,$D$18:$D$60,"Ponta")),(SUMIFS($F$18:$F$60,$B$18:$B$60,$D$76,$D$18:$D$60,"Ponta"))))</f>
        <v>4701</v>
      </c>
      <c r="M79" s="272">
        <f>IF(MONTH(DataRevRea)=7,'Rede Básica + Ajuste'!K79,IF(G79&lt;$Q$69,(SUMIFS($E$18:$E$60,$B$18:$B$60,$D$76,$D$18:$D$60,"Fora Ponta")),(SUMIFS($F$18:$F$60,$B$18:$B$60,$D$76,$D$18:$D$60,"Fora Ponta"))))</f>
        <v>5346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7" t="s">
        <v>1180</v>
      </c>
      <c r="D80" s="1258">
        <f>SUMPRODUCT(H76:H87,L76:L87)</f>
        <v>2927342</v>
      </c>
      <c r="E80" s="1258">
        <f>SUMPRODUCT(I76:I87,M76:M87)</f>
        <v>4186310</v>
      </c>
      <c r="F80" s="270"/>
      <c r="G80" s="271">
        <f t="shared" si="12"/>
        <v>44562</v>
      </c>
      <c r="H80" s="272">
        <f>SUMIFS($R$18:$R$60,$B$18:$B$60,$D$76,$D$18:$D$60,"Ponta")</f>
        <v>50</v>
      </c>
      <c r="I80" s="272">
        <f>SUMIFS($R$18:$R$60,$B$18:$B$60,$D$76,$D$18:$D$60,"Fora Ponta")</f>
        <v>64</v>
      </c>
      <c r="J80" s="272">
        <f t="shared" si="9"/>
        <v>4701</v>
      </c>
      <c r="K80" s="272">
        <f t="shared" si="10"/>
        <v>5346</v>
      </c>
      <c r="L80" s="272">
        <f>IF(MONTH(DataRevRea)=7,'Rede Básica + Ajuste'!J80,IF(G80&lt;$Q$69,(SUMIFS($E$18:$E$60,$B$18:$B$60,$D$76,$D$18:$D$60,"Ponta")),(SUMIFS($F$18:$F$60,$B$18:$B$60,$D$76,$D$18:$D$60,"Ponta"))))</f>
        <v>4701</v>
      </c>
      <c r="M80" s="272">
        <f>IF(MONTH(DataRevRea)=7,'Rede Básica + Ajuste'!K80,IF(G80&lt;$Q$69,(SUMIFS($E$18:$E$60,$B$18:$B$60,$D$76,$D$18:$D$60,"Fora Ponta")),(SUMIFS($F$18:$F$60,$B$18:$B$60,$D$76,$D$18:$D$60,"Fora Ponta"))))</f>
        <v>5346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50</v>
      </c>
      <c r="I81" s="272">
        <f>SUMIFS($S$18:$S$60,$B$18:$B$60,$D$76,$D$18:$D$60,"Fora Ponta")</f>
        <v>64</v>
      </c>
      <c r="J81" s="272">
        <f t="shared" si="9"/>
        <v>4701</v>
      </c>
      <c r="K81" s="272">
        <f t="shared" si="10"/>
        <v>5346</v>
      </c>
      <c r="L81" s="272">
        <f>IF(MONTH(DataRevRea)=7,'Rede Básica + Ajuste'!J81,IF(G81&lt;$Q$69,(SUMIFS($E$18:$E$60,$B$18:$B$60,$D$76,$D$18:$D$60,"Ponta")),(SUMIFS($F$18:$F$60,$B$18:$B$60,$D$76,$D$18:$D$60,"Ponta"))))</f>
        <v>4701</v>
      </c>
      <c r="M81" s="272">
        <f>IF(MONTH(DataRevRea)=7,'Rede Básica + Ajuste'!K81,IF(G81&lt;$Q$69,(SUMIFS($E$18:$E$60,$B$18:$B$60,$D$76,$D$18:$D$60,"Fora Ponta")),(SUMIFS($F$18:$F$60,$B$18:$B$60,$D$76,$D$18:$D$60,"Fora Ponta"))))</f>
        <v>5346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50</v>
      </c>
      <c r="I82" s="272">
        <f>SUMIFS($T$18:$T$60,$B$18:$B$60,$D$76,$D$18:$D$60,"Fora Ponta")</f>
        <v>64</v>
      </c>
      <c r="J82" s="272">
        <f t="shared" si="9"/>
        <v>4701</v>
      </c>
      <c r="K82" s="272">
        <f t="shared" si="10"/>
        <v>5346</v>
      </c>
      <c r="L82" s="272">
        <f>IF(MONTH(DataRevRea)=7,'Rede Básica + Ajuste'!J82,IF(G82&lt;$Q$69,(SUMIFS($E$18:$E$60,$B$18:$B$60,$D$76,$D$18:$D$60,"Ponta")),(SUMIFS($F$18:$F$60,$B$18:$B$60,$D$76,$D$18:$D$60,"Ponta"))))</f>
        <v>4701</v>
      </c>
      <c r="M82" s="272">
        <f>IF(MONTH(DataRevRea)=7,'Rede Básica + Ajuste'!K82,IF(G82&lt;$Q$69,(SUMIFS($E$18:$E$60,$B$18:$B$60,$D$76,$D$18:$D$60,"Fora Ponta")),(SUMIFS($F$18:$F$60,$B$18:$B$60,$D$76,$D$18:$D$60,"Fora Ponta"))))</f>
        <v>5346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50</v>
      </c>
      <c r="I83" s="272">
        <f>SUMIFS($U$18:$U$60,$B$18:$B$60,$D$76,$D$18:$D$60,"Fora Ponta")</f>
        <v>64</v>
      </c>
      <c r="J83" s="272">
        <f t="shared" si="9"/>
        <v>4701</v>
      </c>
      <c r="K83" s="272">
        <f t="shared" si="10"/>
        <v>5346</v>
      </c>
      <c r="L83" s="272">
        <f>IF(MONTH(DataRevRea)=7,'Rede Básica + Ajuste'!J83,IF(G83&lt;$Q$69,(SUMIFS($E$18:$E$60,$B$18:$B$60,$D$76,$D$18:$D$60,"Ponta")),(SUMIFS($F$18:$F$60,$B$18:$B$60,$D$76,$D$18:$D$60,"Ponta"))))</f>
        <v>4701</v>
      </c>
      <c r="M83" s="272">
        <f>IF(MONTH(DataRevRea)=7,'Rede Básica + Ajuste'!K83,IF(G83&lt;$Q$69,(SUMIFS($E$18:$E$60,$B$18:$B$60,$D$76,$D$18:$D$60,"Fora Ponta")),(SUMIFS($F$18:$F$60,$B$18:$B$60,$D$76,$D$18:$D$60,"Fora Ponta"))))</f>
        <v>5346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50</v>
      </c>
      <c r="I84" s="272">
        <f>SUMIFS($V$18:$V$60,$B$18:$B$60,$D$76,$D$18:$D$60,"Fora Ponta")</f>
        <v>64</v>
      </c>
      <c r="J84" s="272">
        <f t="shared" si="9"/>
        <v>4701</v>
      </c>
      <c r="K84" s="272">
        <f t="shared" si="10"/>
        <v>5346</v>
      </c>
      <c r="L84" s="272">
        <f>IF(MONTH(DataRevRea)=7,'Rede Básica + Ajuste'!J84,IF(G84&lt;$Q$69,(SUMIFS($E$18:$E$60,$B$18:$B$60,$D$76,$D$18:$D$60,"Ponta")),(SUMIFS($F$18:$F$60,$B$18:$B$60,$D$76,$D$18:$D$60,"Ponta"))))</f>
        <v>4701</v>
      </c>
      <c r="M84" s="272">
        <f>IF(MONTH(DataRevRea)=7,'Rede Básica + Ajuste'!K84,IF(G84&lt;$Q$69,(SUMIFS($E$18:$E$60,$B$18:$B$60,$D$76,$D$18:$D$60,"Fora Ponta")),(SUMIFS($F$18:$F$60,$B$18:$B$60,$D$76,$D$18:$D$60,"Fora Ponta"))))</f>
        <v>5346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50</v>
      </c>
      <c r="I85" s="272">
        <f>SUMIFS($W$18:$W$60,$B$18:$B$60,$D$76,$D$18:$D$60,"Fora Ponta")</f>
        <v>64</v>
      </c>
      <c r="J85" s="272">
        <f t="shared" si="9"/>
        <v>4701</v>
      </c>
      <c r="K85" s="272">
        <f t="shared" si="10"/>
        <v>5346</v>
      </c>
      <c r="L85" s="272">
        <f>IF(MONTH(DataRevRea)=7,'Rede Básica + Ajuste'!J85,IF(G85&lt;$Q$69,(SUMIFS($E$18:$E$60,$B$18:$B$60,$D$76,$D$18:$D$60,"Ponta")),(SUMIFS($F$18:$F$60,$B$18:$B$60,$D$76,$D$18:$D$60,"Ponta"))))</f>
        <v>4701</v>
      </c>
      <c r="M85" s="272">
        <f>IF(MONTH(DataRevRea)=7,'Rede Básica + Ajuste'!K85,IF(G85&lt;$Q$69,(SUMIFS($E$18:$E$60,$B$18:$B$60,$D$76,$D$18:$D$60,"Fora Ponta")),(SUMIFS($F$18:$F$60,$B$18:$B$60,$D$76,$D$18:$D$60,"Fora Ponta"))))</f>
        <v>5346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46</v>
      </c>
      <c r="I86" s="272">
        <f>SUMIFS($X$18:$X$60,$B$18:$B$60,$D$76,$D$18:$D$60,"Fora Ponta")</f>
        <v>58</v>
      </c>
      <c r="J86" s="272">
        <f t="shared" si="9"/>
        <v>4701</v>
      </c>
      <c r="K86" s="272">
        <f t="shared" si="10"/>
        <v>5346</v>
      </c>
      <c r="L86" s="272">
        <f>IF(MONTH(DataRevRea)=7,'Rede Básica + Ajuste'!J86,IF(G86&lt;$Q$69,(SUMIFS($E$18:$E$60,$B$18:$B$60,$D$76,$D$18:$D$60,"Ponta")),(SUMIFS($F$18:$F$60,$B$18:$B$60,$D$76,$D$18:$D$60,"Ponta"))))</f>
        <v>6781</v>
      </c>
      <c r="M86" s="272">
        <f>IF(MONTH(DataRevRea)=7,'Rede Básica + Ajuste'!K86,IF(G86&lt;$Q$69,(SUMIFS($E$18:$E$60,$B$18:$B$60,$D$76,$D$18:$D$60,"Fora Ponta")),(SUMIFS($F$18:$F$60,$B$18:$B$60,$D$76,$D$18:$D$60,"Fora Ponta"))))</f>
        <v>7285</v>
      </c>
      <c r="N86" s="279">
        <f t="shared" si="11"/>
        <v>208142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9">
        <f t="shared" si="12"/>
        <v>44774</v>
      </c>
      <c r="H87" s="1260">
        <f>SUMIFS($Y$18:$Y$60,$B$18:$B$60,$D$76,$D$18:$D$60,"Ponta")</f>
        <v>46</v>
      </c>
      <c r="I87" s="1260">
        <f>SUMIFS($Y$18:$Y$60,$B$18:$B$60,$D$76,$D$18:$D$60,"Fora Ponta")</f>
        <v>58</v>
      </c>
      <c r="J87" s="1260">
        <f t="shared" si="9"/>
        <v>4701</v>
      </c>
      <c r="K87" s="1260">
        <f t="shared" si="10"/>
        <v>5346</v>
      </c>
      <c r="L87" s="1260">
        <f>IF(MONTH(DataRevRea)=7,'Rede Básica + Ajuste'!J87,IF(G87&lt;$Q$69,(SUMIFS($E$18:$E$60,$B$18:$B$60,$D$76,$D$18:$D$60,"Ponta")),(SUMIFS($F$18:$F$60,$B$18:$B$60,$D$76,$D$18:$D$60,"Ponta"))))</f>
        <v>6781</v>
      </c>
      <c r="M87" s="1260">
        <f>IF(MONTH(DataRevRea)=7,'Rede Básica + Ajuste'!K87,IF(G87&lt;$Q$69,(SUMIFS($E$18:$E$60,$B$18:$B$60,$D$76,$D$18:$D$60,"Fora Ponta")),(SUMIFS($F$18:$F$60,$B$18:$B$60,$D$76,$D$18:$D$60,"Fora Ponta"))))</f>
        <v>7285</v>
      </c>
      <c r="N87" s="1261">
        <f t="shared" si="11"/>
        <v>208142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24" t="s">
        <v>1170</v>
      </c>
      <c r="K89" s="1825"/>
      <c r="L89" s="1826" t="s">
        <v>1171</v>
      </c>
      <c r="M89" s="1826"/>
      <c r="N89" s="278"/>
    </row>
    <row r="90" spans="2:50" ht="15.75">
      <c r="C90" s="1827" t="s">
        <v>1181</v>
      </c>
      <c r="D90" s="1828"/>
      <c r="F90" s="270"/>
      <c r="G90" s="1248" t="s">
        <v>646</v>
      </c>
      <c r="H90" s="1249" t="s">
        <v>1172</v>
      </c>
      <c r="I90" s="1249" t="s">
        <v>1173</v>
      </c>
      <c r="J90" s="1250" t="s">
        <v>1174</v>
      </c>
      <c r="K90" s="1250" t="s">
        <v>1175</v>
      </c>
      <c r="L90" s="1250" t="s">
        <v>1174</v>
      </c>
      <c r="M90" s="1250" t="s">
        <v>1175</v>
      </c>
      <c r="N90" s="277" t="s">
        <v>1176</v>
      </c>
    </row>
    <row r="91" spans="2:50" ht="15.75">
      <c r="C91" s="1245" t="s">
        <v>1177</v>
      </c>
      <c r="D91" s="1251" t="str">
        <f>IF(D18="Ponta",B18,0)</f>
        <v>FORQUILHINHA - 69 kV (A)</v>
      </c>
      <c r="E91" s="18"/>
      <c r="F91" s="270"/>
      <c r="G91" s="1252">
        <f>G76</f>
        <v>44440</v>
      </c>
      <c r="H91" s="272">
        <f>H76</f>
        <v>46</v>
      </c>
      <c r="I91" s="272">
        <f>I76</f>
        <v>56.5</v>
      </c>
      <c r="J91" s="272">
        <f>SUMIFS($G$18:$G$60,$B$18:$B$60,$D$76,$D$18:$D$60,"Ponta")</f>
        <v>945</v>
      </c>
      <c r="K91" s="272">
        <f>SUMIFS($G$18:$G$60,$B$18:$B$60,$D$76,$D$18:$D$60,"Fora Ponta")</f>
        <v>945</v>
      </c>
      <c r="L91" s="1253">
        <f>IF(MONTH(DataRevRea)=7,'Rede Básica + Ajuste'!J91,IF(G91&lt;$Q$69,(SUMIFS($G$18:$G$60,$B$18:$B$60,$D$91,$D$18:$D$60,"Ponta")),(SUMIFS($H$18:$H$60,$B$18:$B$60,$D$91,$D$18:$D$60,"Ponta"))))</f>
        <v>945</v>
      </c>
      <c r="M91" s="1253">
        <f>IF(MONTH(DataRevRea)=7,'Rede Básica + Ajuste'!K91,IF(G91&lt;$Q$69,(SUMIFS($G$18:$G$60,$B$18:$B$60,$D$91,$D$18:$D$60,"Fora Ponta")),(SUMIFS($H$18:$H$60,$B$18:$B$60,$D$91,$D$18:$D$60,"Fora Ponta"))))</f>
        <v>945</v>
      </c>
      <c r="N91" s="1254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46</v>
      </c>
      <c r="I92" s="272">
        <f t="shared" si="13"/>
        <v>56.5</v>
      </c>
      <c r="J92" s="272">
        <f t="shared" ref="J92:J102" si="14">SUMIFS($G$18:$G$60,$B$18:$B$60,$D$76,$D$18:$D$60,"Ponta")</f>
        <v>945</v>
      </c>
      <c r="K92" s="272">
        <f t="shared" ref="K92:K102" si="15">SUMIFS($G$18:$G$60,$B$18:$B$60,$D$76,$D$18:$D$60,"Fora Ponta")</f>
        <v>945</v>
      </c>
      <c r="L92" s="272">
        <f>IF(MONTH(DataRevRea)=7,'Rede Básica + Ajuste'!J92,IF(G92&lt;$Q$69,(SUMIFS($G$18:$G$60,$B$18:$B$60,$D$91,$D$18:$D$60,"Ponta")),(SUMIFS($H$18:$H$60,$B$18:$B$60,$D$91,$D$18:$D$60,"Ponta"))))</f>
        <v>945</v>
      </c>
      <c r="M92" s="272">
        <f>IF(MONTH(DataRevRea)=7,'Rede Básica + Ajuste'!K92,IF(G92&lt;$Q$69,(SUMIFS($G$18:$G$60,$B$18:$B$60,$D$91,$D$18:$D$60,"Fora Ponta")),(SUMIFS($H$18:$H$60,$B$18:$B$60,$D$91,$D$18:$D$60,"Fora Ponta"))))</f>
        <v>945</v>
      </c>
      <c r="N92" s="279">
        <f t="shared" ref="N92:N102" si="16">+(H92*(L92-J92))+(I92*(M92-K92))</f>
        <v>0</v>
      </c>
    </row>
    <row r="93" spans="2:50" ht="15.75">
      <c r="C93" s="273"/>
      <c r="D93" s="1255" t="s">
        <v>1178</v>
      </c>
      <c r="E93" s="1256" t="s">
        <v>1179</v>
      </c>
      <c r="F93" s="270"/>
      <c r="G93" s="271">
        <f t="shared" si="13"/>
        <v>44501</v>
      </c>
      <c r="H93" s="272">
        <f t="shared" si="13"/>
        <v>49</v>
      </c>
      <c r="I93" s="272">
        <f t="shared" si="13"/>
        <v>64</v>
      </c>
      <c r="J93" s="272">
        <f t="shared" si="14"/>
        <v>945</v>
      </c>
      <c r="K93" s="272">
        <f t="shared" si="15"/>
        <v>945</v>
      </c>
      <c r="L93" s="272">
        <f>IF(MONTH(DataRevRea)=7,'Rede Básica + Ajuste'!J93,IF(G93&lt;$Q$69,(SUMIFS($G$18:$G$60,$B$18:$B$60,$D$91,$D$18:$D$60,"Ponta")),(SUMIFS($H$18:$H$60,$B$18:$B$60,$D$91,$D$18:$D$60,"Ponta"))))</f>
        <v>945</v>
      </c>
      <c r="M93" s="272">
        <f>IF(MONTH(DataRevRea)=7,'Rede Básica + Ajuste'!K93,IF(G93&lt;$Q$69,(SUMIFS($G$18:$G$60,$B$18:$B$60,$D$91,$D$18:$D$60,"Fora Ponta")),(SUMIFS($H$18:$H$60,$B$18:$B$60,$D$91,$D$18:$D$60,"Fora Ponta"))))</f>
        <v>945</v>
      </c>
      <c r="N93" s="279">
        <f t="shared" si="16"/>
        <v>0</v>
      </c>
    </row>
    <row r="94" spans="2:50" ht="15.75">
      <c r="C94" s="1257" t="str">
        <f>C79</f>
        <v>Cobertura 2021</v>
      </c>
      <c r="D94" s="1258">
        <f>SUMPRODUCT(H91:H102,J91:J102)</f>
        <v>549990</v>
      </c>
      <c r="E94" s="1258">
        <f>SUMPRODUCT(I91:I102,K91:K102)</f>
        <v>700245</v>
      </c>
      <c r="F94" s="270"/>
      <c r="G94" s="271">
        <f t="shared" si="13"/>
        <v>44531</v>
      </c>
      <c r="H94" s="272">
        <f t="shared" si="13"/>
        <v>49</v>
      </c>
      <c r="I94" s="272">
        <f t="shared" si="13"/>
        <v>64</v>
      </c>
      <c r="J94" s="272">
        <f t="shared" si="14"/>
        <v>945</v>
      </c>
      <c r="K94" s="272">
        <f t="shared" si="15"/>
        <v>945</v>
      </c>
      <c r="L94" s="272">
        <f>IF(MONTH(DataRevRea)=7,'Rede Básica + Ajuste'!J94,IF(G94&lt;$Q$69,(SUMIFS($G$18:$G$60,$B$18:$B$60,$D$91,$D$18:$D$60,"Ponta")),(SUMIFS($H$18:$H$60,$B$18:$B$60,$D$91,$D$18:$D$60,"Ponta"))))</f>
        <v>945</v>
      </c>
      <c r="M94" s="272">
        <f>IF(MONTH(DataRevRea)=7,'Rede Básica + Ajuste'!K94,IF(G94&lt;$Q$69,(SUMIFS($G$18:$G$60,$B$18:$B$60,$D$91,$D$18:$D$60,"Fora Ponta")),(SUMIFS($H$18:$H$60,$B$18:$B$60,$D$91,$D$18:$D$60,"Fora Ponta"))))</f>
        <v>945</v>
      </c>
      <c r="N94" s="279">
        <f t="shared" si="16"/>
        <v>0</v>
      </c>
    </row>
    <row r="95" spans="2:50" ht="15.75">
      <c r="C95" s="1257" t="s">
        <v>1180</v>
      </c>
      <c r="D95" s="1258">
        <f>SUMPRODUCT(H91:H102,L91:L102)</f>
        <v>554130</v>
      </c>
      <c r="E95" s="1258">
        <f>SUMPRODUCT(I91:I102,M91:M102)</f>
        <v>705465</v>
      </c>
      <c r="F95" s="270"/>
      <c r="G95" s="271">
        <f t="shared" si="13"/>
        <v>44562</v>
      </c>
      <c r="H95" s="272">
        <f t="shared" si="13"/>
        <v>50</v>
      </c>
      <c r="I95" s="272">
        <f t="shared" si="13"/>
        <v>64</v>
      </c>
      <c r="J95" s="272">
        <f t="shared" si="14"/>
        <v>945</v>
      </c>
      <c r="K95" s="272">
        <f t="shared" si="15"/>
        <v>945</v>
      </c>
      <c r="L95" s="272">
        <f>IF(MONTH(DataRevRea)=7,'Rede Básica + Ajuste'!J95,IF(G95&lt;$Q$69,(SUMIFS($G$18:$G$60,$B$18:$B$60,$D$91,$D$18:$D$60,"Ponta")),(SUMIFS($H$18:$H$60,$B$18:$B$60,$D$91,$D$18:$D$60,"Ponta"))))</f>
        <v>945</v>
      </c>
      <c r="M95" s="272">
        <f>IF(MONTH(DataRevRea)=7,'Rede Básica + Ajuste'!K95,IF(G95&lt;$Q$69,(SUMIFS($G$18:$G$60,$B$18:$B$60,$D$91,$D$18:$D$60,"Fora Ponta")),(SUMIFS($H$18:$H$60,$B$18:$B$60,$D$91,$D$18:$D$60,"Fora Ponta"))))</f>
        <v>945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50</v>
      </c>
      <c r="I96" s="272">
        <f t="shared" si="13"/>
        <v>64</v>
      </c>
      <c r="J96" s="272">
        <f t="shared" si="14"/>
        <v>945</v>
      </c>
      <c r="K96" s="272">
        <f t="shared" si="15"/>
        <v>945</v>
      </c>
      <c r="L96" s="272">
        <f>IF(MONTH(DataRevRea)=7,'Rede Básica + Ajuste'!J96,IF(G96&lt;$Q$69,(SUMIFS($G$18:$G$60,$B$18:$B$60,$D$91,$D$18:$D$60,"Ponta")),(SUMIFS($H$18:$H$60,$B$18:$B$60,$D$91,$D$18:$D$60,"Ponta"))))</f>
        <v>945</v>
      </c>
      <c r="M96" s="272">
        <f>IF(MONTH(DataRevRea)=7,'Rede Básica + Ajuste'!K96,IF(G96&lt;$Q$69,(SUMIFS($G$18:$G$60,$B$18:$B$60,$D$91,$D$18:$D$60,"Fora Ponta")),(SUMIFS($H$18:$H$60,$B$18:$B$60,$D$91,$D$18:$D$60,"Fora Ponta"))))</f>
        <v>945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50</v>
      </c>
      <c r="I97" s="272">
        <f t="shared" si="13"/>
        <v>64</v>
      </c>
      <c r="J97" s="272">
        <f t="shared" si="14"/>
        <v>945</v>
      </c>
      <c r="K97" s="272">
        <f t="shared" si="15"/>
        <v>945</v>
      </c>
      <c r="L97" s="272">
        <f>IF(MONTH(DataRevRea)=7,'Rede Básica + Ajuste'!J97,IF(G97&lt;$Q$69,(SUMIFS($G$18:$G$60,$B$18:$B$60,$D$91,$D$18:$D$60,"Ponta")),(SUMIFS($H$18:$H$60,$B$18:$B$60,$D$91,$D$18:$D$60,"Ponta"))))</f>
        <v>945</v>
      </c>
      <c r="M97" s="272">
        <f>IF(MONTH(DataRevRea)=7,'Rede Básica + Ajuste'!K97,IF(G97&lt;$Q$69,(SUMIFS($G$18:$G$60,$B$18:$B$60,$D$91,$D$18:$D$60,"Fora Ponta")),(SUMIFS($H$18:$H$60,$B$18:$B$60,$D$91,$D$18:$D$60,"Fora Ponta"))))</f>
        <v>945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50</v>
      </c>
      <c r="I98" s="272">
        <f t="shared" si="13"/>
        <v>64</v>
      </c>
      <c r="J98" s="272">
        <f t="shared" si="14"/>
        <v>945</v>
      </c>
      <c r="K98" s="272">
        <f t="shared" si="15"/>
        <v>945</v>
      </c>
      <c r="L98" s="272">
        <f>IF(MONTH(DataRevRea)=7,'Rede Básica + Ajuste'!J98,IF(G98&lt;$Q$69,(SUMIFS($G$18:$G$60,$B$18:$B$60,$D$91,$D$18:$D$60,"Ponta")),(SUMIFS($H$18:$H$60,$B$18:$B$60,$D$91,$D$18:$D$60,"Ponta"))))</f>
        <v>945</v>
      </c>
      <c r="M98" s="272">
        <f>IF(MONTH(DataRevRea)=7,'Rede Básica + Ajuste'!K98,IF(G98&lt;$Q$69,(SUMIFS($G$18:$G$60,$B$18:$B$60,$D$91,$D$18:$D$60,"Fora Ponta")),(SUMIFS($H$18:$H$60,$B$18:$B$60,$D$91,$D$18:$D$60,"Fora Ponta"))))</f>
        <v>945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50</v>
      </c>
      <c r="I99" s="272">
        <f t="shared" si="13"/>
        <v>64</v>
      </c>
      <c r="J99" s="272">
        <f t="shared" si="14"/>
        <v>945</v>
      </c>
      <c r="K99" s="272">
        <f t="shared" si="15"/>
        <v>945</v>
      </c>
      <c r="L99" s="272">
        <f>IF(MONTH(DataRevRea)=7,'Rede Básica + Ajuste'!J99,IF(G99&lt;$Q$69,(SUMIFS($G$18:$G$60,$B$18:$B$60,$D$91,$D$18:$D$60,"Ponta")),(SUMIFS($H$18:$H$60,$B$18:$B$60,$D$91,$D$18:$D$60,"Ponta"))))</f>
        <v>945</v>
      </c>
      <c r="M99" s="272">
        <f>IF(MONTH(DataRevRea)=7,'Rede Básica + Ajuste'!K99,IF(G99&lt;$Q$69,(SUMIFS($G$18:$G$60,$B$18:$B$60,$D$91,$D$18:$D$60,"Fora Ponta")),(SUMIFS($H$18:$H$60,$B$18:$B$60,$D$91,$D$18:$D$60,"Fora Ponta"))))</f>
        <v>945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50</v>
      </c>
      <c r="I100" s="272">
        <f t="shared" si="13"/>
        <v>64</v>
      </c>
      <c r="J100" s="272">
        <f t="shared" si="14"/>
        <v>945</v>
      </c>
      <c r="K100" s="272">
        <f t="shared" si="15"/>
        <v>945</v>
      </c>
      <c r="L100" s="272">
        <f>IF(MONTH(DataRevRea)=7,'Rede Básica + Ajuste'!J100,IF(G100&lt;$Q$69,(SUMIFS($G$18:$G$60,$B$18:$B$60,$D$91,$D$18:$D$60,"Ponta")),(SUMIFS($H$18:$H$60,$B$18:$B$60,$D$91,$D$18:$D$60,"Ponta"))))</f>
        <v>945</v>
      </c>
      <c r="M100" s="272">
        <f>IF(MONTH(DataRevRea)=7,'Rede Básica + Ajuste'!K100,IF(G100&lt;$Q$69,(SUMIFS($G$18:$G$60,$B$18:$B$60,$D$91,$D$18:$D$60,"Fora Ponta")),(SUMIFS($H$18:$H$60,$B$18:$B$60,$D$91,$D$18:$D$60,"Fora Ponta"))))</f>
        <v>945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46</v>
      </c>
      <c r="I101" s="272">
        <f t="shared" si="13"/>
        <v>58</v>
      </c>
      <c r="J101" s="272">
        <f t="shared" si="14"/>
        <v>945</v>
      </c>
      <c r="K101" s="272">
        <f t="shared" si="15"/>
        <v>945</v>
      </c>
      <c r="L101" s="272">
        <f>IF(MONTH(DataRevRea)=7,'Rede Básica + Ajuste'!J101,IF(G101&lt;$Q$69,(SUMIFS($G$18:$G$60,$B$18:$B$60,$D$91,$D$18:$D$60,"Ponta")),(SUMIFS($H$18:$H$60,$B$18:$B$60,$D$91,$D$18:$D$60,"Ponta"))))</f>
        <v>990</v>
      </c>
      <c r="M101" s="272">
        <f>IF(MONTH(DataRevRea)=7,'Rede Básica + Ajuste'!K101,IF(G101&lt;$Q$69,(SUMIFS($G$18:$G$60,$B$18:$B$60,$D$91,$D$18:$D$60,"Fora Ponta")),(SUMIFS($H$18:$H$60,$B$18:$B$60,$D$91,$D$18:$D$60,"Fora Ponta"))))</f>
        <v>990</v>
      </c>
      <c r="N101" s="279">
        <f t="shared" si="16"/>
        <v>4680</v>
      </c>
    </row>
    <row r="102" spans="3:14" ht="15.75">
      <c r="C102" s="274"/>
      <c r="D102" s="275"/>
      <c r="E102" s="274"/>
      <c r="F102" s="270"/>
      <c r="G102" s="1259">
        <f t="shared" si="13"/>
        <v>44774</v>
      </c>
      <c r="H102" s="1260">
        <f t="shared" si="13"/>
        <v>46</v>
      </c>
      <c r="I102" s="1260">
        <f t="shared" si="13"/>
        <v>58</v>
      </c>
      <c r="J102" s="1260">
        <f t="shared" si="14"/>
        <v>945</v>
      </c>
      <c r="K102" s="1260">
        <f t="shared" si="15"/>
        <v>945</v>
      </c>
      <c r="L102" s="1260">
        <f>IF(MONTH(DataRevRea)=7,'Rede Básica + Ajuste'!J102,IF(G102&lt;$Q$69,(SUMIFS($G$18:$G$60,$B$18:$B$60,$D$91,$D$18:$D$60,"Ponta")),(SUMIFS($H$18:$H$60,$B$18:$B$60,$D$91,$D$18:$D$60,"Ponta"))))</f>
        <v>990</v>
      </c>
      <c r="M102" s="1260">
        <f>IF(MONTH(DataRevRea)=7,'Rede Básica + Ajuste'!K102,IF(G102&lt;$Q$69,(SUMIFS($G$18:$G$60,$B$18:$B$60,$D$91,$D$18:$D$60,"Fora Ponta")),(SUMIFS($H$18:$H$60,$B$18:$B$60,$D$91,$D$18:$D$60,"Fora Ponta"))))</f>
        <v>990</v>
      </c>
      <c r="N102" s="1261">
        <f t="shared" si="16"/>
        <v>4680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24" t="s">
        <v>1170</v>
      </c>
      <c r="K104" s="1825"/>
      <c r="L104" s="1826" t="s">
        <v>1171</v>
      </c>
      <c r="M104" s="1826"/>
      <c r="N104" s="278"/>
    </row>
    <row r="105" spans="3:14" ht="15.75">
      <c r="C105" s="1827" t="s">
        <v>1153</v>
      </c>
      <c r="D105" s="1828"/>
      <c r="F105" s="270"/>
      <c r="G105" s="1248" t="s">
        <v>646</v>
      </c>
      <c r="H105" s="1249" t="s">
        <v>1172</v>
      </c>
      <c r="I105" s="1249" t="s">
        <v>1173</v>
      </c>
      <c r="J105" s="1250" t="s">
        <v>1174</v>
      </c>
      <c r="K105" s="1250" t="s">
        <v>1175</v>
      </c>
      <c r="L105" s="1250" t="s">
        <v>1174</v>
      </c>
      <c r="M105" s="1250" t="s">
        <v>1175</v>
      </c>
      <c r="N105" s="277" t="s">
        <v>1176</v>
      </c>
    </row>
    <row r="106" spans="3:14" ht="15.75">
      <c r="C106" s="1245" t="s">
        <v>1177</v>
      </c>
      <c r="D106" s="1262">
        <f>IF(D19="Ponta",B19,0)</f>
        <v>0</v>
      </c>
      <c r="E106" s="18"/>
      <c r="F106" s="270"/>
      <c r="G106" s="1252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3">
        <f>IF(MONTH(DataRevRea)=7,'Rede Básica + Ajuste'!J106,IF(G106&lt;$Q$69,(SUMIFS($E$18:$E$60,$B$18:$B$60,$D$106,$D$18:$D$60,"Ponta")),(SUMIFS($F$18:$F$60,$B$18:$B$60,$D$106,$D$18:$D$60,"Ponta"))))</f>
        <v>0</v>
      </c>
      <c r="M106" s="1253">
        <f>IF(MONTH(DataRevRea)=7,'Rede Básica + Ajuste'!K106,IF(G106&lt;$Q$69,(SUMIFS($E$18:$E$60,$B$18:$B$60,$D$106,$D$18:$D$60,"Fora Ponta")),(SUMIFS($F$18:$F$60,$B$18:$B$60,$D$106,$D$18:$D$60,"Fora Ponta"))))</f>
        <v>0</v>
      </c>
      <c r="N106" s="1254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5" t="s">
        <v>1178</v>
      </c>
      <c r="E108" s="1256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7" t="str">
        <f>C94</f>
        <v>Cobertura 2021</v>
      </c>
      <c r="D109" s="1258">
        <f>SUMPRODUCT(H106:H117,J106:J117)</f>
        <v>0</v>
      </c>
      <c r="E109" s="1258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7" t="s">
        <v>1180</v>
      </c>
      <c r="D110" s="1258">
        <f>SUMPRODUCT(H106:H117,L106:L117)</f>
        <v>0</v>
      </c>
      <c r="E110" s="1258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9">
        <f t="shared" si="17"/>
        <v>44774</v>
      </c>
      <c r="H117" s="1260">
        <f>SUMIFS($Y$18:$Y$60,$B$18:$B$60,$D$106,$D$18:$D$60,"Ponta")</f>
        <v>0</v>
      </c>
      <c r="I117" s="1260">
        <f>SUMIFS($Y$18:$Y$60,$B$18:$B$60,$D$106,$D$18:$D$60,"Fora Ponta")</f>
        <v>0</v>
      </c>
      <c r="J117" s="1260">
        <f t="shared" si="18"/>
        <v>0</v>
      </c>
      <c r="K117" s="1260">
        <f t="shared" si="19"/>
        <v>0</v>
      </c>
      <c r="L117" s="1260">
        <f>IF(MONTH(DataRevRea)=7,'Rede Básica + Ajuste'!J117,IF(G117&lt;$Q$69,(SUMIFS($E$18:$E$60,$B$18:$B$60,$D$106,$D$18:$D$60,"Ponta")),(SUMIFS($F$18:$F$60,$B$18:$B$60,$D$106,$D$18:$D$60,"Ponta"))))</f>
        <v>0</v>
      </c>
      <c r="M117" s="1260">
        <f>IF(MONTH(DataRevRea)=7,'Rede Básica + Ajuste'!K117,IF(G117&lt;$Q$69,(SUMIFS($E$18:$E$60,$B$18:$B$60,$D$106,$D$18:$D$60,"Fora Ponta")),(SUMIFS($F$18:$F$60,$B$18:$B$60,$D$106,$D$18:$D$60,"Fora Ponta"))))</f>
        <v>0</v>
      </c>
      <c r="N117" s="1261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24" t="s">
        <v>1170</v>
      </c>
      <c r="K119" s="1825"/>
      <c r="L119" s="1826" t="s">
        <v>1171</v>
      </c>
      <c r="M119" s="1826"/>
      <c r="N119" s="278"/>
    </row>
    <row r="120" spans="3:14" ht="15.75">
      <c r="C120" s="1827" t="s">
        <v>1181</v>
      </c>
      <c r="D120" s="1828"/>
      <c r="F120" s="270"/>
      <c r="G120" s="1248" t="s">
        <v>646</v>
      </c>
      <c r="H120" s="1249" t="s">
        <v>1172</v>
      </c>
      <c r="I120" s="1249" t="s">
        <v>1173</v>
      </c>
      <c r="J120" s="1250" t="s">
        <v>1174</v>
      </c>
      <c r="K120" s="1250" t="s">
        <v>1175</v>
      </c>
      <c r="L120" s="1250" t="s">
        <v>1174</v>
      </c>
      <c r="M120" s="1250" t="s">
        <v>1175</v>
      </c>
      <c r="N120" s="277" t="s">
        <v>1176</v>
      </c>
    </row>
    <row r="121" spans="3:14" ht="15.75">
      <c r="C121" s="1245" t="s">
        <v>1177</v>
      </c>
      <c r="D121" s="1262">
        <f>IF(D19="Ponta",B19,0)</f>
        <v>0</v>
      </c>
      <c r="E121" s="18"/>
      <c r="F121" s="270"/>
      <c r="G121" s="1252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3">
        <f>IF(MONTH(DataRevRea)=7,'Rede Básica + Ajuste'!J121,IF(G121&lt;$Q$69,(SUMIFS($G$18:$G$60,$B$18:$B$60,$D$121,$D$18:$D$60,"Ponta")),(SUMIFS($H$18:$H$60,$B$18:$B$60,$D$121,$D$18:$D$60,"Ponta"))))</f>
        <v>0</v>
      </c>
      <c r="M121" s="1253">
        <f>IF(MONTH(DataRevRea)=7,'Rede Básica + Ajuste'!K121,IF(G121&lt;$Q$69,(SUMIFS($G$18:$G$60,$B$18:$B$60,$D$121,$D$18:$D$60,"Fora Ponta")),(SUMIFS($H$18:$H$60,$B$18:$B$60,$D$121,$D$18:$D$60,"Fora Ponta"))))</f>
        <v>0</v>
      </c>
      <c r="N121" s="1254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5" t="s">
        <v>1178</v>
      </c>
      <c r="E123" s="1256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7" t="str">
        <f>C109</f>
        <v>Cobertura 2021</v>
      </c>
      <c r="D124" s="1258">
        <f>SUMPRODUCT(H121:H132,J121:J132)</f>
        <v>0</v>
      </c>
      <c r="E124" s="1258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7" t="s">
        <v>1180</v>
      </c>
      <c r="D125" s="1258">
        <f>SUMPRODUCT(H121:H132,L121:L132)</f>
        <v>0</v>
      </c>
      <c r="E125" s="1258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9">
        <f t="shared" si="21"/>
        <v>44774</v>
      </c>
      <c r="H132" s="1260">
        <f t="shared" si="21"/>
        <v>0</v>
      </c>
      <c r="I132" s="1260">
        <f t="shared" si="21"/>
        <v>0</v>
      </c>
      <c r="J132" s="1260">
        <f t="shared" si="22"/>
        <v>0</v>
      </c>
      <c r="K132" s="1260">
        <f t="shared" si="23"/>
        <v>0</v>
      </c>
      <c r="L132" s="1260">
        <f>IF(MONTH(DataRevRea)=7,'Rede Básica + Ajuste'!J132,IF(G132&lt;$Q$69,(SUMIFS($G$18:$G$60,$B$18:$B$60,$D$121,$D$18:$D$60,"Ponta")),(SUMIFS($H$18:$H$60,$B$18:$B$60,$D$121,$D$18:$D$60,"Ponta"))))</f>
        <v>0</v>
      </c>
      <c r="M132" s="1260">
        <f>IF(MONTH(DataRevRea)=7,'Rede Básica + Ajuste'!K132,IF(G132&lt;$Q$69,(SUMIFS($G$18:$G$60,$B$18:$B$60,$D$121,$D$18:$D$60,"Fora Ponta")),(SUMIFS($H$18:$H$60,$B$18:$B$60,$D$121,$D$18:$D$60,"Fora Ponta"))))</f>
        <v>0</v>
      </c>
      <c r="N132" s="1261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24" t="s">
        <v>1170</v>
      </c>
      <c r="K134" s="1825"/>
      <c r="L134" s="1826" t="s">
        <v>1171</v>
      </c>
      <c r="M134" s="1826"/>
      <c r="N134" s="278"/>
    </row>
    <row r="135" spans="3:14" ht="15.75">
      <c r="C135" s="1827" t="s">
        <v>1153</v>
      </c>
      <c r="D135" s="1828"/>
      <c r="F135" s="270"/>
      <c r="G135" s="1248" t="s">
        <v>646</v>
      </c>
      <c r="H135" s="1249" t="s">
        <v>1172</v>
      </c>
      <c r="I135" s="1249" t="s">
        <v>1173</v>
      </c>
      <c r="J135" s="1250" t="s">
        <v>1174</v>
      </c>
      <c r="K135" s="1250" t="s">
        <v>1175</v>
      </c>
      <c r="L135" s="1250" t="s">
        <v>1174</v>
      </c>
      <c r="M135" s="1250" t="s">
        <v>1175</v>
      </c>
      <c r="N135" s="277" t="s">
        <v>1176</v>
      </c>
    </row>
    <row r="136" spans="3:14" ht="15.75">
      <c r="C136" s="1245" t="s">
        <v>1177</v>
      </c>
      <c r="D136" s="1262">
        <f>IF(D20="Ponta",B20,0)</f>
        <v>0</v>
      </c>
      <c r="E136" s="18"/>
      <c r="F136" s="270"/>
      <c r="G136" s="1252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3">
        <f>IF(MONTH(DataRevRea)=7,'Rede Básica + Ajuste'!J136,IF(G136&lt;$Q$69,(SUMIFS($E$18:$E$60,$B$18:$B$60,$D$136,$D$18:$D$60,"Ponta")),(SUMIFS($F$18:$F$60,$B$18:$B$60,$D$136,$D$18:$D$60,"Ponta"))))</f>
        <v>0</v>
      </c>
      <c r="M136" s="1253">
        <f>IF(MONTH(DataRevRea)=7,'Rede Básica + Ajuste'!K136,IF(G136&lt;$Q$69,(SUMIFS($E$18:$E$60,$B$18:$B$60,$D$136,$D$18:$D$60,"Fora Ponta")),(SUMIFS($F$18:$F$60,$B$18:$B$60,$D$136,$D$18:$D$60,"Fora Ponta"))))</f>
        <v>0</v>
      </c>
      <c r="N136" s="1254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5" t="s">
        <v>1178</v>
      </c>
      <c r="E138" s="1256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7" t="str">
        <f>C124</f>
        <v>Cobertura 2021</v>
      </c>
      <c r="D139" s="1258">
        <f>SUMPRODUCT(H136:H147,J136:J147)</f>
        <v>0</v>
      </c>
      <c r="E139" s="1258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7" t="s">
        <v>1180</v>
      </c>
      <c r="D140" s="1258">
        <f>SUMPRODUCT(H136:H147,L136:L147)</f>
        <v>0</v>
      </c>
      <c r="E140" s="1258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9">
        <f t="shared" si="25"/>
        <v>44774</v>
      </c>
      <c r="H147" s="1260">
        <f>SUMIFS($Y$18:$Y$60,$B$18:$B$60,$D$136,$D$18:$D$60,"Ponta")</f>
        <v>0</v>
      </c>
      <c r="I147" s="1260">
        <f>SUMIFS($Y$18:$Y$60,$B$18:$B$60,$D$136,$D$18:$D$60,"Fora Ponta")</f>
        <v>0</v>
      </c>
      <c r="J147" s="1260">
        <f t="shared" si="26"/>
        <v>0</v>
      </c>
      <c r="K147" s="1260">
        <f t="shared" si="27"/>
        <v>0</v>
      </c>
      <c r="L147" s="1260">
        <f>IF(MONTH(DataRevRea)=7,'Rede Básica + Ajuste'!J147,IF(G147&lt;$Q$69,(SUMIFS($E$18:$E$60,$B$18:$B$60,$D$136,$D$18:$D$60,"Ponta")),(SUMIFS($F$18:$F$60,$B$18:$B$60,$D$136,$D$18:$D$60,"Ponta"))))</f>
        <v>0</v>
      </c>
      <c r="M147" s="1260">
        <f>IF(MONTH(DataRevRea)=7,'Rede Básica + Ajuste'!K147,IF(G147&lt;$Q$69,(SUMIFS($E$18:$E$60,$B$18:$B$60,$D$136,$D$18:$D$60,"Fora Ponta")),(SUMIFS($F$18:$F$60,$B$18:$B$60,$D$136,$D$18:$D$60,"Fora Ponta"))))</f>
        <v>0</v>
      </c>
      <c r="N147" s="1261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24" t="s">
        <v>1170</v>
      </c>
      <c r="K149" s="1825"/>
      <c r="L149" s="1826" t="s">
        <v>1171</v>
      </c>
      <c r="M149" s="1826"/>
      <c r="N149" s="278"/>
    </row>
    <row r="150" spans="3:14" ht="15.75">
      <c r="C150" s="1827" t="s">
        <v>1181</v>
      </c>
      <c r="D150" s="1828"/>
      <c r="F150" s="270"/>
      <c r="G150" s="1248" t="s">
        <v>646</v>
      </c>
      <c r="H150" s="1249" t="s">
        <v>1172</v>
      </c>
      <c r="I150" s="1249" t="s">
        <v>1173</v>
      </c>
      <c r="J150" s="1250" t="s">
        <v>1174</v>
      </c>
      <c r="K150" s="1250" t="s">
        <v>1175</v>
      </c>
      <c r="L150" s="1250" t="s">
        <v>1174</v>
      </c>
      <c r="M150" s="1250" t="s">
        <v>1175</v>
      </c>
      <c r="N150" s="277" t="s">
        <v>1176</v>
      </c>
    </row>
    <row r="151" spans="3:14" ht="15.75">
      <c r="C151" s="1245" t="s">
        <v>1177</v>
      </c>
      <c r="D151" s="1262">
        <f>IF(D20="Ponta",B20,0)</f>
        <v>0</v>
      </c>
      <c r="E151" s="18"/>
      <c r="F151" s="270"/>
      <c r="G151" s="1252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3">
        <f>IF(MONTH(DataRevRea)=7,'Rede Básica + Ajuste'!J151,IF(G151&lt;$Q$69,(SUMIFS($G$18:$G$60,$B$18:$B$60,$D$151,$D$18:$D$60,"Ponta")),(SUMIFS($H$18:$H$60,$B$18:$B$60,$D$151,$D$18:$D$60,"Ponta"))))</f>
        <v>0</v>
      </c>
      <c r="M151" s="1253">
        <f>IF(MONTH(DataRevRea)=7,'Rede Básica + Ajuste'!K151,IF(G151&lt;$Q$69,(SUMIFS($G$18:$G$60,$B$18:$B$60,$D$151,$D$18:$D$60,"Fora Ponta")),(SUMIFS($H$18:$H$60,$B$18:$B$60,$D$151,$D$18:$D$60,"Fora Ponta"))))</f>
        <v>0</v>
      </c>
      <c r="N151" s="1254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5" t="s">
        <v>1178</v>
      </c>
      <c r="E153" s="1256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7" t="str">
        <f>C139</f>
        <v>Cobertura 2021</v>
      </c>
      <c r="D154" s="1258">
        <f>SUMPRODUCT(H151:H162,J151:J162)</f>
        <v>0</v>
      </c>
      <c r="E154" s="1258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7" t="s">
        <v>1180</v>
      </c>
      <c r="D155" s="1258">
        <f>SUMPRODUCT(H151:H162,L151:L162)</f>
        <v>0</v>
      </c>
      <c r="E155" s="1258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9">
        <f t="shared" si="29"/>
        <v>44774</v>
      </c>
      <c r="H162" s="1260">
        <f t="shared" si="29"/>
        <v>0</v>
      </c>
      <c r="I162" s="1260">
        <f t="shared" si="29"/>
        <v>0</v>
      </c>
      <c r="J162" s="1260">
        <f t="shared" si="30"/>
        <v>0</v>
      </c>
      <c r="K162" s="1260">
        <f t="shared" si="31"/>
        <v>0</v>
      </c>
      <c r="L162" s="1260">
        <f>IF(MONTH(DataRevRea)=7,'Rede Básica + Ajuste'!J162,IF(G162&lt;$Q$69,(SUMIFS($G$18:$G$60,$B$18:$B$60,$D$151,$D$18:$D$60,"Ponta")),(SUMIFS($H$18:$H$60,$B$18:$B$60,$D$151,$D$18:$D$60,"Ponta"))))</f>
        <v>0</v>
      </c>
      <c r="M162" s="1260">
        <f>IF(MONTH(DataRevRea)=7,'Rede Básica + Ajuste'!K162,IF(G162&lt;$Q$69,(SUMIFS($G$18:$G$60,$B$18:$B$60,$D$151,$D$18:$D$60,"Fora Ponta")),(SUMIFS($H$18:$H$60,$B$18:$B$60,$D$151,$D$18:$D$60,"Fora Ponta"))))</f>
        <v>0</v>
      </c>
      <c r="N162" s="1261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24" t="s">
        <v>1170</v>
      </c>
      <c r="K164" s="1825"/>
      <c r="L164" s="1826" t="s">
        <v>1171</v>
      </c>
      <c r="M164" s="1826"/>
      <c r="N164" s="278"/>
    </row>
    <row r="165" spans="3:14" ht="15.75">
      <c r="C165" s="1827" t="s">
        <v>1153</v>
      </c>
      <c r="D165" s="1828"/>
      <c r="F165" s="270"/>
      <c r="G165" s="1248" t="s">
        <v>646</v>
      </c>
      <c r="H165" s="1249" t="s">
        <v>1172</v>
      </c>
      <c r="I165" s="1249" t="s">
        <v>1173</v>
      </c>
      <c r="J165" s="1250" t="s">
        <v>1174</v>
      </c>
      <c r="K165" s="1250" t="s">
        <v>1175</v>
      </c>
      <c r="L165" s="1250" t="s">
        <v>1174</v>
      </c>
      <c r="M165" s="1250" t="s">
        <v>1175</v>
      </c>
      <c r="N165" s="277" t="s">
        <v>1176</v>
      </c>
    </row>
    <row r="166" spans="3:14" ht="15.75">
      <c r="C166" s="1245" t="s">
        <v>1177</v>
      </c>
      <c r="D166" s="1262">
        <f>IF(D21="Ponta",B21,0)</f>
        <v>0</v>
      </c>
      <c r="E166" s="18"/>
      <c r="F166" s="270"/>
      <c r="G166" s="1252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3">
        <f>IF(MONTH(DataRevRea)=7,'Rede Básica + Ajuste'!J166,IF(G166&lt;$Q$69,(SUMIFS($E$18:$E$60,$B$18:$B$60,$D$166,$D$18:$D$60,"Ponta")),(SUMIFS($F$18:$F$60,$B$18:$B$60,$D$166,$D$18:$D$60,"Ponta"))))</f>
        <v>0</v>
      </c>
      <c r="M166" s="1253">
        <f>IF(MONTH(DataRevRea)=7,'Rede Básica + Ajuste'!K166,IF(G166&lt;$Q$69,(SUMIFS($E$18:$E$60,$B$18:$B$60,$D$166,$D$18:$D$60,"Fora Ponta")),(SUMIFS($F$18:$F$60,$B$18:$B$60,$D$166,$D$18:$D$60,"Fora Ponta"))))</f>
        <v>0</v>
      </c>
      <c r="N166" s="1254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5" t="s">
        <v>1178</v>
      </c>
      <c r="E168" s="1256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7" t="str">
        <f>C154</f>
        <v>Cobertura 2021</v>
      </c>
      <c r="D169" s="1258">
        <f>SUMPRODUCT(H166:H177,J166:J177)</f>
        <v>0</v>
      </c>
      <c r="E169" s="1258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7" t="s">
        <v>1180</v>
      </c>
      <c r="D170" s="1258">
        <f>SUMPRODUCT(H166:H177,L166:L177)</f>
        <v>0</v>
      </c>
      <c r="E170" s="1258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9">
        <f t="shared" si="33"/>
        <v>44774</v>
      </c>
      <c r="H177" s="1260">
        <f>SUMIFS($Y$18:$Y$60,$B$18:$B$60,$D$166,$D$18:$D$60,"Ponta")</f>
        <v>0</v>
      </c>
      <c r="I177" s="1260">
        <f>SUMIFS($Y$18:$Y$60,$B$18:$B$60,$D$166,$D$18:$D$60,"Fora Ponta")</f>
        <v>0</v>
      </c>
      <c r="J177" s="1260">
        <f t="shared" si="34"/>
        <v>0</v>
      </c>
      <c r="K177" s="1260">
        <f t="shared" si="35"/>
        <v>0</v>
      </c>
      <c r="L177" s="1260">
        <f>IF(MONTH(DataRevRea)=7,'Rede Básica + Ajuste'!J177,IF(G177&lt;$Q$69,(SUMIFS($E$18:$E$60,$B$18:$B$60,$D$166,$D$18:$D$60,"Ponta")),(SUMIFS($F$18:$F$60,$B$18:$B$60,$D$166,$D$18:$D$60,"Ponta"))))</f>
        <v>0</v>
      </c>
      <c r="M177" s="1260">
        <f>IF(MONTH(DataRevRea)=7,'Rede Básica + Ajuste'!K177,IF(G177&lt;$Q$69,(SUMIFS($E$18:$E$60,$B$18:$B$60,$D$166,$D$18:$D$60,"Fora Ponta")),(SUMIFS($F$18:$F$60,$B$18:$B$60,$D$166,$D$18:$D$60,"Fora Ponta"))))</f>
        <v>0</v>
      </c>
      <c r="N177" s="1261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24" t="s">
        <v>1170</v>
      </c>
      <c r="K179" s="1825"/>
      <c r="L179" s="1826" t="s">
        <v>1171</v>
      </c>
      <c r="M179" s="1826"/>
      <c r="N179" s="278"/>
    </row>
    <row r="180" spans="3:14" ht="15.75">
      <c r="C180" s="1827" t="s">
        <v>1181</v>
      </c>
      <c r="D180" s="1828"/>
      <c r="F180" s="270"/>
      <c r="G180" s="1248" t="s">
        <v>646</v>
      </c>
      <c r="H180" s="1249" t="s">
        <v>1172</v>
      </c>
      <c r="I180" s="1249" t="s">
        <v>1173</v>
      </c>
      <c r="J180" s="1250" t="s">
        <v>1174</v>
      </c>
      <c r="K180" s="1250" t="s">
        <v>1175</v>
      </c>
      <c r="L180" s="1250" t="s">
        <v>1174</v>
      </c>
      <c r="M180" s="1250" t="s">
        <v>1175</v>
      </c>
      <c r="N180" s="277" t="s">
        <v>1176</v>
      </c>
    </row>
    <row r="181" spans="3:14" ht="15.75">
      <c r="C181" s="1245" t="s">
        <v>1177</v>
      </c>
      <c r="D181" s="1262">
        <f>IF(D21="Ponta",B21,0)</f>
        <v>0</v>
      </c>
      <c r="E181" s="18"/>
      <c r="F181" s="270"/>
      <c r="G181" s="1252">
        <f>G166</f>
        <v>44440</v>
      </c>
      <c r="H181" s="272">
        <f>H166</f>
        <v>0</v>
      </c>
      <c r="I181" s="272">
        <f>I166</f>
        <v>0</v>
      </c>
      <c r="J181" s="1253">
        <f>SUMIFS($G$18:$G$60,$B$18:$B$60,$D$181,$D$18:$D$60,"Ponta")</f>
        <v>0</v>
      </c>
      <c r="K181" s="1253">
        <f>SUMIFS($G$18:$G$60,$B$18:$B$60,$D$181,$D$18:$D$60,"Fora Ponta")</f>
        <v>0</v>
      </c>
      <c r="L181" s="1253">
        <f>IF(MONTH(DataRevRea)=7,'Rede Básica + Ajuste'!J181,IF(G181&lt;$Q$69,(SUMIFS($G$18:$G$60,$B$18:$B$60,$D$181,$D$18:$D$60,"Ponta")),(SUMIFS($H$18:$H$60,$B$18:$B$60,$D$181,$D$18:$D$60,"Ponta"))))</f>
        <v>0</v>
      </c>
      <c r="M181" s="1253">
        <f>IF(MONTH(DataRevRea)=7,'Rede Básica + Ajuste'!K181,IF(G181&lt;$Q$69,(SUMIFS($G$18:$G$60,$B$18:$B$60,$D$181,$D$18:$D$60,"Fora Ponta")),(SUMIFS($H$18:$H$60,$B$18:$B$60,$D$181,$D$18:$D$60,"Fora Ponta"))))</f>
        <v>0</v>
      </c>
      <c r="N181" s="1254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5" t="s">
        <v>1178</v>
      </c>
      <c r="E183" s="1256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7" t="str">
        <f>C169</f>
        <v>Cobertura 2021</v>
      </c>
      <c r="D184" s="1258">
        <f>SUMPRODUCT(H181:H192,J181:J192)</f>
        <v>0</v>
      </c>
      <c r="E184" s="1258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7" t="s">
        <v>1180</v>
      </c>
      <c r="D185" s="1258">
        <f>SUMPRODUCT(H181:H192,L181:L192)</f>
        <v>0</v>
      </c>
      <c r="E185" s="1258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9">
        <f t="shared" si="37"/>
        <v>44774</v>
      </c>
      <c r="H192" s="1260">
        <f t="shared" si="37"/>
        <v>0</v>
      </c>
      <c r="I192" s="1260">
        <f t="shared" si="37"/>
        <v>0</v>
      </c>
      <c r="J192" s="1260">
        <f t="shared" si="38"/>
        <v>0</v>
      </c>
      <c r="K192" s="1260">
        <f t="shared" si="39"/>
        <v>0</v>
      </c>
      <c r="L192" s="1260">
        <f>IF(MONTH(DataRevRea)=7,'Rede Básica + Ajuste'!J192,IF(G192&lt;$Q$69,(SUMIFS($G$18:$G$60,$B$18:$B$60,$D$181,$D$18:$D$60,"Ponta")),(SUMIFS($H$18:$H$60,$B$18:$B$60,$D$181,$D$18:$D$60,"Ponta"))))</f>
        <v>0</v>
      </c>
      <c r="M192" s="1260">
        <f>IF(MONTH(DataRevRea)=7,'Rede Básica + Ajuste'!K192,IF(G192&lt;$Q$69,(SUMIFS($G$18:$G$60,$B$18:$B$60,$D$181,$D$18:$D$60,"Fora Ponta")),(SUMIFS($H$18:$H$60,$B$18:$B$60,$D$181,$D$18:$D$60,"Fora Ponta"))))</f>
        <v>0</v>
      </c>
      <c r="N192" s="1261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24" t="s">
        <v>1170</v>
      </c>
      <c r="K194" s="1825"/>
      <c r="L194" s="1826" t="s">
        <v>1171</v>
      </c>
      <c r="M194" s="1826"/>
      <c r="N194" s="278"/>
    </row>
    <row r="195" spans="3:14" ht="15.75">
      <c r="C195" s="1827" t="s">
        <v>1153</v>
      </c>
      <c r="D195" s="1828"/>
      <c r="F195" s="270"/>
      <c r="G195" s="1248" t="s">
        <v>646</v>
      </c>
      <c r="H195" s="1249" t="s">
        <v>1172</v>
      </c>
      <c r="I195" s="1249" t="s">
        <v>1173</v>
      </c>
      <c r="J195" s="1250" t="s">
        <v>1174</v>
      </c>
      <c r="K195" s="1250" t="s">
        <v>1175</v>
      </c>
      <c r="L195" s="1250" t="s">
        <v>1174</v>
      </c>
      <c r="M195" s="1250" t="s">
        <v>1175</v>
      </c>
      <c r="N195" s="277" t="s">
        <v>1176</v>
      </c>
    </row>
    <row r="196" spans="3:14" ht="15.75">
      <c r="C196" s="1245" t="s">
        <v>1177</v>
      </c>
      <c r="D196" s="1262">
        <f>IF(D22="Ponta",B22,0)</f>
        <v>0</v>
      </c>
      <c r="E196" s="18"/>
      <c r="F196" s="270"/>
      <c r="G196" s="1252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3">
        <f>SUMIFS($E$18:$E$60,$B$18:$B$60,$D$196,$D$18:$D$60,"Ponta")</f>
        <v>0</v>
      </c>
      <c r="K196" s="1253">
        <f>SUMIFS($E$18:$E$60,$B$18:$B$60,$D$196,$D$18:$D$60,"Fora Ponta")</f>
        <v>0</v>
      </c>
      <c r="L196" s="1253">
        <f>IF(MONTH(DataRevRea)=7,'Rede Básica + Ajuste'!J196,IF(G196&lt;$Q$69,(SUMIFS($E$18:$E$60,$B$18:$B$60,$D$196,$D$18:$D$60,"Ponta")),(SUMIFS($F$18:$F$60,$B$18:$B$60,$D$196,$D$18:$D$60,"Ponta"))))</f>
        <v>0</v>
      </c>
      <c r="M196" s="1253">
        <f>IF(MONTH(DataRevRea)=7,'Rede Básica + Ajuste'!K196,IF(G196&lt;$Q$69,(SUMIFS($E$18:$E$60,$B$18:$B$60,$D$196,$D$18:$D$60,"Fora Ponta")),(SUMIFS($F$18:$F$60,$B$18:$B$60,$D$196,$D$18:$D$60,"Fora Ponta"))))</f>
        <v>0</v>
      </c>
      <c r="N196" s="1254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5" t="s">
        <v>1178</v>
      </c>
      <c r="E198" s="1256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7" t="str">
        <f>C184</f>
        <v>Cobertura 2021</v>
      </c>
      <c r="D199" s="1258">
        <f>SUMPRODUCT(H196:H207,J196:J207)</f>
        <v>0</v>
      </c>
      <c r="E199" s="1258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7" t="s">
        <v>1180</v>
      </c>
      <c r="D200" s="1258">
        <f>SUMPRODUCT(H196:H207,L196:L207)</f>
        <v>0</v>
      </c>
      <c r="E200" s="1258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9">
        <f t="shared" si="41"/>
        <v>44774</v>
      </c>
      <c r="H207" s="1260">
        <f>SUMIFS($Y$18:$Y$60,$B$18:$B$60,$D$196,$D$18:$D$60,"Ponta")</f>
        <v>0</v>
      </c>
      <c r="I207" s="1260">
        <f>SUMIFS($Y$18:$Y$60,$B$18:$B$60,$D$196,$D$18:$D$60,"Fora Ponta")</f>
        <v>0</v>
      </c>
      <c r="J207" s="1260">
        <f t="shared" si="42"/>
        <v>0</v>
      </c>
      <c r="K207" s="1260">
        <f t="shared" si="43"/>
        <v>0</v>
      </c>
      <c r="L207" s="1260">
        <f>IF(MONTH(DataRevRea)=7,'Rede Básica + Ajuste'!J207,IF(G207&lt;$Q$69,(SUMIFS($E$18:$E$60,$B$18:$B$60,$D$196,$D$18:$D$60,"Ponta")),(SUMIFS($F$18:$F$60,$B$18:$B$60,$D$196,$D$18:$D$60,"Ponta"))))</f>
        <v>0</v>
      </c>
      <c r="M207" s="1260">
        <f>IF(MONTH(DataRevRea)=7,'Rede Básica + Ajuste'!K207,IF(G207&lt;$Q$69,(SUMIFS($E$18:$E$60,$B$18:$B$60,$D$196,$D$18:$D$60,"Fora Ponta")),(SUMIFS($F$18:$F$60,$B$18:$B$60,$D$196,$D$18:$D$60,"Fora Ponta"))))</f>
        <v>0</v>
      </c>
      <c r="N207" s="1261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24" t="s">
        <v>1170</v>
      </c>
      <c r="K209" s="1825"/>
      <c r="L209" s="1826" t="s">
        <v>1171</v>
      </c>
      <c r="M209" s="1826"/>
      <c r="N209" s="278"/>
    </row>
    <row r="210" spans="3:14" ht="15.75">
      <c r="C210" s="1827" t="s">
        <v>1181</v>
      </c>
      <c r="D210" s="1828"/>
      <c r="F210" s="270"/>
      <c r="G210" s="1248" t="s">
        <v>646</v>
      </c>
      <c r="H210" s="1249" t="s">
        <v>1172</v>
      </c>
      <c r="I210" s="1249" t="s">
        <v>1173</v>
      </c>
      <c r="J210" s="1250" t="s">
        <v>1174</v>
      </c>
      <c r="K210" s="1250" t="s">
        <v>1175</v>
      </c>
      <c r="L210" s="1250" t="s">
        <v>1174</v>
      </c>
      <c r="M210" s="1250" t="s">
        <v>1175</v>
      </c>
      <c r="N210" s="277" t="s">
        <v>1176</v>
      </c>
    </row>
    <row r="211" spans="3:14" ht="15.75">
      <c r="C211" s="1245" t="s">
        <v>1177</v>
      </c>
      <c r="D211" s="1262">
        <f>IF(D22="Ponta",B22,0)</f>
        <v>0</v>
      </c>
      <c r="E211" s="18"/>
      <c r="F211" s="270"/>
      <c r="G211" s="1252">
        <f>G196</f>
        <v>44440</v>
      </c>
      <c r="H211" s="272">
        <f>H196</f>
        <v>0</v>
      </c>
      <c r="I211" s="272">
        <f>I196</f>
        <v>0</v>
      </c>
      <c r="J211" s="1253">
        <f>SUMIFS($G$18:$G$60,$B$18:$B$60,$D$211,$D$18:$D$60,"Ponta")</f>
        <v>0</v>
      </c>
      <c r="K211" s="1253">
        <f>SUMIFS($G$18:$G$60,$B$18:$B$60,$D$211,$D$18:$D$60,"Fora Ponta")</f>
        <v>0</v>
      </c>
      <c r="L211" s="1253">
        <f>IF(MONTH(DataRevRea)=7,'Rede Básica + Ajuste'!J211,IF(G211&lt;$Q$69,(SUMIFS($G$18:$G$60,$B$18:$B$60,$D$211,$D$18:$D$60,"Ponta")),(SUMIFS($H$18:$H$60,$B$18:$B$60,$D$211,$D$18:$D$60,"Ponta"))))</f>
        <v>0</v>
      </c>
      <c r="M211" s="1253">
        <f>IF(MONTH(DataRevRea)=7,'Rede Básica + Ajuste'!K211,IF(G211&lt;$Q$69,(SUMIFS($G$18:$G$60,$B$18:$B$60,$D$211,$D$18:$D$60,"Fora Ponta")),(SUMIFS($H$18:$H$60,$B$18:$B$60,$D$211,$D$18:$D$60,"Fora Ponta"))))</f>
        <v>0</v>
      </c>
      <c r="N211" s="1254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5" t="s">
        <v>1178</v>
      </c>
      <c r="E213" s="1256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7" t="str">
        <f>C199</f>
        <v>Cobertura 2021</v>
      </c>
      <c r="D214" s="1258">
        <f>SUMPRODUCT(H211:H222,J211:J222)</f>
        <v>0</v>
      </c>
      <c r="E214" s="1258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7" t="s">
        <v>1180</v>
      </c>
      <c r="D215" s="1258">
        <f>SUMPRODUCT(H211:H222,L211:L222)</f>
        <v>0</v>
      </c>
      <c r="E215" s="1258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9">
        <f t="shared" si="45"/>
        <v>44774</v>
      </c>
      <c r="H222" s="1260">
        <f t="shared" si="45"/>
        <v>0</v>
      </c>
      <c r="I222" s="1260">
        <f t="shared" si="45"/>
        <v>0</v>
      </c>
      <c r="J222" s="1260">
        <f t="shared" si="46"/>
        <v>0</v>
      </c>
      <c r="K222" s="1260">
        <f t="shared" si="47"/>
        <v>0</v>
      </c>
      <c r="L222" s="1260">
        <f>IF(MONTH(DataRevRea)=7,'Rede Básica + Ajuste'!J222,IF(G222&lt;$Q$69,(SUMIFS($G$18:$G$60,$B$18:$B$60,$D$211,$D$18:$D$60,"Ponta")),(SUMIFS($H$18:$H$60,$B$18:$B$60,$D$211,$D$18:$D$60,"Ponta"))))</f>
        <v>0</v>
      </c>
      <c r="M222" s="1260">
        <f>IF(MONTH(DataRevRea)=7,'Rede Básica + Ajuste'!K222,IF(G222&lt;$Q$69,(SUMIFS($G$18:$G$60,$B$18:$B$60,$D$211,$D$18:$D$60,"Fora Ponta")),(SUMIFS($H$18:$H$60,$B$18:$B$60,$D$211,$D$18:$D$60,"Fora Ponta"))))</f>
        <v>0</v>
      </c>
      <c r="N222" s="1261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Normal="100" workbookViewId="0"/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2" t="s">
        <v>638</v>
      </c>
      <c r="C1" s="1021"/>
      <c r="D1" s="933"/>
      <c r="E1" s="1229"/>
      <c r="F1" s="1229"/>
      <c r="G1" s="1131" t="s">
        <v>873</v>
      </c>
      <c r="H1" s="1132">
        <f ca="1">LnkTXTIRTEco</f>
        <v>1.49E-2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Coopera</v>
      </c>
      <c r="C2" s="70"/>
      <c r="D2" s="70"/>
      <c r="G2" s="120" t="s">
        <v>877</v>
      </c>
      <c r="H2" s="121">
        <f ca="1">LnkTXTIRTTotal</f>
        <v>6.0000000000000001E-3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3" t="s">
        <v>1188</v>
      </c>
      <c r="C5" s="1233" t="s">
        <v>1189</v>
      </c>
      <c r="D5" s="1233" t="s">
        <v>1190</v>
      </c>
      <c r="E5" s="1233" t="s">
        <v>1191</v>
      </c>
      <c r="F5" s="1233" t="s">
        <v>1192</v>
      </c>
      <c r="G5" s="1233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3" t="s">
        <v>760</v>
      </c>
      <c r="C11" s="1264">
        <f>SUM(C6:C10)</f>
        <v>0</v>
      </c>
      <c r="D11" s="1264">
        <f>SUM(D6:D10)</f>
        <v>0</v>
      </c>
      <c r="E11" s="1265">
        <f>SUM(E6:E10)</f>
        <v>0</v>
      </c>
      <c r="F11" s="1266"/>
      <c r="G11" s="1267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8" t="s">
        <v>1209</v>
      </c>
      <c r="E12" s="1268"/>
      <c r="F12" s="1269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3" t="s">
        <v>1188</v>
      </c>
      <c r="C15" s="1233" t="s">
        <v>1189</v>
      </c>
      <c r="D15" s="1233" t="s">
        <v>1215</v>
      </c>
      <c r="E15" s="1233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3" t="s">
        <v>760</v>
      </c>
      <c r="C21" s="1270">
        <f>SUM(C16:C20)</f>
        <v>0</v>
      </c>
      <c r="D21" s="1270">
        <f>SUM(D16:D20)</f>
        <v>0</v>
      </c>
      <c r="E21" s="1270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Normal="100" zoomScaleSheetLayoutView="124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2" t="s">
        <v>952</v>
      </c>
      <c r="C1" s="1021"/>
      <c r="D1" s="1271"/>
      <c r="E1" s="1272"/>
      <c r="F1" s="1272"/>
      <c r="G1" s="1131" t="s">
        <v>873</v>
      </c>
      <c r="H1" s="1231">
        <f ca="1">LnkTXTIRTEco</f>
        <v>1.49E-2</v>
      </c>
    </row>
    <row r="2" spans="1:16" ht="46.5" customHeight="1">
      <c r="B2" s="136" t="str">
        <f>CAPA!C9</f>
        <v>Coopera</v>
      </c>
      <c r="C2" s="70"/>
      <c r="D2" s="70"/>
      <c r="G2" s="120" t="s">
        <v>877</v>
      </c>
      <c r="H2" s="146">
        <f ca="1">LnkTXTIRTTotal</f>
        <v>6.0000000000000001E-3</v>
      </c>
      <c r="I2" s="90" t="s">
        <v>1231</v>
      </c>
    </row>
    <row r="3" spans="1:16">
      <c r="B3" s="1273" t="s">
        <v>1232</v>
      </c>
      <c r="C3" s="1274">
        <f>SUMPRODUCT(J6:J44,H6:H44)</f>
        <v>0</v>
      </c>
      <c r="D3" s="73"/>
      <c r="E3" s="1273" t="s">
        <v>1123</v>
      </c>
      <c r="F3" s="68" t="s">
        <v>1233</v>
      </c>
      <c r="G3" s="1275">
        <f>LnkTXTDescTusdAnte</f>
        <v>0</v>
      </c>
      <c r="H3" s="90"/>
      <c r="I3" s="1276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7" t="s">
        <v>27</v>
      </c>
      <c r="C5" s="1277" t="s">
        <v>21</v>
      </c>
      <c r="D5" s="1277" t="s">
        <v>22</v>
      </c>
      <c r="E5" s="1277" t="s">
        <v>78</v>
      </c>
      <c r="F5" s="1277" t="s">
        <v>817</v>
      </c>
      <c r="G5" s="1277" t="s">
        <v>1235</v>
      </c>
      <c r="H5" s="1277" t="s">
        <v>60</v>
      </c>
      <c r="I5" s="1277" t="s">
        <v>1124</v>
      </c>
      <c r="J5" s="1277" t="s">
        <v>1125</v>
      </c>
      <c r="L5" s="68"/>
      <c r="M5" s="69"/>
    </row>
    <row r="6" spans="1:16">
      <c r="A6" s="68">
        <v>5697</v>
      </c>
      <c r="B6" s="147" t="s">
        <v>2201</v>
      </c>
      <c r="C6" s="147" t="s">
        <v>2371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0</v>
      </c>
      <c r="H6" s="147">
        <f>IF(B6="","",IF(LEFT(D6,7)="Demanda",G6,G6/1000))</f>
        <v>0</v>
      </c>
      <c r="I6" s="147">
        <f>IF(ISERROR(VLOOKUP(CONCATENATE(A6,A41,E6,F6),BD!$H$6:$V$30,14,FALSE)),"",VLOOKUP(CONCATENATE(A6,A41,E6,F6),BD!$H$6:$V$30,14,FALSE))</f>
        <v>13.18</v>
      </c>
      <c r="J6" s="147">
        <f t="shared" ref="J6:J13" si="0">IF(ISERROR(I6*(1-$G$3)),"",I6*(1-$G$3))</f>
        <v>13.18</v>
      </c>
      <c r="L6" s="68"/>
      <c r="M6" s="69"/>
      <c r="N6" s="69"/>
    </row>
    <row r="7" spans="1:16">
      <c r="A7" s="68">
        <v>5697</v>
      </c>
      <c r="B7" s="147" t="s">
        <v>2201</v>
      </c>
      <c r="C7" s="147" t="s">
        <v>2371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0</v>
      </c>
      <c r="H7" s="147">
        <f t="shared" ref="H7:H30" si="3">IF(B7="","",IF(LEFT(D7,7)="Demanda",G7,G7/1000))</f>
        <v>0</v>
      </c>
      <c r="I7" s="147">
        <f>IF(ISERROR(VLOOKUP(CONCATENATE(A7,A42,E7,F7),BD!$H$6:$V$30,14,FALSE)),"",VLOOKUP(CONCATENATE(A7,A42,E7,F7),BD!$H$6:$V$30,14,FALSE))</f>
        <v>23.96</v>
      </c>
      <c r="J7" s="147">
        <f t="shared" si="0"/>
        <v>23.96</v>
      </c>
    </row>
    <row r="8" spans="1:16">
      <c r="A8" s="68">
        <v>5697</v>
      </c>
      <c r="B8" s="147" t="s">
        <v>2201</v>
      </c>
      <c r="C8" s="147" t="s">
        <v>2371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0</v>
      </c>
      <c r="H8" s="147">
        <f t="shared" si="3"/>
        <v>0</v>
      </c>
      <c r="I8" s="147">
        <f>IF(ISERROR(VLOOKUP(CONCATENATE(A8,A43,E8,F8),BD!$H$6:$V$30,14,FALSE)),"",VLOOKUP(CONCATENATE(A8,A43,E8,F8),BD!$H$6:$V$30,14,FALSE))</f>
        <v>6.29</v>
      </c>
      <c r="J8" s="147">
        <f t="shared" si="0"/>
        <v>6.29</v>
      </c>
      <c r="L8" s="68"/>
      <c r="M8" s="69"/>
    </row>
    <row r="9" spans="1:16">
      <c r="A9" s="68">
        <v>5697</v>
      </c>
      <c r="B9" s="147" t="s">
        <v>2201</v>
      </c>
      <c r="C9" s="147" t="s">
        <v>2371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0</v>
      </c>
      <c r="H9" s="147">
        <f t="shared" si="3"/>
        <v>0</v>
      </c>
      <c r="I9" s="147">
        <f>IF(ISERROR(VLOOKUP(CONCATENATE(A9,A44,E9,F9),BD!$H$6:$V$30,14,FALSE)),"",VLOOKUP(CONCATENATE(A9,A44,E9,F9),BD!$H$6:$V$30,14,FALSE))</f>
        <v>6.29</v>
      </c>
      <c r="J9" s="147">
        <f t="shared" si="0"/>
        <v>6.29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19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A3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A3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A3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A3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G17" zoomScaleNormal="100" workbookViewId="0">
      <selection activeCell="L33" sqref="L3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2" t="s">
        <v>743</v>
      </c>
      <c r="C1" s="1228"/>
      <c r="D1" s="1228"/>
      <c r="E1" s="1228"/>
      <c r="F1" s="933"/>
      <c r="G1" s="933"/>
      <c r="H1" s="1131" t="s">
        <v>873</v>
      </c>
      <c r="I1" s="1132">
        <f ca="1">LnkTXTIRTEco</f>
        <v>1.49E-2</v>
      </c>
      <c r="J1" s="193"/>
      <c r="K1" s="194"/>
    </row>
    <row r="2" spans="1:15" s="195" customFormat="1" ht="27" customHeight="1">
      <c r="B2" s="136" t="str">
        <f>CAPA!C9</f>
        <v>Coopera</v>
      </c>
      <c r="C2" s="70"/>
      <c r="D2" s="70"/>
      <c r="E2" s="70"/>
      <c r="F2" s="70"/>
      <c r="G2" s="70"/>
      <c r="H2" s="120" t="s">
        <v>877</v>
      </c>
      <c r="I2" s="121">
        <f ca="1">LnkTXTIRTTotal</f>
        <v>6.0000000000000001E-3</v>
      </c>
    </row>
    <row r="3" spans="1:15">
      <c r="B3" s="936" t="s">
        <v>1240</v>
      </c>
      <c r="C3" s="785"/>
      <c r="E3" s="785" t="str">
        <f>"Encargos "&amp;YEAR(CAPA!C14)</f>
        <v>Encargos 2021</v>
      </c>
      <c r="F3" s="785"/>
      <c r="H3" s="785"/>
      <c r="I3" s="785"/>
      <c r="J3" s="785"/>
      <c r="K3" s="785"/>
      <c r="L3" s="785"/>
      <c r="M3" s="785"/>
      <c r="N3" s="785"/>
      <c r="O3" s="785"/>
    </row>
    <row r="4" spans="1:15">
      <c r="E4" s="1233" t="s">
        <v>72</v>
      </c>
      <c r="F4" s="1233" t="s">
        <v>1241</v>
      </c>
      <c r="H4" s="72"/>
      <c r="I4" s="72"/>
    </row>
    <row r="5" spans="1:15">
      <c r="B5" s="1233" t="s">
        <v>72</v>
      </c>
      <c r="C5" s="1233" t="s">
        <v>37</v>
      </c>
      <c r="E5" s="68" t="s">
        <v>40</v>
      </c>
      <c r="F5" s="115">
        <f>CAPA!D42</f>
        <v>194641.68561373901</v>
      </c>
      <c r="H5" s="1830" t="s">
        <v>1242</v>
      </c>
      <c r="I5" s="1830"/>
      <c r="K5" s="1830" t="s">
        <v>1243</v>
      </c>
      <c r="L5" s="1830"/>
      <c r="N5" s="1830" t="s">
        <v>1244</v>
      </c>
      <c r="O5" s="1830"/>
    </row>
    <row r="6" spans="1:15">
      <c r="B6" s="68" t="s">
        <v>40</v>
      </c>
      <c r="C6" s="80">
        <f ca="1">L14</f>
        <v>174059.44361910204</v>
      </c>
      <c r="E6" s="68" t="s">
        <v>41</v>
      </c>
      <c r="F6" s="115">
        <f>CAPA!D43</f>
        <v>18021294.755259998</v>
      </c>
      <c r="H6" s="199" t="s">
        <v>1245</v>
      </c>
      <c r="I6" s="200">
        <f ca="1">FornecimentoE+LivreE-Calc_Mercado!C16</f>
        <v>335341.35300000006</v>
      </c>
      <c r="K6" s="504" t="s">
        <v>745</v>
      </c>
      <c r="L6" s="411">
        <f ca="1">LnkTXTER</f>
        <v>356802.83200000005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35850208.281191133</v>
      </c>
      <c r="D7" s="196"/>
      <c r="E7" s="68" t="s">
        <v>112</v>
      </c>
      <c r="F7" s="115">
        <f>CAPA!D44</f>
        <v>0</v>
      </c>
      <c r="H7" s="1278" t="s">
        <v>1247</v>
      </c>
      <c r="I7" s="1279">
        <v>14.13</v>
      </c>
      <c r="K7" s="504" t="s">
        <v>1088</v>
      </c>
      <c r="L7" s="411">
        <f ca="1">Energia!M7</f>
        <v>0</v>
      </c>
      <c r="N7" s="201" t="s">
        <v>1248</v>
      </c>
      <c r="O7" s="202">
        <f ca="1">SUM(C12+C6+C9+C10+C8)</f>
        <v>4912432.7615091037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4" t="s">
        <v>1091</v>
      </c>
      <c r="L8" s="411">
        <f ca="1">LnkTXTPerdas</f>
        <v>20009.359000000015</v>
      </c>
      <c r="N8" s="201" t="s">
        <v>717</v>
      </c>
      <c r="O8" s="264">
        <f>Resultado!D24</f>
        <v>10654497</v>
      </c>
    </row>
    <row r="9" spans="1:15">
      <c r="B9" s="68" t="s">
        <v>1249</v>
      </c>
      <c r="C9" s="809">
        <f>IFERROR(VLOOKUP("ESS/EER",TabEncargosBancoConsolidados[],2,FALSE),0)</f>
        <v>0</v>
      </c>
      <c r="D9" s="69"/>
      <c r="E9" s="68" t="s">
        <v>47</v>
      </c>
      <c r="F9" s="115">
        <f>CAPA!D46</f>
        <v>3089595.4712</v>
      </c>
      <c r="H9" s="1830" t="s">
        <v>1250</v>
      </c>
      <c r="I9" s="1830"/>
      <c r="K9" s="504" t="s">
        <v>1251</v>
      </c>
      <c r="L9" s="411">
        <f ca="1">SUM(L6:L7,-L8)</f>
        <v>336793.47300000006</v>
      </c>
      <c r="N9" s="201" t="s">
        <v>108</v>
      </c>
      <c r="O9" s="263">
        <f ca="1">Resultado!D33</f>
        <v>41017982.991093092</v>
      </c>
    </row>
    <row r="10" spans="1:15">
      <c r="B10" s="68" t="s">
        <v>47</v>
      </c>
      <c r="C10" s="80">
        <f ca="1">IFERROR(Encargos!I7*I6,0)</f>
        <v>4738373.3178900015</v>
      </c>
      <c r="D10" s="196"/>
      <c r="E10" s="68" t="s">
        <v>49</v>
      </c>
      <c r="F10" s="115">
        <f>CAPA!D48</f>
        <v>0</v>
      </c>
      <c r="H10" s="1280" t="s">
        <v>1252</v>
      </c>
      <c r="I10" s="1281">
        <f ca="1">FornecimentoE_A1+Calc_Mercado!C10+Calc_Mercado!C11+Calc_Mercado!C114+Calc_Mercado!C115</f>
        <v>13359.382000000001</v>
      </c>
      <c r="K10" s="504" t="s">
        <v>1253</v>
      </c>
      <c r="L10" s="411">
        <f ca="1">SUM(L6:L7)</f>
        <v>356802.83200000005</v>
      </c>
      <c r="N10" s="201" t="s">
        <v>1254</v>
      </c>
      <c r="O10" s="202">
        <f>Resultado!D39</f>
        <v>39323417.770000003</v>
      </c>
    </row>
    <row r="11" spans="1:15">
      <c r="B11" s="68" t="s">
        <v>1255</v>
      </c>
      <c r="C11" s="80">
        <v>1E-4</v>
      </c>
      <c r="D11" s="196"/>
      <c r="E11" s="785" t="s">
        <v>2037</v>
      </c>
      <c r="F11" s="1153">
        <f>CAPA!D47</f>
        <v>9419991.3842511307</v>
      </c>
      <c r="H11" s="199" t="s">
        <v>1256</v>
      </c>
      <c r="I11" s="139">
        <f ca="1">Calc_Mercado!C12+Calc_Mercado!C13+Calc_Mercado!C14+Calc_Mercado!C116+Calc_Mercado!C117</f>
        <v>215464.09899999999</v>
      </c>
      <c r="K11" s="504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9.5908330522602201E-7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5" t="str">
        <f>"Encargos "&amp;YEAR(CAPA!C14)-1</f>
        <v>Encargos 2020</v>
      </c>
      <c r="F12" s="785"/>
      <c r="H12" s="199" t="s">
        <v>1259</v>
      </c>
      <c r="I12" s="139">
        <f ca="1">FornecimentoE_BT-Calc_Mercado!C16+Calc_Mercado!C119+Calc_Mercado!C118</f>
        <v>106517.87200000005</v>
      </c>
      <c r="K12" s="504" t="s">
        <v>1260</v>
      </c>
      <c r="L12" s="45">
        <v>4.0000000000000001E-3</v>
      </c>
      <c r="N12" s="201" t="s">
        <v>1261</v>
      </c>
      <c r="O12" s="203">
        <f ca="1">Financeiros!D7</f>
        <v>-1152068.9616255416</v>
      </c>
    </row>
    <row r="13" spans="1:15">
      <c r="B13" s="1282" t="s">
        <v>769</v>
      </c>
      <c r="C13" s="1283">
        <f ca="1">SUM(C6:C12)</f>
        <v>40762641.04280024</v>
      </c>
      <c r="D13" s="196"/>
      <c r="E13" s="1233" t="s">
        <v>72</v>
      </c>
      <c r="F13" s="1233" t="s">
        <v>1241</v>
      </c>
      <c r="H13" s="1284" t="s">
        <v>1262</v>
      </c>
      <c r="I13" s="1285">
        <v>23.38</v>
      </c>
      <c r="K13" s="1286" t="s">
        <v>1263</v>
      </c>
      <c r="L13" s="1287">
        <f ca="1">LnkTXTIParcelaBcomSub+Energia!F19</f>
        <v>39323417.770000003</v>
      </c>
      <c r="N13" s="1288" t="s">
        <v>1264</v>
      </c>
      <c r="O13" s="1289">
        <f ca="1">O12*O6+O11</f>
        <v>9.4756261560976658E-7</v>
      </c>
    </row>
    <row r="14" spans="1:15">
      <c r="E14" s="68" t="s">
        <v>40</v>
      </c>
      <c r="F14" s="1290">
        <f>BD!C37</f>
        <v>234411.79105772576</v>
      </c>
      <c r="H14" s="257" t="s">
        <v>1265</v>
      </c>
      <c r="I14" s="816">
        <v>31.67</v>
      </c>
      <c r="K14" s="1291" t="s">
        <v>40</v>
      </c>
      <c r="L14" s="1292">
        <f ca="1">L12*1/L11*L9/L10*L13</f>
        <v>174059.44361910204</v>
      </c>
    </row>
    <row r="15" spans="1:15">
      <c r="E15" s="68" t="s">
        <v>41</v>
      </c>
      <c r="F15" s="80">
        <f>BD!C35</f>
        <v>15808950.862120003</v>
      </c>
      <c r="H15" s="1293" t="s">
        <v>1266</v>
      </c>
      <c r="I15" s="1294">
        <v>37.700000000000003</v>
      </c>
    </row>
    <row r="16" spans="1:15">
      <c r="E16" s="68" t="s">
        <v>112</v>
      </c>
      <c r="F16" s="80">
        <v>0</v>
      </c>
      <c r="H16" s="1187" t="s">
        <v>1267</v>
      </c>
      <c r="I16" s="1285">
        <v>55.4</v>
      </c>
      <c r="K16" s="1830" t="s">
        <v>768</v>
      </c>
      <c r="L16" s="1830"/>
    </row>
    <row r="17" spans="2:14">
      <c r="E17" s="68" t="s">
        <v>768</v>
      </c>
      <c r="F17" s="80">
        <v>0</v>
      </c>
      <c r="H17" s="68" t="s">
        <v>1268</v>
      </c>
      <c r="I17" s="816">
        <v>75.06</v>
      </c>
      <c r="K17" s="1280" t="s">
        <v>2054</v>
      </c>
      <c r="L17" s="1281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2228167.5502300006</v>
      </c>
      <c r="G18" s="107"/>
      <c r="H18" s="785" t="s">
        <v>1269</v>
      </c>
      <c r="I18" s="1294">
        <v>89.35</v>
      </c>
      <c r="K18" s="199" t="s">
        <v>2057</v>
      </c>
      <c r="L18" s="139">
        <f>C9-L17</f>
        <v>0</v>
      </c>
    </row>
    <row r="19" spans="2:14">
      <c r="C19" s="107"/>
      <c r="D19" s="107"/>
      <c r="E19" s="785" t="s">
        <v>49</v>
      </c>
      <c r="F19" s="1295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26430216.89694</v>
      </c>
      <c r="K19" s="1233" t="s">
        <v>769</v>
      </c>
      <c r="L19" s="1458">
        <f>SUM(L17:L18)</f>
        <v>0</v>
      </c>
    </row>
    <row r="20" spans="2:14">
      <c r="C20" s="107"/>
      <c r="D20" s="107"/>
      <c r="F20" s="80"/>
      <c r="G20" s="107"/>
      <c r="H20" s="1296" t="s">
        <v>1271</v>
      </c>
      <c r="I20" s="1297">
        <f>IFERROR(VLOOKUP("CDE Covid",TabEncargosBancoConsolidados[],2,FALSE),0)</f>
        <v>9419991.3842511326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3" t="s">
        <v>2058</v>
      </c>
      <c r="I22" s="1458">
        <f ca="1">I19+I20+I21</f>
        <v>35850208.281191133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6" t="s">
        <v>1272</v>
      </c>
      <c r="C27" s="785"/>
      <c r="D27" s="785"/>
      <c r="E27" s="785"/>
      <c r="F27" s="785"/>
      <c r="G27" s="785"/>
      <c r="J27" s="785"/>
      <c r="K27" s="785"/>
      <c r="L27" s="785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1273</v>
      </c>
      <c r="E29" s="196"/>
      <c r="F29" s="196"/>
      <c r="G29" s="196"/>
      <c r="L29" s="191"/>
      <c r="M29" s="192"/>
    </row>
    <row r="30" spans="2:14" ht="16.5" customHeight="1">
      <c r="C30" s="1233" t="s">
        <v>2081</v>
      </c>
      <c r="D30" s="1233" t="s">
        <v>46</v>
      </c>
      <c r="E30" s="1233" t="s">
        <v>40</v>
      </c>
      <c r="F30" s="1233" t="s">
        <v>41</v>
      </c>
      <c r="G30" s="1233" t="s">
        <v>47</v>
      </c>
      <c r="H30" s="1464" t="s">
        <v>2082</v>
      </c>
      <c r="I30" s="1464" t="s">
        <v>2090</v>
      </c>
      <c r="J30" s="1233" t="s">
        <v>1274</v>
      </c>
      <c r="L30" s="1829" t="s">
        <v>1275</v>
      </c>
      <c r="M30" s="1829"/>
      <c r="N30" s="268"/>
    </row>
    <row r="31" spans="2:14">
      <c r="B31" s="267">
        <f>Indexador!B68</f>
        <v>44440</v>
      </c>
      <c r="C31" s="1144">
        <f ca="1">IFERROR(IF(CAPA!$C$113="Não",C47-C62,IF(Indexador!$B68&lt;CAPA!$C$114,0,C47-C62)),0)</f>
        <v>6669.0938262662385</v>
      </c>
      <c r="D31" s="1144">
        <f ca="1">IF(CAPA!$C$113="Não",D47-D62,IF(Indexador!$B68&lt;CAPA!$C$114,0,D47-D62))</f>
        <v>0</v>
      </c>
      <c r="E31" s="1144">
        <f ca="1">IF(CAPA!$C$113="Não",E47-E62,IF(Indexador!$B68&lt;CAPA!$C$114,0,E47-E62))</f>
        <v>114.65230294998764</v>
      </c>
      <c r="F31" s="1144">
        <f ca="1">IF(CAPA!$C$113="Não",F47-F62,IF(Indexador!$B68&lt;CAPA!$C$114,0,F47-F62))</f>
        <v>12758.579142073635</v>
      </c>
      <c r="G31" s="1144">
        <f ca="1">IF(CAPA!$C$113="Não",G47-G62,IF(Indexador!$B68&lt;CAPA!$C$114,0,G47-G62))</f>
        <v>2406.669496439863</v>
      </c>
      <c r="H31" s="1144">
        <f ca="1">IF(CAPA!$C$113="Não",H47-H62,IF(Indexador!$B68&lt;CAPA!$C$114,0,H47-H62))</f>
        <v>13885.195533871651</v>
      </c>
      <c r="I31" s="1144">
        <f ca="1">IF(CAPA!$C$113="Não",I47-I62,IF(Indexador!$B68&lt;CAPA!$C$114,0,I47-I62))</f>
        <v>0</v>
      </c>
      <c r="J31" s="1144">
        <f ca="1">IF(CAPA!$C$113="Não",J47-J62,IF(Indexador!$B68&lt;CAPA!$C$114,0,J47-J62))</f>
        <v>21948.994767729659</v>
      </c>
      <c r="L31" s="68" t="s">
        <v>40</v>
      </c>
      <c r="M31" s="115">
        <f ca="1">Indexador!H80</f>
        <v>-3549.1525413601648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7265.4178289837437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182.3540665141827</v>
      </c>
      <c r="F32" s="115">
        <f ca="1">IF(CAPA!$C$113="Não",F48-F63,IF(Indexador!$B69&lt;CAPA!$C$114,0,F48-F63))</f>
        <v>13899.40084606898</v>
      </c>
      <c r="G32" s="115">
        <f ca="1">IF(CAPA!$C$113="Não",G48-G63,IF(Indexador!$B69&lt;CAPA!$C$114,0,G48-G63))</f>
        <v>2353.8248360929138</v>
      </c>
      <c r="H32" s="115">
        <f ca="1">IF(CAPA!$C$113="Não",H48-H63,IF(Indexador!$B69&lt;CAPA!$C$114,0,H48-H63))</f>
        <v>-5222.9396835830994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23700.997577659786</v>
      </c>
      <c r="L32" s="68" t="s">
        <v>41</v>
      </c>
      <c r="M32" s="115">
        <f ca="1">Indexador!J80+Indexador!L80</f>
        <v>-245185.61438902293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-2545.5879312136676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21.05986999095694</v>
      </c>
      <c r="F33" s="115">
        <f ca="1">IF(CAPA!$C$113="Não",F49-F64,IF(Indexador!$B70&lt;CAPA!$C$114,0,F49-F64))</f>
        <v>-4869.9397443763446</v>
      </c>
      <c r="G33" s="115">
        <f ca="1">IF(CAPA!$C$113="Não",G49-G64,IF(Indexador!$B70&lt;CAPA!$C$114,0,G49-G64))</f>
        <v>-1165.0519127513107</v>
      </c>
      <c r="H33" s="115">
        <f ca="1">IF(CAPA!$C$113="Não",H49-H64,IF(Indexador!$B70&lt;CAPA!$C$114,0,H49-H64))</f>
        <v>1598.9084787231404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-8559.5197183499113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13399.09762550809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192.27424065336527</v>
      </c>
      <c r="F34" s="115">
        <f ca="1">IF(CAPA!$C$113="Não",F50-F65,IF(Indexador!$B71&lt;CAPA!$C$114,0,F50-F65))</f>
        <v>25633.684566577198</v>
      </c>
      <c r="G34" s="115">
        <f ca="1">IF(CAPA!$C$113="Não",G50-G65,IF(Indexador!$B71&lt;CAPA!$C$114,0,G50-G65))</f>
        <v>4820.1566764964664</v>
      </c>
      <c r="H34" s="115">
        <f ca="1">IF(CAPA!$C$113="Não",H50-H65,IF(Indexador!$B71&lt;CAPA!$C$114,0,H50-H65))</f>
        <v>30353.894641234539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44045.213109235279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-51318.593021813431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-1399.664899861762</v>
      </c>
      <c r="F35" s="115">
        <f ca="1">IF(CAPA!$C$113="Não",F51-F66,IF(Indexador!$B72&lt;CAPA!$C$114,0,F51-F66))</f>
        <v>-98177.105853569694</v>
      </c>
      <c r="G35" s="115">
        <f ca="1">IF(CAPA!$C$113="Não",G51-G66,IF(Indexador!$B72&lt;CAPA!$C$114,0,G51-G66))</f>
        <v>-15680.054705752555</v>
      </c>
      <c r="H35" s="115">
        <f ca="1">IF(CAPA!$C$113="Não",H51-H66,IF(Indexador!$B72&lt;CAPA!$C$114,0,H51-H66))</f>
        <v>121966.933503679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-166575.41848099744</v>
      </c>
      <c r="L35" s="68" t="s">
        <v>47</v>
      </c>
      <c r="M35" s="115">
        <f ca="1">Indexador!N80</f>
        <v>-37884.487566450392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-53800.560705844662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-1510.0778563783224</v>
      </c>
      <c r="F36" s="115">
        <f ca="1">IF(CAPA!$C$113="Não",F52-F67,IF(Indexador!$B73&lt;CAPA!$C$114,0,F52-F67))</f>
        <v>-102925.33431604295</v>
      </c>
      <c r="G36" s="115">
        <f ca="1">IF(CAPA!$C$113="Não",G52-G67,IF(Indexador!$B73&lt;CAPA!$C$114,0,G52-G67))</f>
        <v>-16051.198219504702</v>
      </c>
      <c r="H36" s="115">
        <f ca="1">IF(CAPA!$C$113="Não",H52-H67,IF(Indexador!$B73&lt;CAPA!$C$114,0,H52-H67))</f>
        <v>132817.52466842066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-174287.1710977708</v>
      </c>
      <c r="L36" s="68" t="s">
        <v>2081</v>
      </c>
      <c r="M36" s="115">
        <f ca="1">Indexador!D80</f>
        <v>-128162.06640272774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-105878.45912589307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-2394.5048729318532</v>
      </c>
      <c r="F37" s="115">
        <f ca="1">IF(CAPA!$C$113="Não",F53-F68,IF(Indexador!$B74&lt;CAPA!$C$114,0,F53-F68))</f>
        <v>-202555.06001104251</v>
      </c>
      <c r="G37" s="115">
        <f ca="1">IF(CAPA!$C$113="Não",G53-G68,IF(Indexador!$B74&lt;CAPA!$C$114,0,G53-G68))</f>
        <v>-33537.702658583788</v>
      </c>
      <c r="H37" s="115">
        <f ca="1">IF(CAPA!$C$113="Não",H53-H68,IF(Indexador!$B74&lt;CAPA!$C$114,0,H53-H68))</f>
        <v>147080.38817349006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-344365.72666845098</v>
      </c>
      <c r="L37" s="785" t="s">
        <v>48</v>
      </c>
      <c r="M37" s="1184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-1772.18126746302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-149.12795720664326</v>
      </c>
      <c r="F38" s="115">
        <f ca="1">IF(CAPA!$C$113="Não",F54-F69,IF(Indexador!$B75&lt;CAPA!$C$114,0,F54-F69))</f>
        <v>-3390.3429077554028</v>
      </c>
      <c r="G38" s="115">
        <f ca="1">IF(CAPA!$C$113="Não",G54-G69,IF(Indexador!$B75&lt;CAPA!$C$114,0,G54-G69))</f>
        <v>22.356898758269381</v>
      </c>
      <c r="H38" s="115">
        <f ca="1">IF(CAPA!$C$113="Não",H54-H69,IF(Indexador!$B75&lt;CAPA!$C$114,0,H54-H69))</f>
        <v>18785.397484438028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-5289.2952336664312</v>
      </c>
      <c r="L38" s="71" t="s">
        <v>760</v>
      </c>
      <c r="M38" s="269">
        <f ca="1">SUM(M31:M36)</f>
        <v>-414781.32089956122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-709.60530497343279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181.38523085332963</v>
      </c>
      <c r="F39" s="115">
        <f ca="1">IF(CAPA!$C$113="Não",F55-F70,IF(Indexador!$B76&lt;CAPA!$C$114,0,F55-F70))</f>
        <v>-1357.5390718735289</v>
      </c>
      <c r="G39" s="115">
        <f ca="1">IF(CAPA!$C$113="Não",G55-G70,IF(Indexador!$B76&lt;CAPA!$C$114,0,G55-G70))</f>
        <v>-1402.2357842266792</v>
      </c>
      <c r="H39" s="115">
        <f ca="1">IF(CAPA!$C$113="Não",H55-H70,IF(Indexador!$B76&lt;CAPA!$C$114,0,H55-H70))</f>
        <v>2100.8890782836825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-3287.9949302203022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30523.595303417998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611.12131731172121</v>
      </c>
      <c r="F40" s="115">
        <f ca="1">IF(CAPA!$C$113="Não",F56-F71,IF(Indexador!$B77&lt;CAPA!$C$114,0,F56-F71))</f>
        <v>58394.396079045022</v>
      </c>
      <c r="G40" s="115">
        <f ca="1">IF(CAPA!$C$113="Não",G56-G71,IF(Indexador!$B77&lt;CAPA!$C$114,0,G56-G71))</f>
        <v>10266.755773080862</v>
      </c>
      <c r="H40" s="115">
        <f ca="1">IF(CAPA!$C$113="Não",H56-H71,IF(Indexador!$B77&lt;CAPA!$C$114,0,H56-H71))</f>
        <v>5951.9373693363741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99795.868472855538</v>
      </c>
      <c r="L40" s="1829" t="s">
        <v>2089</v>
      </c>
      <c r="M40" s="1829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18003.408724869601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380.96278691134466</v>
      </c>
      <c r="F41" s="115">
        <f ca="1">IF(CAPA!$C$113="Não",F57-F72,IF(Indexador!$B78&lt;CAPA!$C$114,0,F57-F72))</f>
        <v>34442.147768065799</v>
      </c>
      <c r="G41" s="115">
        <f ca="1">IF(CAPA!$C$113="Não",G57-G72,IF(Indexador!$B78&lt;CAPA!$C$114,0,G57-G72))</f>
        <v>5941.1876407926611</v>
      </c>
      <c r="H41" s="115">
        <f ca="1">IF(CAPA!$C$113="Não",H57-H72,IF(Indexador!$B78&lt;CAPA!$C$114,0,H57-H72))</f>
        <v>26386.947399493307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58767.706920639612</v>
      </c>
      <c r="L41" s="68" t="str">
        <f>H30</f>
        <v>Financeiro Covid</v>
      </c>
      <c r="M41" s="69">
        <f ca="1">Indexador!P80</f>
        <v>538959.86488075997</v>
      </c>
      <c r="N41" s="80"/>
    </row>
    <row r="42" spans="2:14">
      <c r="B42" s="267">
        <f>Indexador!B79</f>
        <v>44774</v>
      </c>
      <c r="C42" s="1153">
        <f ca="1">IFERROR(IF(CAPA!$C$113="Não",C58-C73,IF(Indexador!$B79&lt;CAPA!$C$114,0,C58-C73)),0)</f>
        <v>18003.408724869601</v>
      </c>
      <c r="D42" s="1153">
        <f ca="1">IF(CAPA!$C$113="Não",D58-D73,IF(Indexador!$B79&lt;CAPA!$C$114,0,D58-D73))</f>
        <v>0</v>
      </c>
      <c r="E42" s="1153">
        <f ca="1">IF(CAPA!$C$113="Não",E58-E73,IF(Indexador!$B79&lt;CAPA!$C$114,0,E58-E73))</f>
        <v>380.96278691134466</v>
      </c>
      <c r="F42" s="1153">
        <f ca="1">IF(CAPA!$C$113="Não",F58-F73,IF(Indexador!$B79&lt;CAPA!$C$114,0,F58-F73))</f>
        <v>34442.147768065799</v>
      </c>
      <c r="G42" s="1153">
        <f ca="1">IF(CAPA!$C$113="Não",G58-G73,IF(Indexador!$B79&lt;CAPA!$C$114,0,G58-G73))</f>
        <v>5941.1876407926611</v>
      </c>
      <c r="H42" s="1153">
        <f ca="1">IF(CAPA!$C$113="Não",H58-H73,IF(Indexador!$B79&lt;CAPA!$C$114,0,H58-H73))</f>
        <v>26386.947399493307</v>
      </c>
      <c r="I42" s="1153">
        <f ca="1">IF(CAPA!$C$113="Não",I58-I73,IF(Indexador!$B79&lt;CAPA!$C$114,0,I58-I73))</f>
        <v>0</v>
      </c>
      <c r="J42" s="1153">
        <f ca="1">IF(CAPA!$C$113="Não",J58-J73,IF(Indexador!$B79&lt;CAPA!$C$114,0,J58-J73))</f>
        <v>58767.706920639612</v>
      </c>
      <c r="L42" s="785" t="str">
        <f>I30</f>
        <v>Crédito Pis Cofins</v>
      </c>
      <c r="M42" s="1184">
        <f ca="1">Indexador!R80</f>
        <v>0</v>
      </c>
      <c r="N42" s="80"/>
    </row>
    <row r="43" spans="2:14">
      <c r="L43" s="71" t="s">
        <v>769</v>
      </c>
      <c r="M43" s="269">
        <f ca="1">SUM(M41:M42)</f>
        <v>538959.86488075997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3" t="s">
        <v>2081</v>
      </c>
      <c r="D46" s="1233" t="s">
        <v>46</v>
      </c>
      <c r="E46" s="1233" t="s">
        <v>40</v>
      </c>
      <c r="F46" s="1233" t="s">
        <v>41</v>
      </c>
      <c r="G46" s="1233" t="s">
        <v>47</v>
      </c>
      <c r="H46" s="1464" t="s">
        <v>2082</v>
      </c>
      <c r="I46" s="1464" t="s">
        <v>2086</v>
      </c>
      <c r="J46" s="1233" t="s">
        <v>1276</v>
      </c>
      <c r="K46" s="140"/>
    </row>
    <row r="47" spans="2:14">
      <c r="B47" s="267">
        <f>Indexador!B37</f>
        <v>44440</v>
      </c>
      <c r="C47" s="1451">
        <f>$F$11/12</f>
        <v>784999.28202092752</v>
      </c>
      <c r="D47" s="1298">
        <f>$F$8/12</f>
        <v>0</v>
      </c>
      <c r="E47" s="1144">
        <f t="shared" ref="E47:E58" si="0">$F$5/12</f>
        <v>16220.140467811585</v>
      </c>
      <c r="F47" s="115">
        <f t="shared" ref="F47:F58" si="1">$F$6/12</f>
        <v>1501774.5629383333</v>
      </c>
      <c r="G47" s="115">
        <f t="shared" ref="G47:G58" si="2">$F$9/12</f>
        <v>257466.28926666666</v>
      </c>
      <c r="H47" s="115">
        <f>IFERROR((VLOOKUP("Parcela B",TabFinanCovid[],4,FALSE)/12),0)</f>
        <v>-1194493.8934755167</v>
      </c>
      <c r="I47" s="115">
        <f>IFERROR(VLOOKUP("Créditos de Pis/Cofins",TabFinanNeutralidade[[#All],[Detalhe_Grupo_TARIFA]:[valor]],2,FALSE)/12,0)</f>
        <v>0</v>
      </c>
      <c r="J47" s="1299">
        <f>SUM(C47:G47)</f>
        <v>2560460.2746937391</v>
      </c>
      <c r="K47" s="140"/>
    </row>
    <row r="48" spans="2:14">
      <c r="B48" s="267">
        <f>Indexador!B38</f>
        <v>44470</v>
      </c>
      <c r="C48" s="115">
        <f t="shared" ref="C48:C58" si="3">$F$11/12</f>
        <v>784999.28202092752</v>
      </c>
      <c r="D48" s="140">
        <f t="shared" ref="D48:D58" si="4">$F$8/12</f>
        <v>0</v>
      </c>
      <c r="E48" s="115">
        <f t="shared" si="0"/>
        <v>16220.140467811585</v>
      </c>
      <c r="F48" s="115">
        <f t="shared" si="1"/>
        <v>1501774.5629383333</v>
      </c>
      <c r="G48" s="115">
        <f t="shared" si="2"/>
        <v>257466.28926666666</v>
      </c>
      <c r="H48" s="115">
        <f>IFERROR((VLOOKUP("Parcela B",TabFinanCovid[],4,FALSE)/12),0)</f>
        <v>-1194493.8934755167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2560460.2746937391</v>
      </c>
      <c r="K48" s="140"/>
    </row>
    <row r="49" spans="2:12">
      <c r="B49" s="267">
        <f>Indexador!B39</f>
        <v>44501</v>
      </c>
      <c r="C49" s="115">
        <f t="shared" si="3"/>
        <v>784999.28202092752</v>
      </c>
      <c r="D49" s="140">
        <f t="shared" si="4"/>
        <v>0</v>
      </c>
      <c r="E49" s="115">
        <f t="shared" si="0"/>
        <v>16220.140467811585</v>
      </c>
      <c r="F49" s="115">
        <f t="shared" si="1"/>
        <v>1501774.5629383333</v>
      </c>
      <c r="G49" s="115">
        <f t="shared" si="2"/>
        <v>257466.28926666666</v>
      </c>
      <c r="H49" s="115">
        <f>IFERROR((VLOOKUP("Parcela B",TabFinanCovid[],4,FALSE)/12),0)</f>
        <v>-1194493.8934755167</v>
      </c>
      <c r="I49" s="115">
        <f>IFERROR(VLOOKUP("Créditos de Pis/Cofins",TabFinanNeutralidade[[#All],[Detalhe_Grupo_TARIFA]:[valor]],2,FALSE)/12,0)</f>
        <v>0</v>
      </c>
      <c r="J49" s="142">
        <f t="shared" si="5"/>
        <v>2560460.2746937391</v>
      </c>
      <c r="K49" s="140"/>
    </row>
    <row r="50" spans="2:12">
      <c r="B50" s="267">
        <f>Indexador!B40</f>
        <v>44531</v>
      </c>
      <c r="C50" s="115">
        <f t="shared" si="3"/>
        <v>784999.28202092752</v>
      </c>
      <c r="D50" s="140">
        <f t="shared" si="4"/>
        <v>0</v>
      </c>
      <c r="E50" s="115">
        <f t="shared" si="0"/>
        <v>16220.140467811585</v>
      </c>
      <c r="F50" s="115">
        <f t="shared" si="1"/>
        <v>1501774.5629383333</v>
      </c>
      <c r="G50" s="115">
        <f t="shared" si="2"/>
        <v>257466.28926666666</v>
      </c>
      <c r="H50" s="115">
        <f>IFERROR((VLOOKUP("Parcela B",TabFinanCovid[],4,FALSE)/12),0)</f>
        <v>-1194493.8934755167</v>
      </c>
      <c r="I50" s="115">
        <f>IFERROR(VLOOKUP("Créditos de Pis/Cofins",TabFinanNeutralidade[[#All],[Detalhe_Grupo_TARIFA]:[valor]],2,FALSE)/12,0)</f>
        <v>0</v>
      </c>
      <c r="J50" s="142">
        <f t="shared" si="5"/>
        <v>2560460.2746937391</v>
      </c>
      <c r="K50" s="140"/>
    </row>
    <row r="51" spans="2:12">
      <c r="B51" s="267">
        <f>Indexador!B41</f>
        <v>44562</v>
      </c>
      <c r="C51" s="115">
        <f t="shared" si="3"/>
        <v>784999.28202092752</v>
      </c>
      <c r="D51" s="140">
        <f t="shared" si="4"/>
        <v>0</v>
      </c>
      <c r="E51" s="115">
        <f t="shared" si="0"/>
        <v>16220.140467811585</v>
      </c>
      <c r="F51" s="115">
        <f t="shared" si="1"/>
        <v>1501774.5629383333</v>
      </c>
      <c r="G51" s="115">
        <f t="shared" si="2"/>
        <v>257466.28926666666</v>
      </c>
      <c r="H51" s="115">
        <f>IFERROR((VLOOKUP("Parcela B",TabFinanCovid[],4,FALSE)/12),0)</f>
        <v>-1194493.8934755167</v>
      </c>
      <c r="I51" s="115">
        <f>IFERROR(VLOOKUP("Créditos de Pis/Cofins",TabFinanNeutralidade[[#All],[Detalhe_Grupo_TARIFA]:[valor]],2,FALSE)/12,0)</f>
        <v>0</v>
      </c>
      <c r="J51" s="142">
        <f t="shared" si="5"/>
        <v>2560460.2746937391</v>
      </c>
    </row>
    <row r="52" spans="2:12">
      <c r="B52" s="267">
        <f>Indexador!B42</f>
        <v>44593</v>
      </c>
      <c r="C52" s="115">
        <f t="shared" si="3"/>
        <v>784999.28202092752</v>
      </c>
      <c r="D52" s="140">
        <f t="shared" si="4"/>
        <v>0</v>
      </c>
      <c r="E52" s="115">
        <f t="shared" si="0"/>
        <v>16220.140467811585</v>
      </c>
      <c r="F52" s="115">
        <f t="shared" si="1"/>
        <v>1501774.5629383333</v>
      </c>
      <c r="G52" s="115">
        <f t="shared" si="2"/>
        <v>257466.28926666666</v>
      </c>
      <c r="H52" s="115">
        <f>IFERROR((VLOOKUP("Parcela B",TabFinanCovid[],4,FALSE)/12),0)</f>
        <v>-1194493.8934755167</v>
      </c>
      <c r="I52" s="115">
        <f>IFERROR(VLOOKUP("Créditos de Pis/Cofins",TabFinanNeutralidade[[#All],[Detalhe_Grupo_TARIFA]:[valor]],2,FALSE)/12,0)</f>
        <v>0</v>
      </c>
      <c r="J52" s="142">
        <f t="shared" si="5"/>
        <v>2560460.2746937391</v>
      </c>
    </row>
    <row r="53" spans="2:12">
      <c r="B53" s="267">
        <f>Indexador!B43</f>
        <v>44621</v>
      </c>
      <c r="C53" s="115">
        <f t="shared" si="3"/>
        <v>784999.28202092752</v>
      </c>
      <c r="D53" s="140">
        <f t="shared" si="4"/>
        <v>0</v>
      </c>
      <c r="E53" s="115">
        <f t="shared" si="0"/>
        <v>16220.140467811585</v>
      </c>
      <c r="F53" s="115">
        <f t="shared" si="1"/>
        <v>1501774.5629383333</v>
      </c>
      <c r="G53" s="115">
        <f t="shared" si="2"/>
        <v>257466.28926666666</v>
      </c>
      <c r="H53" s="115">
        <f>IFERROR((VLOOKUP("Parcela B",TabFinanCovid[],4,FALSE)/12),0)</f>
        <v>-1194493.8934755167</v>
      </c>
      <c r="I53" s="115">
        <f>IFERROR(VLOOKUP("Créditos de Pis/Cofins",TabFinanNeutralidade[[#All],[Detalhe_Grupo_TARIFA]:[valor]],2,FALSE)/12,0)</f>
        <v>0</v>
      </c>
      <c r="J53" s="142">
        <f t="shared" si="5"/>
        <v>2560460.2746937391</v>
      </c>
    </row>
    <row r="54" spans="2:12">
      <c r="B54" s="267">
        <f>Indexador!B44</f>
        <v>44652</v>
      </c>
      <c r="C54" s="115">
        <f t="shared" si="3"/>
        <v>784999.28202092752</v>
      </c>
      <c r="D54" s="140">
        <f t="shared" si="4"/>
        <v>0</v>
      </c>
      <c r="E54" s="115">
        <f t="shared" si="0"/>
        <v>16220.140467811585</v>
      </c>
      <c r="F54" s="115">
        <f t="shared" si="1"/>
        <v>1501774.5629383333</v>
      </c>
      <c r="G54" s="115">
        <f t="shared" si="2"/>
        <v>257466.28926666666</v>
      </c>
      <c r="H54" s="115">
        <f>IFERROR((VLOOKUP("Parcela B",TabFinanCovid[],4,FALSE)/12),0)</f>
        <v>-1194493.8934755167</v>
      </c>
      <c r="I54" s="115">
        <f>IFERROR(VLOOKUP("Créditos de Pis/Cofins",TabFinanNeutralidade[[#All],[Detalhe_Grupo_TARIFA]:[valor]],2,FALSE)/12,0)</f>
        <v>0</v>
      </c>
      <c r="J54" s="142">
        <f t="shared" si="5"/>
        <v>2560460.2746937391</v>
      </c>
    </row>
    <row r="55" spans="2:12">
      <c r="B55" s="267">
        <f>Indexador!B45</f>
        <v>44682</v>
      </c>
      <c r="C55" s="115">
        <f t="shared" si="3"/>
        <v>784999.28202092752</v>
      </c>
      <c r="D55" s="140">
        <f t="shared" si="4"/>
        <v>0</v>
      </c>
      <c r="E55" s="115">
        <f t="shared" si="0"/>
        <v>16220.140467811585</v>
      </c>
      <c r="F55" s="115">
        <f t="shared" si="1"/>
        <v>1501774.5629383333</v>
      </c>
      <c r="G55" s="115">
        <f t="shared" si="2"/>
        <v>257466.28926666666</v>
      </c>
      <c r="H55" s="115">
        <f>IFERROR((VLOOKUP("Parcela B",TabFinanCovid[],4,FALSE)/12),0)</f>
        <v>-1194493.8934755167</v>
      </c>
      <c r="I55" s="115">
        <f>IFERROR(VLOOKUP("Créditos de Pis/Cofins",TabFinanNeutralidade[[#All],[Detalhe_Grupo_TARIFA]:[valor]],2,FALSE)/12,0)</f>
        <v>0</v>
      </c>
      <c r="J55" s="142">
        <f t="shared" si="5"/>
        <v>2560460.2746937391</v>
      </c>
    </row>
    <row r="56" spans="2:12">
      <c r="B56" s="267">
        <f>Indexador!B46</f>
        <v>44713</v>
      </c>
      <c r="C56" s="115">
        <f t="shared" si="3"/>
        <v>784999.28202092752</v>
      </c>
      <c r="D56" s="140">
        <f t="shared" si="4"/>
        <v>0</v>
      </c>
      <c r="E56" s="115">
        <f t="shared" si="0"/>
        <v>16220.140467811585</v>
      </c>
      <c r="F56" s="115">
        <f t="shared" si="1"/>
        <v>1501774.5629383333</v>
      </c>
      <c r="G56" s="115">
        <f t="shared" si="2"/>
        <v>257466.28926666666</v>
      </c>
      <c r="H56" s="115">
        <f>IFERROR((VLOOKUP("Parcela B",TabFinanCovid[],4,FALSE)/12),0)</f>
        <v>-1194493.8934755167</v>
      </c>
      <c r="I56" s="115">
        <f>IFERROR(VLOOKUP("Créditos de Pis/Cofins",TabFinanNeutralidade[[#All],[Detalhe_Grupo_TARIFA]:[valor]],2,FALSE)/12,0)</f>
        <v>0</v>
      </c>
      <c r="J56" s="142">
        <f t="shared" si="5"/>
        <v>2560460.2746937391</v>
      </c>
    </row>
    <row r="57" spans="2:12">
      <c r="B57" s="267">
        <f>Indexador!B47</f>
        <v>44743</v>
      </c>
      <c r="C57" s="115">
        <f t="shared" si="3"/>
        <v>784999.28202092752</v>
      </c>
      <c r="D57" s="140">
        <f t="shared" si="4"/>
        <v>0</v>
      </c>
      <c r="E57" s="115">
        <f t="shared" si="0"/>
        <v>16220.140467811585</v>
      </c>
      <c r="F57" s="115">
        <f t="shared" si="1"/>
        <v>1501774.5629383333</v>
      </c>
      <c r="G57" s="115">
        <f t="shared" si="2"/>
        <v>257466.28926666666</v>
      </c>
      <c r="H57" s="115">
        <f>IFERROR((VLOOKUP("Parcela B",TabFinanCovid[],4,FALSE)/12),0)</f>
        <v>-1194493.8934755167</v>
      </c>
      <c r="I57" s="115">
        <f>IFERROR(VLOOKUP("Créditos de Pis/Cofins",TabFinanNeutralidade[[#All],[Detalhe_Grupo_TARIFA]:[valor]],2,FALSE)/12,0)</f>
        <v>0</v>
      </c>
      <c r="J57" s="142">
        <f t="shared" si="5"/>
        <v>2560460.2746937391</v>
      </c>
    </row>
    <row r="58" spans="2:12">
      <c r="B58" s="267">
        <f>Indexador!B48</f>
        <v>44774</v>
      </c>
      <c r="C58" s="1153">
        <f t="shared" si="3"/>
        <v>784999.28202092752</v>
      </c>
      <c r="D58" s="1300">
        <f t="shared" si="4"/>
        <v>0</v>
      </c>
      <c r="E58" s="1153">
        <f t="shared" si="0"/>
        <v>16220.140467811585</v>
      </c>
      <c r="F58" s="1153">
        <f t="shared" si="1"/>
        <v>1501774.5629383333</v>
      </c>
      <c r="G58" s="1153">
        <f t="shared" si="2"/>
        <v>257466.28926666666</v>
      </c>
      <c r="H58" s="1153">
        <f>IFERROR((VLOOKUP("Parcela B",TabFinanCovid[],4,FALSE)/12),0)</f>
        <v>-1194493.8934755167</v>
      </c>
      <c r="I58" s="1153">
        <f>IFERROR(VLOOKUP("Créditos de Pis/Cofins",TabFinanNeutralidade[[#All],[Detalhe_Grupo_TARIFA]:[valor]],2,FALSE)/12,0)</f>
        <v>0</v>
      </c>
      <c r="J58" s="1301">
        <f t="shared" si="5"/>
        <v>2560460.2746937391</v>
      </c>
    </row>
    <row r="60" spans="2:12">
      <c r="C60" s="68" t="s">
        <v>1277</v>
      </c>
      <c r="L60" s="196">
        <v>42491</v>
      </c>
    </row>
    <row r="61" spans="2:12" ht="28.5">
      <c r="C61" s="1452" t="s">
        <v>2081</v>
      </c>
      <c r="D61" s="1233" t="s">
        <v>46</v>
      </c>
      <c r="E61" s="1233" t="s">
        <v>40</v>
      </c>
      <c r="F61" s="1233" t="s">
        <v>41</v>
      </c>
      <c r="G61" s="1233" t="s">
        <v>47</v>
      </c>
      <c r="H61" s="1464" t="s">
        <v>2082</v>
      </c>
      <c r="I61" s="1464" t="s">
        <v>2084</v>
      </c>
      <c r="J61" s="1233" t="s">
        <v>1276</v>
      </c>
      <c r="L61" s="1233" t="s">
        <v>48</v>
      </c>
    </row>
    <row r="62" spans="2:12">
      <c r="B62" s="267">
        <f t="shared" ref="B62:B73" si="6">B47</f>
        <v>44440</v>
      </c>
      <c r="C62" s="1302">
        <f ca="1">Calc_Mercado!S63</f>
        <v>778330.18819466128</v>
      </c>
      <c r="D62" s="1302">
        <f ca="1">Calc_Mercado!F63</f>
        <v>0</v>
      </c>
      <c r="E62" s="1144">
        <f ca="1">Calc_Mercado!I63</f>
        <v>16105.488164861597</v>
      </c>
      <c r="F62" s="1290">
        <f ca="1">Calc_Mercado!H63</f>
        <v>1489015.9837962596</v>
      </c>
      <c r="G62" s="1290">
        <f ca="1">Calc_Mercado!G63</f>
        <v>255059.6197702268</v>
      </c>
      <c r="H62" s="1465">
        <f ca="1">IFERROR((VLOOKUP("Parcela B",TabFinanCovid[],4,FALSE)/VLOOKUP("Parcela B",TabFinanNeutralidade[],3,FALSE))*Calc_Mercado!T63,0)</f>
        <v>-1208379.0890093883</v>
      </c>
      <c r="I62" s="1465">
        <f ca="1">Calc_Mercado!U63</f>
        <v>0</v>
      </c>
      <c r="J62" s="1299">
        <f t="shared" ref="J62:J73" ca="1" si="7">SUM(C62:G62)</f>
        <v>2538511.2799260095</v>
      </c>
      <c r="L62" s="1302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777733.86419194378</v>
      </c>
      <c r="D63" s="141">
        <f ca="1">Calc_Mercado!F64</f>
        <v>0</v>
      </c>
      <c r="E63" s="115">
        <f ca="1">Calc_Mercado!I64</f>
        <v>16037.786401297402</v>
      </c>
      <c r="F63" s="80">
        <f ca="1">Calc_Mercado!H64</f>
        <v>1487875.1620922643</v>
      </c>
      <c r="G63" s="80">
        <f ca="1">Calc_Mercado!G64</f>
        <v>255112.46443057375</v>
      </c>
      <c r="H63" s="80">
        <f ca="1">IFERROR((VLOOKUP("Parcela B",TabFinanCovid[],4,FALSE)/VLOOKUP("Parcela B",TabFinanNeutralidade[],3,FALSE))*Calc_Mercado!T64,0)</f>
        <v>-1189270.9537919336</v>
      </c>
      <c r="I63" s="80">
        <f ca="1">Calc_Mercado!U64</f>
        <v>0</v>
      </c>
      <c r="J63" s="142">
        <f t="shared" ca="1" si="7"/>
        <v>2536759.2771160793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787544.86995214119</v>
      </c>
      <c r="D64" s="141">
        <f ca="1">Calc_Mercado!F65</f>
        <v>0</v>
      </c>
      <c r="E64" s="115">
        <f ca="1">Calc_Mercado!I65</f>
        <v>16199.080597820628</v>
      </c>
      <c r="F64" s="80">
        <f ca="1">Calc_Mercado!H65</f>
        <v>1506644.5026827096</v>
      </c>
      <c r="G64" s="80">
        <f ca="1">Calc_Mercado!G65</f>
        <v>258631.34117941797</v>
      </c>
      <c r="H64" s="80">
        <f ca="1">IFERROR((VLOOKUP("Parcela B",TabFinanCovid[],4,FALSE)/VLOOKUP("Parcela B",TabFinanNeutralidade[],3,FALSE))*Calc_Mercado!T65,0)</f>
        <v>-1196092.8019542398</v>
      </c>
      <c r="I64" s="80">
        <f ca="1">Calc_Mercado!U65</f>
        <v>0</v>
      </c>
      <c r="J64" s="142">
        <f t="shared" ca="1" si="7"/>
        <v>2569019.794412089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771600.18439541943</v>
      </c>
      <c r="D65" s="141">
        <f ca="1">Calc_Mercado!F66</f>
        <v>0</v>
      </c>
      <c r="E65" s="115">
        <f ca="1">Calc_Mercado!I66</f>
        <v>16027.86622715822</v>
      </c>
      <c r="F65" s="80">
        <f ca="1">Calc_Mercado!H66</f>
        <v>1476140.8783717561</v>
      </c>
      <c r="G65" s="80">
        <f ca="1">Calc_Mercado!G66</f>
        <v>252646.13259017019</v>
      </c>
      <c r="H65" s="80">
        <f ca="1">IFERROR((VLOOKUP("Parcela B",TabFinanCovid[],4,FALSE)/VLOOKUP("Parcela B",TabFinanNeutralidade[],3,FALSE))*Calc_Mercado!T66,0)</f>
        <v>-1224847.7881167512</v>
      </c>
      <c r="I65" s="80">
        <f ca="1">Calc_Mercado!U66</f>
        <v>0</v>
      </c>
      <c r="J65" s="142">
        <f t="shared" ca="1" si="7"/>
        <v>2516415.0615845039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836317.87504274095</v>
      </c>
      <c r="D66" s="141">
        <f ca="1">Calc_Mercado!F67</f>
        <v>0</v>
      </c>
      <c r="E66" s="115">
        <f ca="1">Calc_Mercado!I67</f>
        <v>17619.805367673347</v>
      </c>
      <c r="F66" s="80">
        <f ca="1">Calc_Mercado!H67</f>
        <v>1599951.668791903</v>
      </c>
      <c r="G66" s="80">
        <f ca="1">Calc_Mercado!G67</f>
        <v>273146.34397241921</v>
      </c>
      <c r="H66" s="80">
        <f ca="1">IFERROR((VLOOKUP("Parcela B",TabFinanCovid[],4,FALSE)/VLOOKUP("Parcela B",TabFinanNeutralidade[],3,FALSE))*Calc_Mercado!T67,0)</f>
        <v>-1316460.8269791957</v>
      </c>
      <c r="I66" s="80">
        <f ca="1">Calc_Mercado!U67</f>
        <v>0</v>
      </c>
      <c r="J66" s="142">
        <f t="shared" ca="1" si="7"/>
        <v>2727035.6931747366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838799.84272677219</v>
      </c>
      <c r="D67" s="141">
        <f ca="1">Calc_Mercado!F68</f>
        <v>0</v>
      </c>
      <c r="E67" s="115">
        <f ca="1">Calc_Mercado!I68</f>
        <v>17730.218324189907</v>
      </c>
      <c r="F67" s="80">
        <f ca="1">Calc_Mercado!H68</f>
        <v>1604699.8972543762</v>
      </c>
      <c r="G67" s="80">
        <f ca="1">Calc_Mercado!G68</f>
        <v>273517.48748617136</v>
      </c>
      <c r="H67" s="80">
        <f ca="1">IFERROR((VLOOKUP("Parcela B",TabFinanCovid[],4,FALSE)/VLOOKUP("Parcela B",TabFinanNeutralidade[],3,FALSE))*Calc_Mercado!T68,0)</f>
        <v>-1327311.4181439374</v>
      </c>
      <c r="I67" s="80">
        <f ca="1">Calc_Mercado!U68</f>
        <v>0</v>
      </c>
      <c r="J67" s="142">
        <f t="shared" ca="1" si="7"/>
        <v>2734747.4457915099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890877.7411468206</v>
      </c>
      <c r="D68" s="141">
        <f ca="1">Calc_Mercado!F69</f>
        <v>0</v>
      </c>
      <c r="E68" s="115">
        <f ca="1">Calc_Mercado!I69</f>
        <v>18614.645340743438</v>
      </c>
      <c r="F68" s="80">
        <f ca="1">Calc_Mercado!H69</f>
        <v>1704329.6229493758</v>
      </c>
      <c r="G68" s="80">
        <f ca="1">Calc_Mercado!G69</f>
        <v>291003.99192525045</v>
      </c>
      <c r="H68" s="80">
        <f ca="1">IFERROR((VLOOKUP("Parcela B",TabFinanCovid[],4,FALSE)/VLOOKUP("Parcela B",TabFinanNeutralidade[],3,FALSE))*Calc_Mercado!T69,0)</f>
        <v>-1341574.2816490068</v>
      </c>
      <c r="I68" s="80">
        <f ca="1">Calc_Mercado!U69</f>
        <v>0</v>
      </c>
      <c r="J68" s="142">
        <f t="shared" ca="1" si="7"/>
        <v>2904826.0013621901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786771.46328839054</v>
      </c>
      <c r="D69" s="141">
        <f ca="1">Calc_Mercado!F70</f>
        <v>0</v>
      </c>
      <c r="E69" s="115">
        <f ca="1">Calc_Mercado!I70</f>
        <v>16369.268425018228</v>
      </c>
      <c r="F69" s="80">
        <f ca="1">Calc_Mercado!H70</f>
        <v>1505164.9058460887</v>
      </c>
      <c r="G69" s="80">
        <f ca="1">Calc_Mercado!G70</f>
        <v>257443.93236790839</v>
      </c>
      <c r="H69" s="80">
        <f ca="1">IFERROR((VLOOKUP("Parcela B",TabFinanCovid[],4,FALSE)/VLOOKUP("Parcela B",TabFinanNeutralidade[],3,FALSE))*Calc_Mercado!T70,0)</f>
        <v>-1213279.2909599547</v>
      </c>
      <c r="I69" s="80">
        <f ca="1">Calc_Mercado!U70</f>
        <v>0</v>
      </c>
      <c r="J69" s="142">
        <f t="shared" ca="1" si="7"/>
        <v>2565749.5699274056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785708.88732590096</v>
      </c>
      <c r="D70" s="141">
        <f ca="1">Calc_Mercado!F71</f>
        <v>0</v>
      </c>
      <c r="E70" s="115">
        <f ca="1">Calc_Mercado!I71</f>
        <v>16038.755236958255</v>
      </c>
      <c r="F70" s="80">
        <f ca="1">Calc_Mercado!H71</f>
        <v>1503132.1020102068</v>
      </c>
      <c r="G70" s="80">
        <f ca="1">Calc_Mercado!G71</f>
        <v>258868.52505089334</v>
      </c>
      <c r="H70" s="80">
        <f ca="1">IFERROR((VLOOKUP("Parcela B",TabFinanCovid[],4,FALSE)/VLOOKUP("Parcela B",TabFinanNeutralidade[],3,FALSE))*Calc_Mercado!T71,0)</f>
        <v>-1196594.7825538004</v>
      </c>
      <c r="I70" s="80">
        <f ca="1">Calc_Mercado!U71</f>
        <v>0</v>
      </c>
      <c r="J70" s="142">
        <f t="shared" ca="1" si="7"/>
        <v>2563748.2696239594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754475.68671750952</v>
      </c>
      <c r="D71" s="141">
        <f ca="1">Calc_Mercado!F72</f>
        <v>0</v>
      </c>
      <c r="E71" s="115">
        <f ca="1">Calc_Mercado!I72</f>
        <v>15609.019150499864</v>
      </c>
      <c r="F71" s="80">
        <f ca="1">Calc_Mercado!H72</f>
        <v>1443380.1668592882</v>
      </c>
      <c r="G71" s="80">
        <f ca="1">Calc_Mercado!G72</f>
        <v>247199.5334935858</v>
      </c>
      <c r="H71" s="80">
        <f ca="1">IFERROR((VLOOKUP("Parcela B",TabFinanCovid[],4,FALSE)/VLOOKUP("Parcela B",TabFinanNeutralidade[],3,FALSE))*Calc_Mercado!T72,0)</f>
        <v>-1200445.8308448531</v>
      </c>
      <c r="I71" s="80">
        <f ca="1">Calc_Mercado!U72</f>
        <v>0</v>
      </c>
      <c r="J71" s="142">
        <f t="shared" ca="1" si="7"/>
        <v>2460664.4062208836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766995.87329605792</v>
      </c>
      <c r="D72" s="141">
        <f ca="1">Calc_Mercado!F73</f>
        <v>0</v>
      </c>
      <c r="E72" s="115">
        <f ca="1">Calc_Mercado!I73</f>
        <v>15839.17768090024</v>
      </c>
      <c r="F72" s="80">
        <f ca="1">Calc_Mercado!H73</f>
        <v>1467332.4151702675</v>
      </c>
      <c r="G72" s="80">
        <f ca="1">Calc_Mercado!G73</f>
        <v>251525.101625874</v>
      </c>
      <c r="H72" s="80">
        <f ca="1">IFERROR((VLOOKUP("Parcela B",TabFinanCovid[],4,FALSE)/VLOOKUP("Parcela B",TabFinanNeutralidade[],3,FALSE))*Calc_Mercado!T73,0)</f>
        <v>-1220880.84087501</v>
      </c>
      <c r="I72" s="80">
        <f ca="1">Calc_Mercado!U73</f>
        <v>0</v>
      </c>
      <c r="J72" s="142">
        <f t="shared" ca="1" si="7"/>
        <v>2501692.5677730995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3">
        <f ca="1">Calc_Mercado!S74</f>
        <v>766995.87329605792</v>
      </c>
      <c r="D73" s="1303">
        <f ca="1">Calc_Mercado!F74</f>
        <v>0</v>
      </c>
      <c r="E73" s="1153">
        <f ca="1">Calc_Mercado!I74</f>
        <v>15839.17768090024</v>
      </c>
      <c r="F73" s="1295">
        <f ca="1">Calc_Mercado!H74</f>
        <v>1467332.4151702675</v>
      </c>
      <c r="G73" s="1295">
        <f ca="1">Calc_Mercado!G74</f>
        <v>251525.101625874</v>
      </c>
      <c r="H73" s="1295">
        <f ca="1">IFERROR((VLOOKUP("Parcela B",TabFinanCovid[],4,FALSE)/VLOOKUP("Parcela B",TabFinanNeutralidade[],3,FALSE))*Calc_Mercado!T74,0)</f>
        <v>-1220880.84087501</v>
      </c>
      <c r="I73" s="1295">
        <f ca="1">Calc_Mercado!U74</f>
        <v>0</v>
      </c>
      <c r="J73" s="1301">
        <f t="shared" ca="1" si="7"/>
        <v>2501692.5677730995</v>
      </c>
      <c r="L73" s="1303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N190" zoomScaleNormal="100" workbookViewId="0">
      <selection activeCell="AS218" sqref="AS218:AX285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221.63218765683925</v>
      </c>
      <c r="AE6" s="23">
        <f>SMALL(Q41:Q42,1)</f>
        <v>271.02532390397084</v>
      </c>
    </row>
    <row r="7" spans="2:49" ht="18.75" customHeight="1">
      <c r="B7" s="299" t="s">
        <v>735</v>
      </c>
      <c r="K7" s="1052" t="s">
        <v>736</v>
      </c>
      <c r="L7" s="1052" t="s">
        <v>737</v>
      </c>
      <c r="S7" s="1840" t="s">
        <v>738</v>
      </c>
      <c r="T7" s="1840"/>
      <c r="U7" s="1840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7.4271607749714003E-2</v>
      </c>
      <c r="S8" s="47" t="s">
        <v>744</v>
      </c>
      <c r="T8" s="364">
        <f ca="1">U8/$U$15</f>
        <v>0.23076797783289793</v>
      </c>
      <c r="U8" s="56">
        <f>AU239</f>
        <v>39323417.770000003</v>
      </c>
      <c r="V8" s="61" t="s">
        <v>192</v>
      </c>
      <c r="W8" s="62">
        <f ca="1">T12</f>
        <v>0.22678003881022252</v>
      </c>
      <c r="X8" s="62">
        <f ca="1">W8/(1-$W$10)</f>
        <v>0.29329304750651947</v>
      </c>
    </row>
    <row r="9" spans="2:49" ht="15" customHeight="1">
      <c r="B9" s="301" t="s">
        <v>745</v>
      </c>
      <c r="K9" s="360" t="s">
        <v>717</v>
      </c>
      <c r="L9" s="361">
        <f ca="1">Resultado!E24</f>
        <v>2.0606971808841398E-2</v>
      </c>
      <c r="S9" s="47" t="s">
        <v>746</v>
      </c>
      <c r="T9" s="364">
        <f ca="1">U9/$U$15</f>
        <v>0.24071246922133327</v>
      </c>
      <c r="U9" s="56">
        <f ca="1">AU230</f>
        <v>41017982.991093092</v>
      </c>
      <c r="V9" s="47" t="s">
        <v>747</v>
      </c>
      <c r="W9" s="57">
        <f ca="1">T13</f>
        <v>0</v>
      </c>
      <c r="X9" s="62">
        <f ca="1">W9/(1-$W$10)</f>
        <v>0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-3.1537486659216338E-2</v>
      </c>
      <c r="S10" s="47" t="s">
        <v>750</v>
      </c>
      <c r="T10" s="364">
        <f ca="1">U10/$U$15</f>
        <v>6.2525509402502719E-2</v>
      </c>
      <c r="U10" s="56">
        <f>AU232</f>
        <v>10654497</v>
      </c>
      <c r="V10" s="1053" t="s">
        <v>751</v>
      </c>
      <c r="W10" s="1054">
        <f ca="1">SUM(W8:W9)</f>
        <v>0.22678003881022252</v>
      </c>
      <c r="X10" s="1054">
        <f ca="1">SUM(X8:X9)</f>
        <v>0.29329304750651947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-4.8391631593352184E-2</v>
      </c>
      <c r="S11" s="1055" t="s">
        <v>743</v>
      </c>
      <c r="T11" s="1056">
        <f ca="1">U11/$U$15</f>
        <v>0.23921400473304341</v>
      </c>
      <c r="U11" s="1057">
        <f ca="1">AU219</f>
        <v>40762641.042700239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linktxttotfin</f>
        <v>-8.8999999999999999E-3</v>
      </c>
      <c r="S12" s="47" t="s">
        <v>192</v>
      </c>
      <c r="T12" s="57">
        <f ca="1">Calc_Mercado!J8</f>
        <v>0.22678003881022252</v>
      </c>
      <c r="U12" s="56">
        <f ca="1">T12*U15</f>
        <v>38643863.380770549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0.12039999999999999</v>
      </c>
      <c r="S13" s="47" t="s">
        <v>755</v>
      </c>
      <c r="T13" s="58">
        <f ca="1">Calc_Mercado!J9</f>
        <v>0</v>
      </c>
      <c r="U13" s="56">
        <f ca="1">T13*U15</f>
        <v>0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0.12638835568023654</v>
      </c>
      <c r="S14" s="47" t="s">
        <v>758</v>
      </c>
      <c r="T14" s="364">
        <f ca="1">SUM(T12:T13)</f>
        <v>0.22678003881022252</v>
      </c>
      <c r="U14" s="56">
        <f ca="1">SUM(U12:U13)</f>
        <v>38643863.380770549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3" t="s">
        <v>760</v>
      </c>
      <c r="T15" s="1058">
        <f ca="1">SUM(T8:T11)+T14</f>
        <v>0.99999999999999978</v>
      </c>
      <c r="U15" s="1059">
        <f ca="1">SUM(U8:U11)/(1-T14)</f>
        <v>170402402.18456391</v>
      </c>
      <c r="V15" s="633"/>
      <c r="AC15" s="23" t="s">
        <v>761</v>
      </c>
      <c r="AD15" s="413">
        <f ca="1">Resultado!C39</f>
        <v>45605514.477423474</v>
      </c>
      <c r="AE15" s="413">
        <f ca="1">Resultado!C33</f>
        <v>45112111.140504189</v>
      </c>
      <c r="AF15" s="413">
        <f ca="1">Resultado!C24</f>
        <v>7979344.5926966937</v>
      </c>
      <c r="AG15" s="413">
        <f ca="1">Resultado!C14</f>
        <v>31120861.934685566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39323417.770000003</v>
      </c>
      <c r="AE16" s="413">
        <f ca="1">Resultado!D33</f>
        <v>41017982.991093092</v>
      </c>
      <c r="AF16" s="413">
        <f>Resultado!D24</f>
        <v>10654497</v>
      </c>
      <c r="AG16" s="413">
        <f ca="1">Resultado!D14</f>
        <v>40762641.042700239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8" t="s">
        <v>765</v>
      </c>
      <c r="T20" s="1838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0.29845062131842554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0.3113117628920774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8.0863806602060287E-2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3.5962552111678273E-2</v>
      </c>
      <c r="AL26" s="353"/>
    </row>
    <row r="27" spans="2:46" ht="15" customHeight="1">
      <c r="S27" s="47" t="s">
        <v>41</v>
      </c>
      <c r="T27" s="55">
        <f ca="1">AX223</f>
        <v>0.20059585615394721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7.2815400921811241E-2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0" t="s">
        <v>769</v>
      </c>
      <c r="T31" s="1061">
        <f ca="1">SUM(T21:T30)</f>
        <v>0.99999999999999989</v>
      </c>
    </row>
    <row r="36" spans="1:36" ht="15" customHeight="1">
      <c r="N36" s="632" t="s">
        <v>770</v>
      </c>
      <c r="O36" s="632"/>
      <c r="P36" s="1062" t="e">
        <f>VLOOKUP(LnkTXTSigla,Informacoes[],35,FALSE)</f>
        <v>#REF!</v>
      </c>
      <c r="Q36" s="1063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4"/>
      <c r="M38" s="1065">
        <f t="shared" ref="M38:V38" si="0">DATE(M37,MONTH(DataRevRea),1)</f>
        <v>41518</v>
      </c>
      <c r="N38" s="1065">
        <f t="shared" si="0"/>
        <v>41883</v>
      </c>
      <c r="O38" s="1065">
        <f t="shared" si="0"/>
        <v>42248</v>
      </c>
      <c r="P38" s="1065">
        <f t="shared" si="0"/>
        <v>42614</v>
      </c>
      <c r="Q38" s="1065">
        <f t="shared" si="0"/>
        <v>42979</v>
      </c>
      <c r="R38" s="1065">
        <f t="shared" si="0"/>
        <v>43344</v>
      </c>
      <c r="S38" s="1065">
        <f t="shared" si="0"/>
        <v>43709</v>
      </c>
      <c r="T38" s="1065">
        <f t="shared" si="0"/>
        <v>44075</v>
      </c>
      <c r="U38" s="1065">
        <f t="shared" si="0"/>
        <v>44440</v>
      </c>
      <c r="V38" s="1065">
        <f t="shared" si="0"/>
        <v>44805</v>
      </c>
      <c r="W38" s="1065" t="s">
        <v>704</v>
      </c>
    </row>
    <row r="39" spans="1:36" ht="15" customHeight="1">
      <c r="L39" s="65" t="str">
        <f>CAPA!C9</f>
        <v>Coopera</v>
      </c>
      <c r="M39" s="401">
        <f>SUMIF(TAbtarifasb1[[#All],[Sigla]],LnkTXTSigla,TAbtarifasb1[[#All],[2013]])</f>
        <v>208.08</v>
      </c>
      <c r="N39" s="401">
        <f>SUMIF(TAbtarifasb1[[#All],[Sigla]],LnkTXTSigla,TAbtarifasb1[[#All],[2014]])</f>
        <v>214.45</v>
      </c>
      <c r="O39" s="401">
        <f>SUMIF(TAbtarifasb1[[#All],[Sigla]],LnkTXTSigla,TAbtarifasb1[[#All],[2015]])</f>
        <v>249.71</v>
      </c>
      <c r="P39" s="411">
        <f>SUMIF(TAbtarifasb1[[#All],[Sigla]],LnkTXTSigla,TAbtarifasb1[[#All],[2016]])</f>
        <v>296.18</v>
      </c>
      <c r="Q39" s="411">
        <f>SUMIF(TAbtarifasb1[[#All],[Sigla]],LnkTXTSigla,TAbtarifasb1[[#All],[2017]])</f>
        <v>309.25</v>
      </c>
      <c r="R39" s="755">
        <f>SUMIF(TAbtarifasb1[[#All],[Sigla]],LnkTXTSigla,TAbtarifasb1[[#All],[2018]])</f>
        <v>338.07</v>
      </c>
      <c r="S39" s="755">
        <f>SUMIF(TAbtarifasb1[[#All],[Sigla]],LnkTXTSigla,TAbtarifasb1[[#All],[2019]])</f>
        <v>387.09</v>
      </c>
      <c r="T39" s="413">
        <f>SUMIF(TAbtarifasb1[[#All],[Sigla]],LnkTXTSigla,TAbtarifasb1[[#All],[2020]])</f>
        <v>395.17</v>
      </c>
      <c r="U39" s="413">
        <f>SUMIF(TAbtarifasb1[[#All],[Sigla]],LnkTXTSigla,TAbtarifasb1[[#All],[2021]])</f>
        <v>403.03</v>
      </c>
      <c r="V39" s="413">
        <f>Resultado!L6</f>
        <v>458.58</v>
      </c>
      <c r="W39" s="743">
        <f>V39/M39-1</f>
        <v>1.2038638985005763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3">
        <f>V40/M40-1</f>
        <v>-1</v>
      </c>
    </row>
    <row r="41" spans="1:36" ht="15" customHeight="1">
      <c r="L41" s="65" t="s">
        <v>771</v>
      </c>
      <c r="M41" s="402">
        <f>M39</f>
        <v>208.08</v>
      </c>
      <c r="N41" s="402">
        <f>VLOOKUP(DATE(YEAR(O38),MONTH(O38)-1,1),Índices!$B:$F,2,FALSE)/VLOOKUP(DATE(YEAR(Q36),MONTH(Q36)-1,1),Índices!$B:$F,2,FALSE)*M41</f>
        <v>234.73397540621946</v>
      </c>
      <c r="O41" s="402">
        <f>VLOOKUP(DATE(YEAR(O38),MONTH(O38)-1,1),Índices!$B:$F,2,FALSE)/VLOOKUP(DATE(YEAR(N38),MONTH(N38)-1,1),Índices!$B:$F,2,FALSE)*N41</f>
        <v>252.46401222841379</v>
      </c>
      <c r="P41" s="402">
        <f>VLOOKUP(DATE(YEAR(P38),MONTH(P38)-1,1),Índices!$B:$F,2,FALSE)/VLOOKUP(DATE(YEAR(O38),MONTH(O38)-1,1),Índices!$B:$F,2,FALSE)*O41</f>
        <v>281.46954017735555</v>
      </c>
      <c r="Q41" s="402">
        <f>VLOOKUP(DATE(YEAR(Q38),MONTH(Q38)-1,1),Índices!$B:$F,2,FALSE)/VLOOKUP(DATE(YEAR(P38),MONTH(P38)-1,1),Índices!$B:$F,2,FALSE)*P41</f>
        <v>276.65288804504092</v>
      </c>
      <c r="R41" s="363">
        <f>IF(R37=YEAR(CAPA!$C$114),'Tabelas e Gráficos'!R39,(VLOOKUP(DATE(YEAR(R38),MONTH(R38)-1,1),Índices!$B:$F,2,FALSE)/VLOOKUP(DATE(YEAR(Q38),MONTH(Q38)-1,1),Índices!$B:$F,2,FALSE)*Q41))</f>
        <v>301.25091525502717</v>
      </c>
      <c r="S41" s="363">
        <f>IF(S37=YEAR(CAPA!$C$114),'Tabelas e Gráficos'!S39,(VLOOKUP(DATE(YEAR(S38),MONTH(S38)-1,1),Índices!$B:$F,2,FALSE)/VLOOKUP(DATE(YEAR(R38),MONTH(R38)-1,1),Índices!$B:$F,2,FALSE)*R41))</f>
        <v>316.15939598366845</v>
      </c>
      <c r="T41" s="363">
        <f>IF(T37=YEAR(CAPA!$C$114),'Tabelas e Gráficos'!T39,(VLOOKUP(DATE(YEAR(T38),MONTH(T38)-1,1),Índices!$B:$F,2,FALSE)/VLOOKUP(DATE(YEAR(S38),MONTH(S38)-1,1),Índices!$B:$F,2,FALSE)*S41))</f>
        <v>357.33685588761983</v>
      </c>
      <c r="U41" s="402">
        <f>VLOOKUP(DATE(YEAR(U38),MONTH(U38)-1,1),Índices!$B:$F,2,FALSE)/VLOOKUP(DATE(YEAR(T38),MONTH(T38)-1,1),Índices!$B:$F,2,FALSE)*T41</f>
        <v>468.52342503553427</v>
      </c>
      <c r="V41" s="402">
        <f>VLOOKUP(DATE(YEAR(V38),MONTH(V38)-1,1),Índices!$B:$F,2,FALSE)/VLOOKUP(DATE(YEAR(U38),MONTH(U38)-1,1),Índices!$B:$F,2,FALSE)*U41</f>
        <v>508.75764715227689</v>
      </c>
      <c r="W41" s="743">
        <f>V41/M41-1</f>
        <v>1.4450098382942946</v>
      </c>
    </row>
    <row r="42" spans="1:36" ht="15" customHeight="1">
      <c r="L42" s="1066" t="s">
        <v>772</v>
      </c>
      <c r="M42" s="1068">
        <f>M39</f>
        <v>208.08</v>
      </c>
      <c r="N42" s="1068">
        <f>VLOOKUP(DATE(YEAR(N38),MONTH(N38)-1,1),Índices!$B:$F,3,FALSE)/VLOOKUP(DATE(YEAR(Q36),MONTH(Q36)-1,1),Índices!$B:$F,3,FALSE)*M42</f>
        <v>221.63218765683925</v>
      </c>
      <c r="O42" s="1068">
        <f>VLOOKUP(DATE(YEAR(O38),MONTH(O38)-1,1),Índices!$B:$F,3,FALSE)/VLOOKUP(DATE(YEAR(N38),MONTH(N38)-1,1),Índices!$B:$F,3,FALSE)*N42</f>
        <v>242.74371153665513</v>
      </c>
      <c r="P42" s="1068">
        <f>VLOOKUP(DATE(YEAR(P38),MONTH(P38)-1,1),Índices!$B:$F,3,FALSE)/VLOOKUP(DATE(YEAR(O38),MONTH(O38)-1,1),Índices!$B:$F,3,FALSE)*O42</f>
        <v>264.52874010655006</v>
      </c>
      <c r="Q42" s="1068">
        <f>VLOOKUP(DATE(YEAR(Q38),MONTH(Q38)-1,1),Índices!$B:$F,3,FALSE)/VLOOKUP(DATE(YEAR(P38),MONTH(P38)-1,1),Índices!$B:$F,3,FALSE)*P42</f>
        <v>271.02532390397084</v>
      </c>
      <c r="R42" s="1067">
        <f>IF(R37=YEAR(CAPA!$C$114),'Tabelas e Gráficos'!R39,(VLOOKUP(DATE(YEAR(R38),MONTH(R38)-1,1),Índices!$B:$F,3,FALSE)/VLOOKUP(DATE(YEAR(Q38),MONTH(Q38)-1,1),Índices!$B:$F,3,FALSE)*'Tabelas e Gráficos'!Q42))</f>
        <v>282.38945901045383</v>
      </c>
      <c r="S42" s="1067">
        <f>IF(S37=YEAR(CAPA!$C$114),'Tabelas e Gráficos'!S39,(VLOOKUP(DATE(YEAR(S38),MONTH(S38)-1,1),Índices!$B:$F,3,FALSE)/VLOOKUP(DATE(YEAR(R38),MONTH(R38)-1,1),Índices!$B:$F,3,FALSE)*'Tabelas e Gráficos'!R42))</f>
        <v>292.07150777654033</v>
      </c>
      <c r="T42" s="1067">
        <f>IF(T37=YEAR(CAPA!$C$114),'Tabelas e Gráficos'!T39,(VLOOKUP(DATE(YEAR(T38),MONTH(T38)-1,1),Índices!$B:$F,3,FALSE)/VLOOKUP(DATE(YEAR(S38),MONTH(S38)-1,1),Índices!$B:$F,3,FALSE)*'Tabelas e Gráficos'!S42))</f>
        <v>299.19356856640599</v>
      </c>
      <c r="U42" s="1068">
        <f>VLOOKUP(DATE(YEAR(U38),MONTH(U38)-1,1),Índices!$B:$F,3,FALSE)/VLOOKUP(DATE(YEAR(T38),MONTH(T38)-1,1),Índices!$B:$F,3,FALSE)*T42</f>
        <v>328.15482870140517</v>
      </c>
      <c r="V42" s="1068">
        <f>VLOOKUP(DATE(YEAR(V38),MONTH(V38)-1,1),Índices!$B:$F,3,FALSE)/VLOOKUP(DATE(YEAR(U38),MONTH(U38)-1,1),Índices!$B:$F,3,FALSE)*U42</f>
        <v>356.79385649297512</v>
      </c>
      <c r="W42" s="743">
        <f>V42/M42-1</f>
        <v>0.71469558099276775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3"/>
      <c r="B49" s="643"/>
      <c r="C49" s="643"/>
      <c r="D49" s="643"/>
      <c r="E49" s="643"/>
      <c r="F49" s="643"/>
      <c r="G49" s="643"/>
      <c r="H49" s="644"/>
      <c r="I49" s="643"/>
      <c r="J49" s="643"/>
      <c r="K49" s="645"/>
      <c r="L49" s="645"/>
      <c r="M49" s="645"/>
      <c r="N49" s="645"/>
      <c r="O49" s="645"/>
      <c r="P49" s="645"/>
      <c r="Q49" s="643"/>
      <c r="R49" s="643"/>
      <c r="S49" s="646"/>
      <c r="T49" s="643"/>
      <c r="U49" s="643"/>
      <c r="V49" s="643"/>
      <c r="W49" s="643"/>
      <c r="X49" s="643"/>
      <c r="Y49" s="643"/>
      <c r="Z49" s="643"/>
      <c r="AA49" s="643"/>
      <c r="AB49" s="643"/>
      <c r="AC49" s="643"/>
      <c r="AD49" s="643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9"/>
      <c r="M51" s="1839"/>
      <c r="N51" s="1839"/>
      <c r="O51" s="49"/>
      <c r="P51" s="49"/>
    </row>
    <row r="52" spans="1:47" ht="15" customHeight="1">
      <c r="B52" s="305" t="s">
        <v>776</v>
      </c>
      <c r="C52" s="306">
        <f ca="1">Resultado!C5</f>
        <v>131758538.80379334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129817832.14530993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1.4949461305986844E-2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-8.8999999999999999E-3</v>
      </c>
      <c r="D55" s="307"/>
      <c r="E55" s="28"/>
      <c r="H55" s="23"/>
      <c r="K55" s="49"/>
      <c r="L55" s="642"/>
      <c r="M55" s="639"/>
      <c r="N55" s="640"/>
      <c r="O55" s="49"/>
      <c r="P55" s="49"/>
    </row>
    <row r="56" spans="1:47" ht="15" customHeight="1">
      <c r="B56" s="1069" t="str">
        <f>Resultado!B9</f>
        <v>Variação econômica e financeira</v>
      </c>
      <c r="C56" s="1070">
        <f ca="1">C54+C55</f>
        <v>6.0494613059868443E-3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6"/>
      <c r="M57" s="516"/>
      <c r="N57" s="516"/>
      <c r="O57" s="516"/>
      <c r="P57" s="516"/>
      <c r="Q57" s="516"/>
      <c r="R57" s="516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7"/>
      <c r="M58" s="518"/>
      <c r="N58" s="519"/>
      <c r="O58" s="513"/>
      <c r="P58" s="513"/>
      <c r="Q58" s="514"/>
      <c r="R58" s="515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336793.47300000006</v>
      </c>
      <c r="G60" s="306">
        <f ca="1">Calc_Mercado!D8</f>
        <v>129817832.14530993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customHeight="1">
      <c r="B63" s="29"/>
      <c r="C63" s="29"/>
      <c r="D63" s="29"/>
      <c r="E63" s="305" t="s">
        <v>785</v>
      </c>
      <c r="F63" s="306">
        <f ca="1">Calc_Mercado!C11</f>
        <v>13359.382000000001</v>
      </c>
      <c r="G63" s="306">
        <f ca="1">Calc_Mercado!D11</f>
        <v>3841060.2238600003</v>
      </c>
      <c r="H63" s="313">
        <f t="shared" ca="1" si="1"/>
        <v>1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215464.09899999999</v>
      </c>
      <c r="G65" s="306">
        <f ca="1">Calc_Mercado!D13</f>
        <v>78451561.635600001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107969.99200000004</v>
      </c>
      <c r="G67" s="306">
        <f ca="1">Calc_Mercado!D15</f>
        <v>47525210.285849936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791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69" t="s">
        <v>769</v>
      </c>
      <c r="F70" s="1071">
        <f ca="1">Calc_Mercado!C25</f>
        <v>336793.47300000006</v>
      </c>
      <c r="G70" s="1071">
        <f ca="1">Calc_Mercado!D25</f>
        <v>129817832.14530993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41"/>
      <c r="D74" s="1841"/>
      <c r="E74" s="1841"/>
      <c r="I74" s="1072" t="s">
        <v>743</v>
      </c>
      <c r="J74" s="1073">
        <f ca="1">SUM(J75:J84)</f>
        <v>31120861.934685569</v>
      </c>
      <c r="K74" s="1074">
        <f ca="1">SUM(K75:K84)</f>
        <v>0.23972717322725612</v>
      </c>
      <c r="L74" s="313" t="s">
        <v>782</v>
      </c>
      <c r="N74" s="34"/>
      <c r="AG74" s="49"/>
      <c r="AH74" s="1832"/>
      <c r="AI74" s="1832"/>
      <c r="AJ74" s="1832"/>
      <c r="AK74" s="635"/>
      <c r="AL74" s="49"/>
      <c r="AM74" s="49"/>
      <c r="AN74" s="49"/>
      <c r="AO74" s="49"/>
    </row>
    <row r="75" spans="2:43" ht="15" hidden="1" customHeight="1">
      <c r="B75" s="30"/>
      <c r="C75" s="1836"/>
      <c r="D75" s="1836"/>
      <c r="E75" s="1836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3"/>
      <c r="AI75" s="1833"/>
      <c r="AJ75" s="1833"/>
      <c r="AK75" s="636"/>
      <c r="AL75" s="417"/>
      <c r="AM75" s="49"/>
      <c r="AN75" s="49"/>
      <c r="AO75" s="49"/>
    </row>
    <row r="76" spans="2:43" ht="15" hidden="1" customHeight="1">
      <c r="B76" s="30"/>
      <c r="C76" s="1836"/>
      <c r="D76" s="1836"/>
      <c r="E76" s="1836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7"/>
      <c r="AL76" s="49"/>
      <c r="AM76" s="49"/>
      <c r="AN76" s="49"/>
      <c r="AO76" s="49"/>
    </row>
    <row r="77" spans="2:43" ht="15" customHeight="1">
      <c r="B77" s="30"/>
      <c r="C77" s="1836"/>
      <c r="D77" s="1836"/>
      <c r="E77" s="1836"/>
      <c r="I77" s="35" t="str">
        <f>Resultado!B17</f>
        <v>Taxa de Fisc. de Serviços de E.E. – TFSEE</v>
      </c>
      <c r="J77" s="315">
        <f ca="1">Mercado_Faturado_Encargo_TFSEE_BRUTO</f>
        <v>198030.28859802135</v>
      </c>
      <c r="K77" s="36">
        <f ca="1">J77/$J$98</f>
        <v>1.5254475084467494E-3</v>
      </c>
      <c r="L77" s="313">
        <f ca="1">IF(J77=0,0,1)</f>
        <v>1</v>
      </c>
      <c r="N77" s="36"/>
      <c r="AG77" s="49"/>
      <c r="AH77" s="49"/>
      <c r="AI77" s="49"/>
      <c r="AJ77" s="49"/>
      <c r="AK77" s="637"/>
      <c r="AL77" s="49"/>
      <c r="AM77" s="49"/>
      <c r="AN77" s="49"/>
      <c r="AO77" s="49"/>
    </row>
    <row r="78" spans="2:43" ht="15" customHeight="1">
      <c r="B78" s="30"/>
      <c r="C78" s="1836"/>
      <c r="D78" s="1836"/>
      <c r="E78" s="1836"/>
      <c r="I78" s="35" t="str">
        <f>Resultado!B18</f>
        <v>Conta de Desenvolvimento Energético – CDE</v>
      </c>
      <c r="J78" s="315">
        <f ca="1">Mercado_Faturado_Encargo_CDE_BRUTO</f>
        <v>18254999.720994767</v>
      </c>
      <c r="K78" s="36">
        <f ca="1">J78/$J$98</f>
        <v>0.14062012451849656</v>
      </c>
      <c r="L78" s="313">
        <f t="shared" ref="L78:L95" ca="1" si="2">IF(J78=0,0,1)</f>
        <v>1</v>
      </c>
      <c r="N78" s="36"/>
      <c r="AG78" s="49"/>
      <c r="AH78" s="1833"/>
      <c r="AI78" s="1833"/>
      <c r="AJ78" s="1833"/>
      <c r="AK78" s="636"/>
      <c r="AL78" s="417"/>
      <c r="AM78" s="49"/>
      <c r="AN78" s="49"/>
      <c r="AO78" s="49"/>
    </row>
    <row r="79" spans="2:43" ht="15" customHeight="1">
      <c r="B79" s="30"/>
      <c r="C79" s="1836"/>
      <c r="D79" s="1836"/>
      <c r="E79" s="1836"/>
      <c r="I79" s="35" t="str">
        <f>M105</f>
        <v xml:space="preserve">CDE Conta-COVID </v>
      </c>
      <c r="J79" s="315">
        <f ca="1">Calc_Mercado!S75</f>
        <v>9542152.349574415</v>
      </c>
      <c r="K79" s="36">
        <f ca="1">J79/$J$98</f>
        <v>7.3504172669387427E-2</v>
      </c>
      <c r="L79" s="313">
        <f t="shared" ca="1" si="2"/>
        <v>1</v>
      </c>
      <c r="N79" s="36"/>
      <c r="AG79" s="49"/>
      <c r="AH79" s="49"/>
      <c r="AI79" s="49"/>
      <c r="AJ79" s="49"/>
      <c r="AK79" s="637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14"/>
      <c r="D80" s="1714"/>
      <c r="E80" s="1714"/>
      <c r="I80" s="35" t="s">
        <v>2303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7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6"/>
      <c r="D81" s="1836"/>
      <c r="E81" s="1836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7"/>
      <c r="AL81" s="49"/>
      <c r="AM81" s="49"/>
      <c r="AN81" s="49"/>
      <c r="AO81" s="49"/>
    </row>
    <row r="82" spans="2:41" ht="15" customHeight="1">
      <c r="B82" s="30"/>
      <c r="C82" s="1836"/>
      <c r="D82" s="1836"/>
      <c r="E82" s="1836"/>
      <c r="I82" s="35" t="str">
        <f>Resultado!B21</f>
        <v>PROINFA</v>
      </c>
      <c r="J82" s="315">
        <f ca="1">Mercado_Faturado_Encargo_PROINFA_BRUTO</f>
        <v>3125679.5755183659</v>
      </c>
      <c r="K82" s="36">
        <f ca="1">J82/$J$98</f>
        <v>2.4077428530925371E-2</v>
      </c>
      <c r="L82" s="313">
        <f t="shared" ca="1" si="2"/>
        <v>1</v>
      </c>
      <c r="N82" s="34"/>
      <c r="AG82" s="49"/>
      <c r="AH82" s="49"/>
      <c r="AI82" s="49"/>
      <c r="AJ82" s="49"/>
      <c r="AK82" s="637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3"/>
      <c r="AI83" s="1833"/>
      <c r="AJ83" s="1833"/>
      <c r="AK83" s="636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7"/>
      <c r="AL84" s="49"/>
      <c r="AM84" s="49"/>
      <c r="AN84" s="49"/>
      <c r="AO84" s="49"/>
    </row>
    <row r="85" spans="2:41" ht="15" customHeight="1">
      <c r="I85" s="1072" t="s">
        <v>795</v>
      </c>
      <c r="J85" s="1073">
        <f ca="1">SUM(Calc_Mercado!C79:C85)</f>
        <v>45112111.140504189</v>
      </c>
      <c r="K85" s="1074">
        <f ca="1">SUM(K86)</f>
        <v>0.34750319270474744</v>
      </c>
      <c r="L85" s="313">
        <f t="shared" ca="1" si="2"/>
        <v>1</v>
      </c>
      <c r="N85" s="36"/>
      <c r="AG85" s="49"/>
      <c r="AH85" s="49"/>
      <c r="AI85" s="49"/>
      <c r="AJ85" s="49"/>
      <c r="AK85" s="637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45112111.140504189</v>
      </c>
      <c r="K86" s="36">
        <f t="shared" ref="K86:K97" ca="1" si="3">J86/$J$98</f>
        <v>0.34750319270474744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49"/>
      <c r="AL86" s="49"/>
      <c r="AM86" s="49"/>
      <c r="AN86" s="49"/>
      <c r="AO86" s="49"/>
    </row>
    <row r="87" spans="2:41" ht="15" customHeight="1">
      <c r="B87" s="1835"/>
      <c r="C87" s="1835"/>
      <c r="D87" s="1835"/>
      <c r="E87" s="1835"/>
      <c r="F87" s="1835"/>
      <c r="G87" s="39"/>
      <c r="I87" s="1072" t="s">
        <v>797</v>
      </c>
      <c r="J87" s="1073">
        <f ca="1">Resultado!C24</f>
        <v>7979344.5926966937</v>
      </c>
      <c r="K87" s="1074">
        <f t="shared" ca="1" si="3"/>
        <v>6.1465705141071192E-2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49"/>
      <c r="AL87" s="49"/>
      <c r="AM87" s="49"/>
      <c r="AN87" s="49"/>
      <c r="AO87" s="49"/>
    </row>
    <row r="88" spans="2:41" ht="15" customHeight="1">
      <c r="B88" s="1834"/>
      <c r="C88" s="1834"/>
      <c r="D88" s="1834"/>
      <c r="E88" s="1834"/>
      <c r="F88" s="1834"/>
      <c r="G88" s="42"/>
      <c r="I88" s="37" t="s">
        <v>635</v>
      </c>
      <c r="J88" s="315">
        <f ca="1">Resultado!C25</f>
        <v>6723860.7861371934</v>
      </c>
      <c r="K88" s="36">
        <f t="shared" ca="1" si="3"/>
        <v>5.1794585343336544E-2</v>
      </c>
      <c r="L88" s="313">
        <f t="shared" ca="1" si="2"/>
        <v>1</v>
      </c>
      <c r="M88" s="316"/>
      <c r="N88" s="41"/>
      <c r="AG88" s="49"/>
      <c r="AH88" s="638"/>
      <c r="AI88" s="639"/>
      <c r="AJ88" s="640"/>
      <c r="AK88" s="641"/>
      <c r="AL88" s="417"/>
      <c r="AM88" s="49"/>
      <c r="AN88" s="49"/>
      <c r="AO88" s="49"/>
    </row>
    <row r="89" spans="2:41" ht="15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1255483.8065595005</v>
      </c>
      <c r="K89" s="36">
        <f t="shared" ca="1" si="3"/>
        <v>9.6711197977346498E-3</v>
      </c>
      <c r="L89" s="313">
        <f t="shared" ca="1" si="2"/>
        <v>1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4"/>
      <c r="C90" s="1834"/>
      <c r="D90" s="1834"/>
      <c r="E90" s="1834"/>
      <c r="F90" s="1834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hidden="1" customHeight="1">
      <c r="B95" s="1835"/>
      <c r="C95" s="1835"/>
      <c r="D95" s="1835"/>
      <c r="E95" s="1835"/>
      <c r="F95" s="1835"/>
      <c r="G95" s="42"/>
      <c r="I95" s="37" t="s">
        <v>639</v>
      </c>
      <c r="J95" s="315">
        <f ca="1">Resultado!C32</f>
        <v>0</v>
      </c>
      <c r="K95" s="36">
        <f t="shared" ca="1" si="3"/>
        <v>0</v>
      </c>
      <c r="L95" s="313">
        <f t="shared" ca="1" si="2"/>
        <v>0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4"/>
      <c r="C96" s="1834"/>
      <c r="D96" s="1834"/>
      <c r="E96" s="1834"/>
      <c r="F96" s="1834"/>
      <c r="I96" s="1072" t="s">
        <v>798</v>
      </c>
      <c r="J96" s="1073">
        <f ca="1">J87+J85+J74</f>
        <v>84212317.667886451</v>
      </c>
      <c r="K96" s="1074">
        <f t="shared" ca="1" si="3"/>
        <v>0.6486960710730747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4"/>
      <c r="C97" s="1834"/>
      <c r="D97" s="1834"/>
      <c r="E97" s="1834"/>
      <c r="F97" s="1834"/>
      <c r="I97" s="1072" t="s">
        <v>799</v>
      </c>
      <c r="J97" s="1073">
        <f ca="1">J98-J96</f>
        <v>45605514.477423474</v>
      </c>
      <c r="K97" s="1074">
        <f t="shared" ca="1" si="3"/>
        <v>0.3513039289269253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5"/>
      <c r="C98" s="1835"/>
      <c r="D98" s="1835"/>
      <c r="E98" s="1835"/>
      <c r="F98" s="1835"/>
      <c r="G98" s="28"/>
      <c r="I98" s="1069" t="s">
        <v>800</v>
      </c>
      <c r="J98" s="1071">
        <f ca="1">Mercado_RA0_Reais</f>
        <v>129817832.14530993</v>
      </c>
      <c r="K98" s="1075">
        <f ca="1">K96+K97</f>
        <v>1</v>
      </c>
      <c r="L98" s="31"/>
      <c r="AG98" s="49"/>
      <c r="AH98" s="634"/>
      <c r="AI98" s="634"/>
      <c r="AJ98" s="634"/>
      <c r="AK98" s="49"/>
      <c r="AL98" s="49"/>
      <c r="AM98" s="49"/>
      <c r="AN98" s="49"/>
      <c r="AO98" s="49"/>
    </row>
    <row r="99" spans="2:41" ht="15" customHeight="1">
      <c r="B99" s="1834"/>
      <c r="C99" s="1834"/>
      <c r="D99" s="1834"/>
      <c r="E99" s="1834"/>
      <c r="F99" s="1834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4"/>
      <c r="C100" s="1834"/>
      <c r="D100" s="1834"/>
      <c r="E100" s="1834"/>
      <c r="F100" s="1834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174059.44361910204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26430216.89694</v>
      </c>
      <c r="O104" s="319">
        <f t="shared" ca="1" si="4"/>
        <v>1</v>
      </c>
    </row>
    <row r="105" spans="2:41" ht="15" customHeight="1">
      <c r="B105" s="1834"/>
      <c r="C105" s="1834"/>
      <c r="D105" s="1834"/>
      <c r="E105" s="1834"/>
      <c r="F105" s="1834"/>
      <c r="G105" s="45"/>
      <c r="M105" s="35" t="s">
        <v>801</v>
      </c>
      <c r="N105" s="315">
        <f>Encargos!I20</f>
        <v>9419991.3842511326</v>
      </c>
      <c r="O105" s="319">
        <f t="shared" si="4"/>
        <v>1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0</v>
      </c>
      <c r="O106" s="1557">
        <f>IF(N106=0,0,1)</f>
        <v>0</v>
      </c>
    </row>
    <row r="107" spans="2:41" ht="15" hidden="1" customHeight="1">
      <c r="B107" s="1834"/>
      <c r="C107" s="1834"/>
      <c r="D107" s="1834"/>
      <c r="E107" s="1834"/>
      <c r="F107" s="1834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5"/>
      <c r="C108" s="1835"/>
      <c r="D108" s="1835"/>
      <c r="E108" s="1835"/>
      <c r="F108" s="1835"/>
      <c r="G108" s="39"/>
      <c r="M108" s="35" t="str">
        <f>Resultado!B21</f>
        <v>PROINFA</v>
      </c>
      <c r="N108" s="315">
        <f ca="1">Resultado!D21</f>
        <v>4738373.3178900015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9" t="s">
        <v>769</v>
      </c>
      <c r="N111" s="1071">
        <f ca="1">SUM(N101:N110)</f>
        <v>40762641.042700239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6">
        <f ca="1">Energia!N14</f>
        <v>5.6079596924275568E-2</v>
      </c>
    </row>
    <row r="116" spans="2:44" ht="15" customHeight="1">
      <c r="B116" s="46"/>
      <c r="C116" s="307"/>
      <c r="D116" s="307"/>
      <c r="P116" s="1069" t="s">
        <v>769</v>
      </c>
      <c r="Q116" s="1075">
        <f ca="1">SUM(Q114:Q115)</f>
        <v>5.6079596924275568E-2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7" t="s">
        <v>805</v>
      </c>
      <c r="T121" s="1078">
        <f ca="1">SUM(T122:T123)</f>
        <v>336793.47300000006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336793.47300000006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7" t="s">
        <v>808</v>
      </c>
      <c r="T124" s="1079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9" t="s">
        <v>804</v>
      </c>
      <c r="T127" s="1080">
        <f ca="1">T121+T124</f>
        <v>336793.47300000006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1" t="s">
        <v>811</v>
      </c>
      <c r="W129" s="1081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4" t="s">
        <v>27</v>
      </c>
      <c r="W130" s="1082" t="s">
        <v>77</v>
      </c>
      <c r="X130" s="1064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A3 ( 69 kV)</v>
      </c>
      <c r="X131" s="325">
        <f>Energia!H28</f>
        <v>116.84590000000001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3">
        <f>Energia!B32</f>
        <v>0</v>
      </c>
      <c r="W135" s="1083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4"/>
      <c r="W136" s="1085"/>
      <c r="X136" s="1086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1" t="s">
        <v>813</v>
      </c>
      <c r="AA138" s="1081"/>
      <c r="AB138" s="1081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350998.50300000003</v>
      </c>
      <c r="AB140" s="331">
        <f>Energia!G35</f>
        <v>284.99</v>
      </c>
      <c r="AC140" s="332">
        <f>AA140*AB140</f>
        <v>100031063.36997001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hidden="1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7">
        <f>Energia!C20</f>
        <v>5759.4236211601437</v>
      </c>
      <c r="AB142" s="1088">
        <f>Energia!D20</f>
        <v>0</v>
      </c>
      <c r="AC142" s="1089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7" t="s">
        <v>815</v>
      </c>
      <c r="AA143" s="1090">
        <f ca="1">Energia!M30-Energia!L30</f>
        <v>44.905378839874174</v>
      </c>
      <c r="AB143" s="1091">
        <f>Energia!M34</f>
        <v>0</v>
      </c>
      <c r="AC143" s="1091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9" t="s">
        <v>769</v>
      </c>
      <c r="AA144" s="1092">
        <f ca="1">SUM(AA140:AA143)</f>
        <v>356802.83200000005</v>
      </c>
      <c r="AB144" s="1093">
        <f ca="1">AC144/AA144</f>
        <v>280.35389407999429</v>
      </c>
      <c r="AC144" s="1093">
        <f ca="1">SUM(AC140:AC143)</f>
        <v>100031063.36997001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4" t="s">
        <v>753</v>
      </c>
      <c r="AF146" s="1094"/>
      <c r="AG146" s="1094"/>
      <c r="AH146" s="1094"/>
      <c r="AI146" s="1094"/>
      <c r="AJ146" s="1094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4" t="s">
        <v>27</v>
      </c>
      <c r="AF147" s="1064" t="s">
        <v>77</v>
      </c>
      <c r="AG147" s="1064" t="s">
        <v>816</v>
      </c>
      <c r="AH147" s="1064" t="s">
        <v>817</v>
      </c>
      <c r="AI147" s="1064" t="s">
        <v>60</v>
      </c>
      <c r="AJ147" s="1064" t="s">
        <v>818</v>
      </c>
      <c r="AK147" s="1064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A3 ( 69 kV)</v>
      </c>
      <c r="AG148" s="334" t="str">
        <f>CUSD!F6</f>
        <v>Potência</v>
      </c>
      <c r="AH148" s="334" t="str">
        <f>CUSD!F6</f>
        <v>Potência</v>
      </c>
      <c r="AI148" s="396">
        <f>CUSD!H6</f>
        <v>0</v>
      </c>
      <c r="AJ148" s="397">
        <f>CUSD!J6</f>
        <v>13.18</v>
      </c>
      <c r="AK148" s="334">
        <f>IFERROR(AI148*AJ148,0)</f>
        <v>0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A3 ( 69 kV)</v>
      </c>
      <c r="AG149" s="334" t="str">
        <f>CUSD!F7</f>
        <v>Potência</v>
      </c>
      <c r="AH149" s="334" t="str">
        <f>CUSD!F7</f>
        <v>Potência</v>
      </c>
      <c r="AI149" s="396">
        <f>CUSD!H7</f>
        <v>0</v>
      </c>
      <c r="AJ149" s="397">
        <f>CUSD!J7</f>
        <v>23.96</v>
      </c>
      <c r="AK149" s="334">
        <f t="shared" ref="AK149:AK155" si="6">IFERROR(AI149*AJ149,0)</f>
        <v>0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A3 ( 69 kV)</v>
      </c>
      <c r="AG150" s="334" t="str">
        <f>CUSD!F8</f>
        <v>Energia</v>
      </c>
      <c r="AH150" s="334" t="str">
        <f>CUSD!F8</f>
        <v>Energia</v>
      </c>
      <c r="AI150" s="396">
        <f>CUSD!H8</f>
        <v>0</v>
      </c>
      <c r="AJ150" s="397">
        <f>CUSD!J8</f>
        <v>6.29</v>
      </c>
      <c r="AK150" s="334">
        <f t="shared" si="6"/>
        <v>0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A3 ( 69 kV)</v>
      </c>
      <c r="AG151" s="334" t="str">
        <f>CUSD!F9</f>
        <v>Energia</v>
      </c>
      <c r="AH151" s="334" t="str">
        <f>CUSD!F9</f>
        <v>Energia</v>
      </c>
      <c r="AI151" s="396">
        <f>CUSD!H9</f>
        <v>0</v>
      </c>
      <c r="AJ151" s="397">
        <f>CUSD!J9</f>
        <v>6.29</v>
      </c>
      <c r="AK151" s="334">
        <f t="shared" si="6"/>
        <v>0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9" t="s">
        <v>819</v>
      </c>
      <c r="AF163" s="1069"/>
      <c r="AG163" s="1069"/>
      <c r="AH163" s="1069"/>
      <c r="AI163" s="1095">
        <f>SUM(AI148:AI162)</f>
        <v>0</v>
      </c>
      <c r="AJ163" s="1071"/>
      <c r="AK163" s="1071">
        <f>SUM(AK148:AK162)</f>
        <v>0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49" t="s">
        <v>820</v>
      </c>
      <c r="AN165" s="1750" t="s">
        <v>773</v>
      </c>
    </row>
    <row r="166" spans="2:42" ht="15" customHeight="1">
      <c r="B166" s="46"/>
      <c r="C166" s="307"/>
      <c r="D166" s="307"/>
      <c r="P166" s="44"/>
      <c r="Q166" s="307"/>
      <c r="AM166" s="1751" t="s">
        <v>724</v>
      </c>
      <c r="AN166" s="1715" t="s">
        <v>775</v>
      </c>
      <c r="AO166" s="23" t="s">
        <v>782</v>
      </c>
      <c r="AP166" s="649" t="s">
        <v>821</v>
      </c>
    </row>
    <row r="167" spans="2:42" ht="15" customHeight="1">
      <c r="B167" s="46"/>
      <c r="C167" s="307"/>
      <c r="D167" s="307"/>
      <c r="P167" s="44"/>
      <c r="Q167" s="307"/>
      <c r="AM167" s="924" t="s">
        <v>2304</v>
      </c>
      <c r="AN167" s="1752">
        <f ca="1">SUM(Financeiros!D9:D14)</f>
        <v>1573300.264313475</v>
      </c>
      <c r="AO167" s="23">
        <f t="shared" ref="AO167:AO207" ca="1" si="8">IF(AN167=0,0,1)</f>
        <v>1</v>
      </c>
      <c r="AP167" s="649"/>
    </row>
    <row r="168" spans="2:42" ht="15" customHeight="1">
      <c r="B168" s="46"/>
      <c r="C168" s="307"/>
      <c r="D168" s="307"/>
      <c r="P168" s="44"/>
      <c r="Q168" s="307"/>
      <c r="AM168" s="924" t="s">
        <v>728</v>
      </c>
      <c r="AN168" s="1752">
        <f ca="1">SUM(Financeiros!D15:D19,D21)</f>
        <v>-286619.25449683348</v>
      </c>
      <c r="AO168" s="23">
        <f t="shared" ca="1" si="8"/>
        <v>1</v>
      </c>
      <c r="AP168" s="649"/>
    </row>
    <row r="169" spans="2:42" ht="15" customHeight="1">
      <c r="B169" s="46"/>
      <c r="C169" s="307"/>
      <c r="D169" s="307"/>
      <c r="P169" s="44"/>
      <c r="Q169" s="307"/>
      <c r="AM169" s="927" t="s">
        <v>2102</v>
      </c>
      <c r="AN169" s="928">
        <f ca="1">Financeiros!D20+Financeiros!D22</f>
        <v>410797.79847803223</v>
      </c>
      <c r="AO169" s="23">
        <f t="shared" ca="1" si="8"/>
        <v>1</v>
      </c>
      <c r="AP169" s="649"/>
    </row>
    <row r="170" spans="2:42" ht="15" hidden="1" customHeight="1">
      <c r="B170" s="46"/>
      <c r="C170" s="307"/>
      <c r="D170" s="307"/>
      <c r="P170" s="44"/>
      <c r="Q170" s="307"/>
      <c r="AM170" s="927" t="s">
        <v>2159</v>
      </c>
      <c r="AN170" s="928">
        <f ca="1">Financeiros!D23</f>
        <v>0</v>
      </c>
      <c r="AO170" s="649">
        <f ca="1">IF(AN170=0,0,1)</f>
        <v>0</v>
      </c>
      <c r="AP170" s="649"/>
    </row>
    <row r="171" spans="2:42" ht="15" customHeight="1">
      <c r="B171" s="46"/>
      <c r="C171" s="307"/>
      <c r="D171" s="307"/>
      <c r="P171" s="44"/>
      <c r="Q171" s="307"/>
      <c r="AM171" s="924" t="s">
        <v>2305</v>
      </c>
      <c r="AN171" s="1752">
        <f>SUM(Financeiros!D24:D25)</f>
        <v>1114298.4896059355</v>
      </c>
      <c r="AO171" s="23">
        <f t="shared" si="8"/>
        <v>1</v>
      </c>
      <c r="AP171" s="649"/>
    </row>
    <row r="172" spans="2:42" ht="15" hidden="1" customHeight="1">
      <c r="B172" s="46"/>
      <c r="C172" s="307"/>
      <c r="D172" s="307"/>
      <c r="P172" s="44"/>
      <c r="Q172" s="307"/>
      <c r="AM172" s="924"/>
      <c r="AN172" s="1752"/>
      <c r="AO172" s="23">
        <f t="shared" si="8"/>
        <v>0</v>
      </c>
      <c r="AP172" s="649"/>
    </row>
    <row r="173" spans="2:42" ht="15" hidden="1" customHeight="1">
      <c r="B173" s="46"/>
      <c r="C173" s="307"/>
      <c r="D173" s="307"/>
      <c r="P173" s="44"/>
      <c r="Q173" s="307"/>
      <c r="AM173" s="924"/>
      <c r="AN173" s="1752"/>
      <c r="AO173" s="23">
        <f t="shared" si="8"/>
        <v>0</v>
      </c>
      <c r="AP173" s="649"/>
    </row>
    <row r="174" spans="2:42" ht="15" hidden="1" customHeight="1">
      <c r="B174" s="46"/>
      <c r="C174" s="307"/>
      <c r="D174" s="307"/>
      <c r="P174" s="44"/>
      <c r="Q174" s="307"/>
      <c r="AM174" s="924" t="str">
        <f>Financeiros!C26</f>
        <v>Manual de Contabilidade do Setor Elétrico</v>
      </c>
      <c r="AN174" s="1752">
        <f>LnkTxTSubvencaoCDE</f>
        <v>0</v>
      </c>
      <c r="AO174" s="23">
        <f t="shared" si="8"/>
        <v>0</v>
      </c>
      <c r="AP174" s="649"/>
    </row>
    <row r="175" spans="2:42" ht="15" hidden="1" customHeight="1">
      <c r="B175" s="46"/>
      <c r="C175" s="307"/>
      <c r="D175" s="307"/>
      <c r="P175" s="44"/>
      <c r="Q175" s="307"/>
      <c r="AM175" s="924" t="str">
        <f>Financeiros!C27</f>
        <v>Financeiro CDE Eletrobras</v>
      </c>
      <c r="AN175" s="1752">
        <f>LnkTXTBandeira</f>
        <v>0</v>
      </c>
      <c r="AO175" s="23">
        <f t="shared" si="8"/>
        <v>0</v>
      </c>
      <c r="AP175" s="649"/>
    </row>
    <row r="176" spans="2:42" ht="15" hidden="1" customHeight="1">
      <c r="B176" s="46"/>
      <c r="C176" s="307"/>
      <c r="D176" s="307"/>
      <c r="P176" s="44"/>
      <c r="Q176" s="307"/>
      <c r="AM176" s="924" t="s">
        <v>2307</v>
      </c>
      <c r="AN176" s="1752">
        <f>Financeiros!D28</f>
        <v>0</v>
      </c>
      <c r="AO176" s="23">
        <f t="shared" si="8"/>
        <v>0</v>
      </c>
      <c r="AP176" s="649"/>
    </row>
    <row r="177" spans="2:42" ht="15" hidden="1" customHeight="1">
      <c r="B177" s="46"/>
      <c r="C177" s="307"/>
      <c r="D177" s="307"/>
      <c r="P177" s="44"/>
      <c r="Q177" s="307"/>
      <c r="AM177" s="924" t="str">
        <f>Financeiros!C29</f>
        <v>Compensação DIC FIC</v>
      </c>
      <c r="AN177" s="1752">
        <f>Financeiros!D29</f>
        <v>0</v>
      </c>
      <c r="AO177" s="649">
        <f>IF(AN177=0,0,1)</f>
        <v>0</v>
      </c>
      <c r="AP177" s="649"/>
    </row>
    <row r="178" spans="2:42" ht="15" hidden="1" customHeight="1">
      <c r="B178" s="46"/>
      <c r="C178" s="307"/>
      <c r="D178" s="307"/>
      <c r="P178" s="44"/>
      <c r="Q178" s="307"/>
      <c r="AM178" s="924" t="str">
        <f>Financeiros!C30</f>
        <v>Subvenção CDE</v>
      </c>
      <c r="AN178" s="1752">
        <f ca="1">Financeiros!D30</f>
        <v>0</v>
      </c>
      <c r="AO178" s="23">
        <f t="shared" ca="1" si="8"/>
        <v>0</v>
      </c>
      <c r="AP178" s="649"/>
    </row>
    <row r="179" spans="2:42" ht="15" customHeight="1">
      <c r="B179" s="46"/>
      <c r="C179" s="307"/>
      <c r="D179" s="307"/>
      <c r="P179" s="44"/>
      <c r="Q179" s="307"/>
      <c r="AM179" s="924" t="str">
        <f>Financeiros!C31</f>
        <v>Retenção de Adicionais de Bandeiras Tarifárias</v>
      </c>
      <c r="AN179" s="1752">
        <f>Financeiros!D31</f>
        <v>-2216127.4281564346</v>
      </c>
      <c r="AO179" s="23">
        <f t="shared" si="8"/>
        <v>1</v>
      </c>
      <c r="AP179" s="649"/>
    </row>
    <row r="180" spans="2:42" ht="15" hidden="1" customHeight="1">
      <c r="B180" s="46"/>
      <c r="C180" s="307"/>
      <c r="D180" s="307"/>
      <c r="P180" s="44"/>
      <c r="Q180" s="307"/>
      <c r="AM180" s="924" t="str">
        <f>Financeiros!C32</f>
        <v>Multa LPT</v>
      </c>
      <c r="AN180" s="1752">
        <f>Financeiros!D32</f>
        <v>0</v>
      </c>
      <c r="AO180" s="1556">
        <f>IF(AN180=0,0,1)</f>
        <v>0</v>
      </c>
      <c r="AP180" s="1556"/>
    </row>
    <row r="181" spans="2:42" ht="15" hidden="1" customHeight="1">
      <c r="B181" s="46"/>
      <c r="C181" s="307"/>
      <c r="D181" s="307"/>
      <c r="P181" s="44"/>
      <c r="Q181" s="307"/>
      <c r="AM181" s="924" t="s">
        <v>2390</v>
      </c>
      <c r="AN181" s="1752">
        <f>Financeiros!D33+Financeiros!D34</f>
        <v>0</v>
      </c>
      <c r="AO181" s="23">
        <f t="shared" si="8"/>
        <v>0</v>
      </c>
      <c r="AP181" s="649"/>
    </row>
    <row r="182" spans="2:42" ht="15" hidden="1" customHeight="1">
      <c r="B182" s="46"/>
      <c r="C182" s="307"/>
      <c r="D182" s="307"/>
      <c r="P182" s="44"/>
      <c r="Q182" s="307"/>
      <c r="AM182" s="924"/>
      <c r="AN182" s="1752">
        <v>0</v>
      </c>
      <c r="AO182" s="23">
        <f t="shared" si="8"/>
        <v>0</v>
      </c>
      <c r="AP182" s="649"/>
    </row>
    <row r="183" spans="2:42" ht="15" hidden="1" customHeight="1">
      <c r="B183" s="46"/>
      <c r="C183" s="307"/>
      <c r="D183" s="307"/>
      <c r="P183" s="44"/>
      <c r="Q183" s="307"/>
      <c r="AM183" s="924" t="str">
        <f>Financeiros!C35</f>
        <v>Ressarcimento P&amp;D</v>
      </c>
      <c r="AN183" s="1752">
        <f>Financeiros!D35</f>
        <v>0</v>
      </c>
      <c r="AO183" s="23">
        <f t="shared" si="8"/>
        <v>0</v>
      </c>
      <c r="AP183" s="649"/>
    </row>
    <row r="184" spans="2:42" ht="15" hidden="1" customHeight="1">
      <c r="B184" s="46"/>
      <c r="C184" s="307"/>
      <c r="D184" s="307"/>
      <c r="P184" s="44"/>
      <c r="Q184" s="307"/>
      <c r="AM184" s="924" t="str">
        <f>Financeiros!C36</f>
        <v>Efeito Conta COVID</v>
      </c>
      <c r="AN184" s="1752">
        <f>Financeiros!D36</f>
        <v>0</v>
      </c>
      <c r="AO184" s="23">
        <f t="shared" ref="AO184:AO189" si="9">IF(AN184=0,0,1)</f>
        <v>0</v>
      </c>
      <c r="AP184" s="649"/>
    </row>
    <row r="185" spans="2:42" ht="15" hidden="1" customHeight="1">
      <c r="B185" s="46"/>
      <c r="C185" s="307"/>
      <c r="D185" s="307"/>
      <c r="P185" s="44"/>
      <c r="Q185" s="307"/>
      <c r="AM185" s="924" t="str">
        <f>Financeiros!C37</f>
        <v>Diferimento de Parcela B</v>
      </c>
      <c r="AN185" s="1752">
        <f>Financeiros!D37</f>
        <v>0</v>
      </c>
      <c r="AO185" s="23">
        <f t="shared" si="9"/>
        <v>0</v>
      </c>
      <c r="AP185" s="649"/>
    </row>
    <row r="186" spans="2:42" ht="15" hidden="1" customHeight="1">
      <c r="B186" s="46"/>
      <c r="C186" s="307"/>
      <c r="D186" s="307"/>
      <c r="P186" s="44"/>
      <c r="Q186" s="307"/>
      <c r="AM186" s="924" t="str">
        <f>Financeiros!C38</f>
        <v>Efeito COVID da Supridora</v>
      </c>
      <c r="AN186" s="1752">
        <f>Financeiros!D38</f>
        <v>0</v>
      </c>
      <c r="AO186" s="23">
        <f t="shared" si="9"/>
        <v>0</v>
      </c>
      <c r="AP186" s="649"/>
    </row>
    <row r="187" spans="2:42" ht="15" hidden="1" customHeight="1">
      <c r="B187" s="46"/>
      <c r="C187" s="307"/>
      <c r="D187" s="307"/>
      <c r="P187" s="44"/>
      <c r="Q187" s="307"/>
      <c r="AM187" s="924" t="str">
        <f>Financeiros!C39</f>
        <v>Crédito de Pis Cofins sobre ICMS</v>
      </c>
      <c r="AN187" s="1752">
        <f>Financeiros!D39</f>
        <v>0</v>
      </c>
      <c r="AO187" s="23">
        <f t="shared" si="9"/>
        <v>0</v>
      </c>
      <c r="AP187" s="649"/>
    </row>
    <row r="188" spans="2:42" ht="15" hidden="1" customHeight="1">
      <c r="B188" s="46"/>
      <c r="C188" s="307"/>
      <c r="D188" s="307"/>
      <c r="P188" s="44"/>
      <c r="Q188" s="307"/>
      <c r="AM188" s="924" t="s">
        <v>2391</v>
      </c>
      <c r="AN188" s="1752">
        <f>Financeiros!D40+Financeiros!D41</f>
        <v>0</v>
      </c>
      <c r="AO188" s="23">
        <f t="shared" si="9"/>
        <v>0</v>
      </c>
      <c r="AP188" s="915"/>
    </row>
    <row r="189" spans="2:42" ht="15" hidden="1" customHeight="1">
      <c r="B189" s="46"/>
      <c r="C189" s="307"/>
      <c r="D189" s="307"/>
      <c r="P189" s="44"/>
      <c r="Q189" s="307"/>
      <c r="AM189" s="924"/>
      <c r="AN189" s="1752">
        <v>0</v>
      </c>
      <c r="AO189" s="23">
        <f t="shared" si="9"/>
        <v>0</v>
      </c>
      <c r="AP189" s="915"/>
    </row>
    <row r="190" spans="2:42" ht="15" customHeight="1">
      <c r="B190" s="46"/>
      <c r="C190" s="307"/>
      <c r="D190" s="307"/>
      <c r="P190" s="44"/>
      <c r="Q190" s="307"/>
      <c r="AM190" s="924" t="str">
        <f>Financeiros!C42</f>
        <v>Financeiros associados ao §7º do Art. 88 da Ren 414/2021</v>
      </c>
      <c r="AN190" s="1752">
        <f>Financeiros!D42</f>
        <v>-301.06</v>
      </c>
      <c r="AO190" s="23">
        <f t="shared" si="8"/>
        <v>1</v>
      </c>
      <c r="AP190" s="649"/>
    </row>
    <row r="191" spans="2:42" ht="15" customHeight="1">
      <c r="B191" s="46"/>
      <c r="C191" s="307"/>
      <c r="D191" s="307"/>
      <c r="P191" s="44"/>
      <c r="Q191" s="307"/>
      <c r="AM191" s="924" t="str">
        <f>Financeiros!C43</f>
        <v>Spread Conta Covid</v>
      </c>
      <c r="AN191" s="1752">
        <f>Financeiros!D43</f>
        <v>-1747417.7713697162</v>
      </c>
      <c r="AO191" s="23">
        <f t="shared" si="8"/>
        <v>1</v>
      </c>
      <c r="AP191" s="649"/>
    </row>
    <row r="192" spans="2:42" ht="15" hidden="1" customHeight="1">
      <c r="B192" s="46"/>
      <c r="C192" s="307"/>
      <c r="D192" s="307"/>
      <c r="P192" s="44"/>
      <c r="Q192" s="307"/>
      <c r="AM192" s="924" t="str">
        <f>Financeiros!C44</f>
        <v>Diferimento de Energia</v>
      </c>
      <c r="AN192" s="1752">
        <f>Financeiros!D44</f>
        <v>0</v>
      </c>
      <c r="AO192" s="23">
        <f>IF(AN192=0,0,1)</f>
        <v>0</v>
      </c>
      <c r="AP192" s="649"/>
    </row>
    <row r="193" spans="2:42" ht="15" hidden="1" customHeight="1">
      <c r="B193" s="46"/>
      <c r="C193" s="307"/>
      <c r="D193" s="307"/>
      <c r="P193" s="44"/>
      <c r="Q193" s="307"/>
      <c r="AM193" s="924" t="str">
        <f>Financeiros!C45</f>
        <v xml:space="preserve">Reversão do Diferimento de Compra de Energia </v>
      </c>
      <c r="AN193" s="1752">
        <f>Financeiros!D45</f>
        <v>0</v>
      </c>
      <c r="AO193" s="23">
        <f t="shared" ref="AO193:AO195" si="10">IF(AN193=0,0,1)</f>
        <v>0</v>
      </c>
      <c r="AP193" s="649"/>
    </row>
    <row r="194" spans="2:42" ht="15" hidden="1" customHeight="1">
      <c r="B194" s="46"/>
      <c r="C194" s="307"/>
      <c r="D194" s="307"/>
      <c r="P194" s="44"/>
      <c r="Q194" s="307"/>
      <c r="AM194" s="924" t="str">
        <f>Financeiros!C46</f>
        <v>Reversão do Diferimento de Parcela B</v>
      </c>
      <c r="AN194" s="1752">
        <f>Financeiros!D46</f>
        <v>0</v>
      </c>
      <c r="AO194" s="23">
        <f t="shared" si="10"/>
        <v>0</v>
      </c>
      <c r="AP194" s="649"/>
    </row>
    <row r="195" spans="2:42" ht="15" hidden="1" customHeight="1">
      <c r="B195" s="46"/>
      <c r="C195" s="307"/>
      <c r="D195" s="307"/>
      <c r="P195" s="44"/>
      <c r="Q195" s="307"/>
      <c r="AM195" s="924" t="s">
        <v>2396</v>
      </c>
      <c r="AN195" s="1752">
        <f>Financeiros!D47+Financeiros!D48</f>
        <v>0</v>
      </c>
      <c r="AO195" s="23">
        <f t="shared" si="10"/>
        <v>0</v>
      </c>
      <c r="AP195" s="649"/>
    </row>
    <row r="196" spans="2:42" ht="15" hidden="1" customHeight="1">
      <c r="B196" s="46"/>
      <c r="C196" s="307"/>
      <c r="D196" s="307"/>
      <c r="P196" s="44"/>
      <c r="Q196" s="307"/>
      <c r="AM196" s="924"/>
      <c r="AN196" s="1752">
        <v>0</v>
      </c>
      <c r="AO196" s="649">
        <f>IF(AN196=0,0,1)</f>
        <v>0</v>
      </c>
      <c r="AP196" s="649"/>
    </row>
    <row r="197" spans="2:42" ht="15" hidden="1" customHeight="1">
      <c r="B197" s="46"/>
      <c r="C197" s="307"/>
      <c r="D197" s="307"/>
      <c r="P197" s="44"/>
      <c r="Q197" s="307"/>
      <c r="AM197" s="924" t="s">
        <v>2308</v>
      </c>
      <c r="AN197" s="1752">
        <f ca="1">SUM(Financeiros!D58:D62)</f>
        <v>0</v>
      </c>
      <c r="AO197" s="23">
        <f ca="1">IF(AN197=0,0,1)</f>
        <v>0</v>
      </c>
      <c r="AP197" s="649"/>
    </row>
    <row r="198" spans="2:42" ht="15" hidden="1" customHeight="1">
      <c r="B198" s="46"/>
      <c r="C198" s="307"/>
      <c r="D198" s="307"/>
      <c r="P198" s="44"/>
      <c r="Q198" s="307"/>
      <c r="AM198" s="924" t="s">
        <v>2309</v>
      </c>
      <c r="AN198" s="1752">
        <f>Financeiros!D65</f>
        <v>0</v>
      </c>
      <c r="AO198" s="23">
        <f>IF(AN198=0,0,1)</f>
        <v>0</v>
      </c>
      <c r="AP198" s="649"/>
    </row>
    <row r="199" spans="2:42" ht="15" hidden="1" customHeight="1">
      <c r="B199" s="46"/>
      <c r="C199" s="307"/>
      <c r="D199" s="307"/>
      <c r="P199" s="44"/>
      <c r="Q199" s="307"/>
      <c r="AM199" s="924" t="s">
        <v>2059</v>
      </c>
      <c r="AN199" s="1752">
        <f ca="1">SUM(Financeiros!D66:D76)</f>
        <v>0</v>
      </c>
      <c r="AO199" s="649">
        <f t="shared" ref="AO199:AO206" ca="1" si="11">IF(AN199=0,0,1)</f>
        <v>0</v>
      </c>
      <c r="AP199" s="649"/>
    </row>
    <row r="200" spans="2:42" ht="15" hidden="1" customHeight="1">
      <c r="B200" s="46"/>
      <c r="C200" s="307"/>
      <c r="D200" s="307"/>
      <c r="P200" s="44"/>
      <c r="Q200" s="307"/>
      <c r="AM200" s="924"/>
      <c r="AN200" s="1752">
        <v>0</v>
      </c>
      <c r="AO200" s="649">
        <f t="shared" si="11"/>
        <v>0</v>
      </c>
      <c r="AP200" s="649"/>
    </row>
    <row r="201" spans="2:42" ht="15" hidden="1" customHeight="1">
      <c r="B201" s="46"/>
      <c r="C201" s="307"/>
      <c r="D201" s="307"/>
      <c r="P201" s="44"/>
      <c r="Q201" s="307"/>
      <c r="AM201" s="924"/>
      <c r="AN201" s="1752">
        <v>0</v>
      </c>
      <c r="AO201" s="649">
        <f t="shared" si="11"/>
        <v>0</v>
      </c>
      <c r="AP201" s="649"/>
    </row>
    <row r="202" spans="2:42" ht="15" hidden="1" customHeight="1">
      <c r="B202" s="46"/>
      <c r="C202" s="307"/>
      <c r="D202" s="307"/>
      <c r="P202" s="44"/>
      <c r="Q202" s="307"/>
      <c r="AM202" s="924" t="s">
        <v>2311</v>
      </c>
      <c r="AN202" s="1752">
        <f ca="1">SUM(Financeiros!D77:D81)</f>
        <v>0</v>
      </c>
      <c r="AO202" s="649">
        <f ca="1">IF(AN202=0,0,1)</f>
        <v>0</v>
      </c>
      <c r="AP202" s="649"/>
    </row>
    <row r="203" spans="2:42" ht="15" hidden="1" customHeight="1">
      <c r="B203" s="46"/>
      <c r="C203" s="307"/>
      <c r="D203" s="307"/>
      <c r="P203" s="44"/>
      <c r="Q203" s="307"/>
      <c r="AM203" s="924" t="s">
        <v>1307</v>
      </c>
      <c r="AN203" s="1752">
        <f ca="1">SUM(Financeiros!D82:D86)</f>
        <v>0</v>
      </c>
      <c r="AO203" s="649">
        <f ca="1">IF(AN203=0,0,1)</f>
        <v>0</v>
      </c>
      <c r="AP203" s="649"/>
    </row>
    <row r="204" spans="2:42" ht="15" hidden="1" customHeight="1">
      <c r="B204" s="46"/>
      <c r="C204" s="307"/>
      <c r="D204" s="307"/>
      <c r="P204" s="44"/>
      <c r="Q204" s="307"/>
      <c r="AM204" s="924" t="s">
        <v>2310</v>
      </c>
      <c r="AN204" s="1752">
        <f ca="1">SUM(Financeiros!D87:D91)</f>
        <v>0</v>
      </c>
      <c r="AO204" s="649">
        <f t="shared" ca="1" si="11"/>
        <v>0</v>
      </c>
      <c r="AP204" s="649"/>
    </row>
    <row r="205" spans="2:42" ht="15" hidden="1" customHeight="1">
      <c r="B205" s="46"/>
      <c r="C205" s="307"/>
      <c r="D205" s="307"/>
      <c r="P205" s="44"/>
      <c r="Q205" s="307"/>
      <c r="AM205" s="924"/>
      <c r="AN205" s="1752"/>
      <c r="AO205" s="649">
        <f t="shared" si="11"/>
        <v>0</v>
      </c>
      <c r="AP205" s="649"/>
    </row>
    <row r="206" spans="2:42" ht="15" hidden="1" customHeight="1">
      <c r="B206" s="46"/>
      <c r="C206" s="307"/>
      <c r="D206" s="307"/>
      <c r="P206" s="44"/>
      <c r="Q206" s="307"/>
      <c r="AM206" s="924"/>
      <c r="AN206" s="1752"/>
      <c r="AO206" s="649">
        <f t="shared" si="11"/>
        <v>0</v>
      </c>
      <c r="AP206" s="649"/>
    </row>
    <row r="207" spans="2:42" ht="15" hidden="1" customHeight="1">
      <c r="B207" s="46"/>
      <c r="C207" s="307"/>
      <c r="D207" s="307"/>
      <c r="P207" s="44"/>
      <c r="Q207" s="307"/>
      <c r="AM207" s="924"/>
      <c r="AN207" s="1752"/>
      <c r="AO207" s="23">
        <f t="shared" si="8"/>
        <v>0</v>
      </c>
      <c r="AP207" s="649"/>
    </row>
    <row r="208" spans="2:42" ht="15" customHeight="1">
      <c r="B208" s="46"/>
      <c r="C208" s="307"/>
      <c r="D208" s="307"/>
      <c r="P208" s="44"/>
      <c r="Q208" s="307"/>
      <c r="AM208" s="1716" t="s">
        <v>727</v>
      </c>
      <c r="AN208" s="1117">
        <f ca="1">SUM(AN167:AN207)</f>
        <v>-1152068.9616255416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4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2" t="s">
        <v>823</v>
      </c>
      <c r="AQ212" s="1064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0.11469176735435926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0.14804177925344386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9" t="s">
        <v>827</v>
      </c>
      <c r="AQ215" s="1075">
        <f>LnkTXTEfeito</f>
        <v>0.12638835568023654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4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7" t="s">
        <v>829</v>
      </c>
      <c r="AT218" s="917" t="s">
        <v>793</v>
      </c>
      <c r="AU218" s="917" t="s">
        <v>830</v>
      </c>
      <c r="AV218" s="917" t="s">
        <v>831</v>
      </c>
      <c r="AW218" s="917" t="s">
        <v>832</v>
      </c>
      <c r="AX218" s="917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6" t="s">
        <v>834</v>
      </c>
      <c r="AT219" s="1097">
        <f ca="1">SUM(AT220:AT229)</f>
        <v>31120861.934685569</v>
      </c>
      <c r="AU219" s="1097">
        <f ca="1">SUM(AU220:AU229)</f>
        <v>40762641.042700239</v>
      </c>
      <c r="AV219" s="1098">
        <f ca="1">IF(AU219=0,0,ROUND(AU219/AT219-1,4))</f>
        <v>0.30980000000000002</v>
      </c>
      <c r="AW219" s="1098">
        <f ca="1">SUM(AW220:AW229)</f>
        <v>7.4271607749713961E-2</v>
      </c>
      <c r="AX219" s="1098">
        <f t="shared" ref="AX219:AX224" ca="1" si="12">AU219/$AU$237</f>
        <v>0.30937380918743673</v>
      </c>
      <c r="AY219" s="318">
        <v>1</v>
      </c>
    </row>
    <row r="220" spans="2:54" ht="15" hidden="1" customHeight="1">
      <c r="AS220" s="918" t="str">
        <f t="shared" ref="AS220:AT223" si="13">I75</f>
        <v>Reserva Global de Reversão – RGR</v>
      </c>
      <c r="AT220" s="919">
        <f t="shared" si="13"/>
        <v>0</v>
      </c>
      <c r="AU220" s="919">
        <f>Resultado!D15</f>
        <v>0</v>
      </c>
      <c r="AV220" s="920">
        <f t="shared" ref="AV220:AV235" si="14">IF(AU220=0,0,ROUND(AU220/AT220-1,3))</f>
        <v>0</v>
      </c>
      <c r="AW220" s="920">
        <f t="shared" ref="AW220:AW229" ca="1" si="15">(AU220-AT220)/$AT$237</f>
        <v>0</v>
      </c>
      <c r="AX220" s="920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8" t="str">
        <f t="shared" si="13"/>
        <v>Conta de Consumo de Combustíveis – CCC</v>
      </c>
      <c r="AT221" s="919">
        <f t="shared" si="13"/>
        <v>0</v>
      </c>
      <c r="AU221" s="919">
        <f>Resultado!D16</f>
        <v>0</v>
      </c>
      <c r="AV221" s="920">
        <f t="shared" si="14"/>
        <v>0</v>
      </c>
      <c r="AW221" s="920">
        <f t="shared" ca="1" si="15"/>
        <v>0</v>
      </c>
      <c r="AX221" s="920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8" t="str">
        <f t="shared" si="13"/>
        <v>Taxa de Fisc. de Serviços de E.E. – TFSEE</v>
      </c>
      <c r="AT222" s="919">
        <f t="shared" ca="1" si="13"/>
        <v>198030.28859802135</v>
      </c>
      <c r="AU222" s="919">
        <f ca="1">Resultado!D17</f>
        <v>174059.44361910204</v>
      </c>
      <c r="AV222" s="920">
        <f ca="1">IF(AU222=0,0,ROUND(AU222/AT222-1,4))</f>
        <v>-0.121</v>
      </c>
      <c r="AW222" s="920">
        <f t="shared" ca="1" si="15"/>
        <v>-1.8464986344932839E-4</v>
      </c>
      <c r="AX222" s="920">
        <f t="shared" ca="1" si="12"/>
        <v>1.321048678889044E-3</v>
      </c>
      <c r="AY222" s="318">
        <f t="shared" ca="1" si="16"/>
        <v>1</v>
      </c>
    </row>
    <row r="223" spans="2:54" ht="15" customHeight="1">
      <c r="C223" s="28"/>
      <c r="H223" s="23"/>
      <c r="AS223" s="918" t="str">
        <f t="shared" si="13"/>
        <v>Conta de Desenvolvimento Energético – CDE</v>
      </c>
      <c r="AT223" s="919">
        <f t="shared" ca="1" si="13"/>
        <v>18254999.720994767</v>
      </c>
      <c r="AU223" s="919">
        <f ca="1">Resultado!D18-Encargos!I20</f>
        <v>26430216.89694</v>
      </c>
      <c r="AV223" s="920">
        <f t="shared" ref="AV223" ca="1" si="17">IF(AU223=0,0,ROUND(AU223/AT223-1,4))</f>
        <v>0.44779999999999998</v>
      </c>
      <c r="AW223" s="920">
        <f t="shared" ca="1" si="15"/>
        <v>6.2974531625165406E-2</v>
      </c>
      <c r="AX223" s="920">
        <f t="shared" ca="1" si="12"/>
        <v>0.20059585615394721</v>
      </c>
      <c r="AY223" s="318">
        <f t="shared" ca="1" si="16"/>
        <v>1</v>
      </c>
    </row>
    <row r="224" spans="2:54" ht="15" customHeight="1">
      <c r="C224" s="28"/>
      <c r="H224" s="23"/>
      <c r="AS224" s="918" t="s">
        <v>835</v>
      </c>
      <c r="AT224" s="919">
        <f ca="1">J79</f>
        <v>9542152.349574415</v>
      </c>
      <c r="AU224" s="919">
        <f>Encargos!I20</f>
        <v>9419991.3842511326</v>
      </c>
      <c r="AV224" s="920">
        <f ca="1">IFERROR(IF(AU224=0,0,ROUND(AU224/AT224-1,4)),0)</f>
        <v>-1.2800000000000001E-2</v>
      </c>
      <c r="AW224" s="920">
        <f t="shared" ca="1" si="15"/>
        <v>-9.4101837401307936E-4</v>
      </c>
      <c r="AX224" s="920">
        <f t="shared" ca="1" si="12"/>
        <v>7.1494352242922193E-2</v>
      </c>
      <c r="AY224" s="318">
        <f t="shared" ca="1" si="16"/>
        <v>1</v>
      </c>
    </row>
    <row r="225" spans="2:51" ht="15" hidden="1" customHeight="1">
      <c r="C225" s="28"/>
      <c r="H225" s="23"/>
      <c r="AS225" s="918" t="s">
        <v>2072</v>
      </c>
      <c r="AT225" s="919"/>
      <c r="AU225" s="919">
        <f>Encargos!I21</f>
        <v>0</v>
      </c>
      <c r="AV225" s="920">
        <f t="shared" ref="AV225:AV226" si="18">IFERROR(IF(AU225=0,0,ROUND(AU225/AT225-1,4)),0)</f>
        <v>0</v>
      </c>
      <c r="AW225" s="920">
        <f t="shared" ca="1" si="15"/>
        <v>0</v>
      </c>
      <c r="AX225" s="920">
        <f t="shared" ref="AX225" ca="1" si="19">AU225/$AU$237</f>
        <v>0</v>
      </c>
      <c r="AY225" s="913">
        <f ca="1">IF(AW225=0,0,1)</f>
        <v>0</v>
      </c>
    </row>
    <row r="226" spans="2:51" ht="12.75" hidden="1">
      <c r="C226" s="28"/>
      <c r="H226" s="23"/>
      <c r="AS226" s="918" t="str">
        <f t="shared" ref="AS226:AT229" si="20">I81</f>
        <v>Encargos Serv. Sist. - ESS e Energ. Reserv. – EER</v>
      </c>
      <c r="AT226" s="919">
        <f t="shared" ca="1" si="20"/>
        <v>0</v>
      </c>
      <c r="AU226" s="919">
        <f>Resultado!D20</f>
        <v>0</v>
      </c>
      <c r="AV226" s="920">
        <f t="shared" si="18"/>
        <v>0</v>
      </c>
      <c r="AW226" s="920">
        <f t="shared" ca="1" si="15"/>
        <v>0</v>
      </c>
      <c r="AX226" s="920">
        <f t="shared" ref="AX226:AX239" ca="1" si="21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8" t="str">
        <f t="shared" si="20"/>
        <v>PROINFA</v>
      </c>
      <c r="AT227" s="919">
        <f t="shared" ca="1" si="20"/>
        <v>3125679.5755183659</v>
      </c>
      <c r="AU227" s="919">
        <f ca="1">Resultado!D21</f>
        <v>4738373.3178900015</v>
      </c>
      <c r="AV227" s="920">
        <f ca="1">IF(AU227=0,0,ROUND(AU227/AT227-1,4))</f>
        <v>0.51590000000000003</v>
      </c>
      <c r="AW227" s="920">
        <f t="shared" ca="1" si="15"/>
        <v>1.2422744362010971E-2</v>
      </c>
      <c r="AX227" s="920">
        <f t="shared" ca="1" si="21"/>
        <v>3.5962552111678273E-2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8" t="str">
        <f t="shared" si="20"/>
        <v>P&amp;D e Eficiência Energética</v>
      </c>
      <c r="AT228" s="919">
        <f t="shared" ca="1" si="20"/>
        <v>0</v>
      </c>
      <c r="AU228" s="919">
        <f>Resultado!D22</f>
        <v>0</v>
      </c>
      <c r="AV228" s="920">
        <f>IF(AU228=0,0,ROUND(AU228/AT228-1,4))</f>
        <v>0</v>
      </c>
      <c r="AW228" s="920">
        <f t="shared" ca="1" si="15"/>
        <v>0</v>
      </c>
      <c r="AX228" s="920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8" t="str">
        <f t="shared" si="20"/>
        <v>ONS</v>
      </c>
      <c r="AT229" s="919">
        <f t="shared" ca="1" si="20"/>
        <v>0</v>
      </c>
      <c r="AU229" s="919">
        <f>Resultado!D23</f>
        <v>0</v>
      </c>
      <c r="AV229" s="920">
        <f t="shared" si="14"/>
        <v>0</v>
      </c>
      <c r="AW229" s="920">
        <f t="shared" ca="1" si="15"/>
        <v>0</v>
      </c>
      <c r="AX229" s="920">
        <f t="shared" ca="1" si="21"/>
        <v>0</v>
      </c>
      <c r="AY229" s="318">
        <v>0</v>
      </c>
    </row>
    <row r="230" spans="2:51" ht="15" customHeight="1">
      <c r="C230" s="307"/>
      <c r="H230" s="23"/>
      <c r="AS230" s="1096" t="s">
        <v>836</v>
      </c>
      <c r="AT230" s="1097">
        <f ca="1">AT231</f>
        <v>45112111.140504189</v>
      </c>
      <c r="AU230" s="1097">
        <f ca="1">AU231</f>
        <v>41017982.991093092</v>
      </c>
      <c r="AV230" s="1098">
        <f ca="1">IF(AU230=0,0,ROUND(AU230/AT230-1,4))</f>
        <v>-9.0800000000000006E-2</v>
      </c>
      <c r="AW230" s="1098">
        <f ca="1">AW231</f>
        <v>-3.1537486659216338E-2</v>
      </c>
      <c r="AX230" s="1098">
        <f t="shared" ca="1" si="21"/>
        <v>0.3113117628920774</v>
      </c>
      <c r="AY230" s="318">
        <f t="shared" ca="1" si="16"/>
        <v>1</v>
      </c>
    </row>
    <row r="231" spans="2:51" ht="15" customHeight="1">
      <c r="C231" s="307"/>
      <c r="H231" s="23"/>
      <c r="AS231" s="918" t="s">
        <v>796</v>
      </c>
      <c r="AT231" s="919">
        <f ca="1">J86</f>
        <v>45112111.140504189</v>
      </c>
      <c r="AU231" s="919">
        <f ca="1">Resultado!D33</f>
        <v>41017982.991093092</v>
      </c>
      <c r="AV231" s="920">
        <f ca="1">IF(AU231=0,0,ROUND(AU231/AT231-1,4))</f>
        <v>-9.0800000000000006E-2</v>
      </c>
      <c r="AW231" s="920">
        <f ca="1">(AU231-AT231)/$AT$237</f>
        <v>-3.1537486659216338E-2</v>
      </c>
      <c r="AX231" s="920">
        <f t="shared" ca="1" si="21"/>
        <v>0.3113117628920774</v>
      </c>
      <c r="AY231" s="318">
        <f t="shared" ca="1" si="16"/>
        <v>1</v>
      </c>
    </row>
    <row r="232" spans="2:51" ht="15" customHeight="1">
      <c r="AS232" s="1096" t="s">
        <v>837</v>
      </c>
      <c r="AT232" s="1097">
        <f ca="1">SUM(AT233:AT236)</f>
        <v>7979344.5926966937</v>
      </c>
      <c r="AU232" s="1097">
        <f>SUM(AU233:AU236)</f>
        <v>10654497</v>
      </c>
      <c r="AV232" s="1098">
        <f ca="1">IF(AU232=0,0,ROUND(AU232/AT232-1,4))</f>
        <v>0.33529999999999999</v>
      </c>
      <c r="AW232" s="1098">
        <f ca="1">SUM(AW233:AW236)</f>
        <v>2.0606971808841395E-2</v>
      </c>
      <c r="AX232" s="1098">
        <f t="shared" ca="1" si="21"/>
        <v>8.0863806602060287E-2</v>
      </c>
      <c r="AY232" s="318">
        <f t="shared" ca="1" si="16"/>
        <v>1</v>
      </c>
    </row>
    <row r="233" spans="2:51" ht="15" customHeight="1">
      <c r="AS233" s="918" t="str">
        <f>Resultado!B25</f>
        <v>Rede Básica</v>
      </c>
      <c r="AT233" s="919">
        <f ca="1">J88</f>
        <v>6723860.7861371934</v>
      </c>
      <c r="AU233" s="919">
        <f>Resultado!D25</f>
        <v>9344727</v>
      </c>
      <c r="AV233" s="920">
        <f ca="1">IF(AU233=0,0,ROUND(AU233/AT233-1,3))</f>
        <v>0.39</v>
      </c>
      <c r="AW233" s="920">
        <f ca="1">(AU233-AT233)/$AT$237</f>
        <v>2.0188799724595412E-2</v>
      </c>
      <c r="AX233" s="920">
        <f t="shared" ca="1" si="21"/>
        <v>7.0923122591057181E-2</v>
      </c>
      <c r="AY233" s="318">
        <f t="shared" ca="1" si="16"/>
        <v>1</v>
      </c>
    </row>
    <row r="234" spans="2:51" ht="15" customHeight="1">
      <c r="AS234" s="918" t="str">
        <f>Resultado!B26</f>
        <v>Rede Básica Fronteira</v>
      </c>
      <c r="AT234" s="919">
        <f ca="1">J89</f>
        <v>1255483.8065595005</v>
      </c>
      <c r="AU234" s="919">
        <f>Resultado!D26</f>
        <v>1309770</v>
      </c>
      <c r="AV234" s="920">
        <f t="shared" ca="1" si="14"/>
        <v>4.2999999999999997E-2</v>
      </c>
      <c r="AW234" s="920">
        <f ca="1">(AU234-AT234)/$AT$237</f>
        <v>4.1817208424598347E-4</v>
      </c>
      <c r="AX234" s="920">
        <f t="shared" ca="1" si="21"/>
        <v>9.9406840110030995E-3</v>
      </c>
      <c r="AY234" s="318">
        <f t="shared" ca="1" si="16"/>
        <v>1</v>
      </c>
    </row>
    <row r="235" spans="2:51" ht="15" hidden="1" customHeight="1">
      <c r="H235" s="23"/>
      <c r="AS235" s="918" t="str">
        <f>Resultado!B31</f>
        <v>Conexão</v>
      </c>
      <c r="AT235" s="919">
        <f ca="1">J94</f>
        <v>0</v>
      </c>
      <c r="AU235" s="919">
        <f>Resultado!D31</f>
        <v>0</v>
      </c>
      <c r="AV235" s="920">
        <f t="shared" si="14"/>
        <v>0</v>
      </c>
      <c r="AW235" s="920">
        <f ca="1">(AU235-AT235)/$AT$237</f>
        <v>0</v>
      </c>
      <c r="AX235" s="920">
        <f t="shared" ca="1" si="21"/>
        <v>0</v>
      </c>
      <c r="AY235" s="318">
        <f t="shared" ca="1" si="16"/>
        <v>0</v>
      </c>
    </row>
    <row r="236" spans="2:51" ht="15" hidden="1" customHeight="1">
      <c r="H236" s="23"/>
      <c r="AS236" s="918" t="str">
        <f>Resultado!B32</f>
        <v>Uso do sistema de distribuição</v>
      </c>
      <c r="AT236" s="919">
        <f ca="1">J95</f>
        <v>0</v>
      </c>
      <c r="AU236" s="919">
        <f>Resultado!D32</f>
        <v>0</v>
      </c>
      <c r="AV236" s="920">
        <f>IF(AU236=0,0,ROUND(AU236/AT236-1,4))</f>
        <v>0</v>
      </c>
      <c r="AW236" s="920">
        <f ca="1">(AU236-AT236)/$AT$237</f>
        <v>0</v>
      </c>
      <c r="AX236" s="920">
        <f t="shared" ca="1" si="21"/>
        <v>0</v>
      </c>
      <c r="AY236" s="318">
        <f t="shared" ca="1" si="16"/>
        <v>0</v>
      </c>
    </row>
    <row r="237" spans="2:51" ht="15" hidden="1" customHeight="1">
      <c r="C237" s="19"/>
      <c r="AS237" s="1096" t="s">
        <v>838</v>
      </c>
      <c r="AT237" s="1097">
        <f ca="1">Mercado_RA0_Reais</f>
        <v>129817832.14530993</v>
      </c>
      <c r="AU237" s="1097">
        <f ca="1">AU219+AU230+AU232+AU239</f>
        <v>131758538.80379334</v>
      </c>
      <c r="AV237" s="1099"/>
      <c r="AW237" s="1099"/>
      <c r="AX237" s="1098">
        <f t="shared" ca="1" si="21"/>
        <v>1</v>
      </c>
      <c r="AY237" s="318">
        <f t="shared" si="16"/>
        <v>0</v>
      </c>
    </row>
    <row r="238" spans="2:51" ht="15" customHeight="1">
      <c r="C238" s="19"/>
      <c r="AS238" s="1100" t="s">
        <v>839</v>
      </c>
      <c r="AT238" s="1101">
        <f ca="1">AT219+AT230+AT232</f>
        <v>84212317.667886451</v>
      </c>
      <c r="AU238" s="1101">
        <f ca="1">AU219+AU230+AU232</f>
        <v>92435121.03379333</v>
      </c>
      <c r="AV238" s="1102">
        <f ca="1">IF(AU238=0,0,ROUND(AU238/AT238-1,4))</f>
        <v>9.7600000000000006E-2</v>
      </c>
      <c r="AW238" s="1102">
        <f ca="1">(AU238-AT238)/AT237</f>
        <v>6.3341092899339049E-2</v>
      </c>
      <c r="AX238" s="1102">
        <f t="shared" ca="1" si="21"/>
        <v>0.70154937868157441</v>
      </c>
      <c r="AY238" s="318">
        <f t="shared" ca="1" si="16"/>
        <v>1</v>
      </c>
    </row>
    <row r="239" spans="2:51" ht="15" customHeight="1">
      <c r="B239" s="28"/>
      <c r="C239" s="19"/>
      <c r="AS239" s="1100" t="s">
        <v>840</v>
      </c>
      <c r="AT239" s="1101">
        <f ca="1">AT237-AT238</f>
        <v>45605514.477423474</v>
      </c>
      <c r="AU239" s="1101">
        <f>Resultado!D39</f>
        <v>39323417.770000003</v>
      </c>
      <c r="AV239" s="1102">
        <f ca="1">IF(AU239=0,0,ROUND(AU239/AT239-1,4))</f>
        <v>-0.13769999999999999</v>
      </c>
      <c r="AW239" s="1102">
        <f ca="1">(AU239-AT239)/AT237</f>
        <v>-4.8391631593352184E-2</v>
      </c>
      <c r="AX239" s="1102">
        <f t="shared" ca="1" si="21"/>
        <v>0.29845062131842554</v>
      </c>
      <c r="AY239" s="318">
        <f t="shared" ca="1" si="16"/>
        <v>1</v>
      </c>
    </row>
    <row r="240" spans="2:51" ht="15" customHeight="1">
      <c r="AS240" s="1103" t="str">
        <f>Resultado!B7</f>
        <v>Variação econômica</v>
      </c>
      <c r="AT240" s="1103"/>
      <c r="AU240" s="1103"/>
      <c r="AV240" s="1104"/>
      <c r="AW240" s="1105">
        <f ca="1">ROUND((AU239+AU238)/(AT238+AT239)-1,4)</f>
        <v>1.49E-2</v>
      </c>
      <c r="AX240" s="1104"/>
      <c r="AY240" s="318">
        <v>1</v>
      </c>
    </row>
    <row r="241" spans="2:51" ht="15" hidden="1" customHeight="1">
      <c r="AS241" s="921"/>
      <c r="AT241" s="921"/>
      <c r="AU241" s="921"/>
      <c r="AV241" s="922"/>
      <c r="AW241" s="923"/>
      <c r="AX241" s="923"/>
      <c r="AY241" s="318">
        <f t="shared" si="16"/>
        <v>0</v>
      </c>
    </row>
    <row r="242" spans="2:51" ht="15" customHeight="1">
      <c r="AS242" s="1096" t="s">
        <v>841</v>
      </c>
      <c r="AT242" s="1106"/>
      <c r="AU242" s="1106"/>
      <c r="AV242" s="1107"/>
      <c r="AW242" s="1098" t="s">
        <v>842</v>
      </c>
      <c r="AX242" s="1098"/>
      <c r="AY242" s="318">
        <v>1</v>
      </c>
    </row>
    <row r="243" spans="2:51" ht="15" customHeight="1">
      <c r="AS243" s="924" t="str">
        <f>AM167</f>
        <v>Repasse de PIS COFINS</v>
      </c>
      <c r="AT243" s="924"/>
      <c r="AU243" s="925">
        <f ca="1">AN167</f>
        <v>1573300.264313475</v>
      </c>
      <c r="AV243" s="926"/>
      <c r="AW243" s="926">
        <f ca="1">AU243/Financeiros!$D$4</f>
        <v>1.2119292383132863E-2</v>
      </c>
      <c r="AX243" s="923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4" t="str">
        <f t="shared" ref="AS244:AS271" si="22">AM168</f>
        <v>Neutralidade Encargos Setoriais</v>
      </c>
      <c r="AT244" s="924"/>
      <c r="AU244" s="925">
        <f t="shared" ref="AU244:AU283" ca="1" si="23">AN168</f>
        <v>-286619.25449683348</v>
      </c>
      <c r="AV244" s="926"/>
      <c r="AW244" s="926">
        <f ca="1">AU244/Financeiros!$D$4</f>
        <v>-2.2078573471786983E-3</v>
      </c>
      <c r="AX244" s="923"/>
      <c r="AY244" s="318">
        <f t="shared" ref="AY244:AY252" ca="1" si="24">IF(AW244=0,0,1)</f>
        <v>1</v>
      </c>
    </row>
    <row r="245" spans="2:51" ht="15" customHeight="1">
      <c r="B245" s="343"/>
      <c r="C245" s="344"/>
      <c r="D245" s="344"/>
      <c r="E245" s="344"/>
      <c r="F245" s="345"/>
      <c r="G245" s="345"/>
      <c r="H245" s="345"/>
      <c r="AS245" s="924" t="str">
        <f t="shared" si="22"/>
        <v>Neutralidade Financeiros e Encargos Conta Covid</v>
      </c>
      <c r="AT245" s="924"/>
      <c r="AU245" s="925">
        <f t="shared" ca="1" si="23"/>
        <v>410797.79847803223</v>
      </c>
      <c r="AV245" s="926"/>
      <c r="AW245" s="926">
        <f ca="1">AU245/Financeiros!$D$4</f>
        <v>3.1644173353488985E-3</v>
      </c>
      <c r="AX245" s="923"/>
      <c r="AY245" s="318">
        <f t="shared" ca="1" si="24"/>
        <v>1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4" t="str">
        <f t="shared" si="22"/>
        <v>Neutralidades Crédito de Pis cofins</v>
      </c>
      <c r="AT246" s="924"/>
      <c r="AU246" s="925">
        <f t="shared" ca="1" si="23"/>
        <v>0</v>
      </c>
      <c r="AV246" s="926"/>
      <c r="AW246" s="926">
        <f ca="1">AU246/Financeiros!$D$4</f>
        <v>0</v>
      </c>
      <c r="AX246" s="923"/>
      <c r="AY246" s="318">
        <f t="shared" ca="1" si="24"/>
        <v>0</v>
      </c>
    </row>
    <row r="247" spans="2:51" ht="15" customHeight="1">
      <c r="B247" s="343"/>
      <c r="C247" s="344"/>
      <c r="D247" s="344"/>
      <c r="E247" s="344"/>
      <c r="F247" s="345"/>
      <c r="G247" s="345"/>
      <c r="H247" s="345"/>
      <c r="AS247" s="924" t="str">
        <f t="shared" si="22"/>
        <v>Ajuste CUST RB + PIS Cofins</v>
      </c>
      <c r="AT247" s="924"/>
      <c r="AU247" s="925">
        <f t="shared" si="23"/>
        <v>1114298.4896059355</v>
      </c>
      <c r="AV247" s="926"/>
      <c r="AW247" s="926">
        <f ca="1">AU247/Financeiros!$D$4</f>
        <v>8.5835549029863612E-3</v>
      </c>
      <c r="AX247" s="923"/>
      <c r="AY247" s="318">
        <f t="shared" ca="1" si="24"/>
        <v>1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4">
        <f t="shared" si="22"/>
        <v>0</v>
      </c>
      <c r="AT248" s="924"/>
      <c r="AU248" s="925">
        <f t="shared" si="23"/>
        <v>0</v>
      </c>
      <c r="AV248" s="926"/>
      <c r="AW248" s="926">
        <f ca="1">AU248/Financeiros!$D$4</f>
        <v>0</v>
      </c>
      <c r="AX248" s="923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4">
        <f t="shared" si="22"/>
        <v>0</v>
      </c>
      <c r="AT249" s="924"/>
      <c r="AU249" s="925">
        <f t="shared" si="23"/>
        <v>0</v>
      </c>
      <c r="AV249" s="926"/>
      <c r="AW249" s="926">
        <f ca="1">AU249/Financeiros!$D$4</f>
        <v>0</v>
      </c>
      <c r="AX249" s="923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4" t="str">
        <f t="shared" si="22"/>
        <v>Manual de Contabilidade do Setor Elétrico</v>
      </c>
      <c r="AT250" s="924"/>
      <c r="AU250" s="925">
        <f t="shared" si="23"/>
        <v>0</v>
      </c>
      <c r="AV250" s="926"/>
      <c r="AW250" s="926">
        <f ca="1">AU250/Financeiros!$D$4</f>
        <v>0</v>
      </c>
      <c r="AX250" s="923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4" t="str">
        <f t="shared" si="22"/>
        <v>Financeiro CDE Eletrobras</v>
      </c>
      <c r="AT251" s="924"/>
      <c r="AU251" s="925">
        <f t="shared" si="23"/>
        <v>0</v>
      </c>
      <c r="AV251" s="926"/>
      <c r="AW251" s="926">
        <f ca="1">AU251/Financeiros!$D$4</f>
        <v>0</v>
      </c>
      <c r="AX251" s="923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4" t="str">
        <f t="shared" si="22"/>
        <v>Ajustes Processo Anterior</v>
      </c>
      <c r="AT252" s="924"/>
      <c r="AU252" s="925">
        <f t="shared" si="23"/>
        <v>0</v>
      </c>
      <c r="AV252" s="926"/>
      <c r="AW252" s="926">
        <f ca="1">AU252/Financeiros!$D$4</f>
        <v>0</v>
      </c>
      <c r="AX252" s="923"/>
      <c r="AY252" s="318">
        <f t="shared" ca="1" si="24"/>
        <v>0</v>
      </c>
    </row>
    <row r="253" spans="2:51" ht="15" hidden="1" customHeight="1">
      <c r="B253" s="343"/>
      <c r="C253" s="344"/>
      <c r="D253" s="344"/>
      <c r="E253" s="344"/>
      <c r="F253" s="345"/>
      <c r="G253" s="345"/>
      <c r="H253" s="345"/>
      <c r="AS253" s="924" t="str">
        <f t="shared" si="22"/>
        <v>Compensação DIC FIC</v>
      </c>
      <c r="AT253" s="924"/>
      <c r="AU253" s="925">
        <f t="shared" si="23"/>
        <v>0</v>
      </c>
      <c r="AV253" s="926"/>
      <c r="AW253" s="926">
        <f ca="1">AU253/Financeiros!$D$4</f>
        <v>0</v>
      </c>
      <c r="AX253" s="923"/>
      <c r="AY253" s="913">
        <f ca="1">IF(AW253=0,0,1)</f>
        <v>0</v>
      </c>
    </row>
    <row r="254" spans="2:51" ht="15" hidden="1" customHeight="1">
      <c r="B254" s="343"/>
      <c r="C254" s="344"/>
      <c r="D254" s="344"/>
      <c r="E254" s="344"/>
      <c r="F254" s="345"/>
      <c r="G254" s="345"/>
      <c r="H254" s="345"/>
      <c r="AS254" s="924" t="str">
        <f t="shared" si="22"/>
        <v>Subvenção CDE</v>
      </c>
      <c r="AT254" s="924"/>
      <c r="AU254" s="925">
        <f t="shared" ca="1" si="23"/>
        <v>0</v>
      </c>
      <c r="AV254" s="926"/>
      <c r="AW254" s="926">
        <f ca="1">AU254/Financeiros!$D$4</f>
        <v>0</v>
      </c>
      <c r="AX254" s="923"/>
      <c r="AY254" s="913">
        <f t="shared" ref="AY254:AY256" ca="1" si="25">IF(AW254=0,0,1)</f>
        <v>0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4" t="str">
        <f t="shared" si="22"/>
        <v>Retenção de Adicionais de Bandeiras Tarifárias</v>
      </c>
      <c r="AT255" s="924"/>
      <c r="AU255" s="925">
        <f t="shared" si="23"/>
        <v>-2216127.4281564346</v>
      </c>
      <c r="AV255" s="926"/>
      <c r="AW255" s="926">
        <f ca="1">AU255/Financeiros!$D$4</f>
        <v>-1.7071055582532305E-2</v>
      </c>
      <c r="AX255" s="923"/>
      <c r="AY255" s="913">
        <f t="shared" ca="1" si="25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4" t="str">
        <f t="shared" si="22"/>
        <v>Multa LPT</v>
      </c>
      <c r="AT256" s="924"/>
      <c r="AU256" s="925">
        <f t="shared" si="23"/>
        <v>0</v>
      </c>
      <c r="AV256" s="926"/>
      <c r="AW256" s="926">
        <f ca="1">AU256/Financeiros!$D$4</f>
        <v>0</v>
      </c>
      <c r="AX256" s="923"/>
      <c r="AY256" s="913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4" t="str">
        <f t="shared" si="22"/>
        <v>Repasse de ICMS</v>
      </c>
      <c r="AT257" s="924"/>
      <c r="AU257" s="925">
        <f t="shared" si="23"/>
        <v>0</v>
      </c>
      <c r="AV257" s="926"/>
      <c r="AW257" s="926">
        <f ca="1">AU257/Financeiros!$D$4</f>
        <v>0</v>
      </c>
      <c r="AX257" s="923"/>
      <c r="AY257" s="913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4">
        <f t="shared" si="22"/>
        <v>0</v>
      </c>
      <c r="AT258" s="924"/>
      <c r="AU258" s="925">
        <f t="shared" si="23"/>
        <v>0</v>
      </c>
      <c r="AV258" s="926"/>
      <c r="AW258" s="926">
        <f ca="1">AU258/Financeiros!$D$4</f>
        <v>0</v>
      </c>
      <c r="AX258" s="923"/>
      <c r="AY258" s="913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4" t="str">
        <f t="shared" si="22"/>
        <v>Ressarcimento P&amp;D</v>
      </c>
      <c r="AT259" s="924"/>
      <c r="AU259" s="925">
        <f t="shared" si="23"/>
        <v>0</v>
      </c>
      <c r="AV259" s="926"/>
      <c r="AW259" s="926">
        <f ca="1">AU259/Financeiros!$D$4</f>
        <v>0</v>
      </c>
      <c r="AX259" s="923"/>
      <c r="AY259" s="913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4" t="str">
        <f t="shared" si="22"/>
        <v>Efeito Conta COVID</v>
      </c>
      <c r="AT260" s="924"/>
      <c r="AU260" s="925">
        <f t="shared" si="23"/>
        <v>0</v>
      </c>
      <c r="AV260" s="926"/>
      <c r="AW260" s="926">
        <f ca="1">AU260/Financeiros!$D$4</f>
        <v>0</v>
      </c>
      <c r="AX260" s="923"/>
      <c r="AY260" s="913">
        <f t="shared" ca="1" si="27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4" t="str">
        <f t="shared" si="22"/>
        <v>Diferimento de Parcela B</v>
      </c>
      <c r="AT261" s="924"/>
      <c r="AU261" s="925">
        <f t="shared" si="23"/>
        <v>0</v>
      </c>
      <c r="AV261" s="926"/>
      <c r="AW261" s="926">
        <f ca="1">AU261/Financeiros!$D$4</f>
        <v>0</v>
      </c>
      <c r="AX261" s="923"/>
      <c r="AY261" s="913">
        <f t="shared" ca="1" si="26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4" t="str">
        <f t="shared" si="22"/>
        <v>Efeito COVID da Supridora</v>
      </c>
      <c r="AT262" s="924"/>
      <c r="AU262" s="925">
        <f t="shared" si="23"/>
        <v>0</v>
      </c>
      <c r="AV262" s="926"/>
      <c r="AW262" s="926">
        <f ca="1">AU262/Financeiros!$D$4</f>
        <v>0</v>
      </c>
      <c r="AX262" s="923"/>
      <c r="AY262" s="916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4" t="str">
        <f t="shared" si="22"/>
        <v>Crédito de Pis Cofins sobre ICMS</v>
      </c>
      <c r="AT263" s="924"/>
      <c r="AU263" s="925">
        <f t="shared" si="23"/>
        <v>0</v>
      </c>
      <c r="AV263" s="926"/>
      <c r="AW263" s="926">
        <f ca="1">AU263/Financeiros!$D$4</f>
        <v>0</v>
      </c>
      <c r="AX263" s="923"/>
      <c r="AY263" s="916">
        <f t="shared" ca="1" si="28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4" t="str">
        <f t="shared" si="22"/>
        <v>Diferimento de PIS COFINS</v>
      </c>
      <c r="AT264" s="924"/>
      <c r="AU264" s="925">
        <f t="shared" si="23"/>
        <v>0</v>
      </c>
      <c r="AV264" s="926"/>
      <c r="AW264" s="926">
        <f ca="1">AU264/Financeiros!$D$4</f>
        <v>0</v>
      </c>
      <c r="AX264" s="923"/>
      <c r="AY264" s="916">
        <f t="shared" ref="AY264:AY271" ca="1" si="29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4">
        <f t="shared" si="22"/>
        <v>0</v>
      </c>
      <c r="AT265" s="924"/>
      <c r="AU265" s="925">
        <f t="shared" si="23"/>
        <v>0</v>
      </c>
      <c r="AV265" s="926"/>
      <c r="AW265" s="926">
        <f ca="1">AU265/Financeiros!$D$4</f>
        <v>0</v>
      </c>
      <c r="AX265" s="923"/>
      <c r="AY265" s="916">
        <f t="shared" ca="1" si="29"/>
        <v>0</v>
      </c>
    </row>
    <row r="266" spans="2:51" ht="15" customHeight="1">
      <c r="B266" s="343"/>
      <c r="C266" s="344"/>
      <c r="D266" s="344"/>
      <c r="E266" s="344"/>
      <c r="F266" s="345"/>
      <c r="G266" s="345"/>
      <c r="H266" s="345"/>
      <c r="AS266" s="924" t="str">
        <f t="shared" si="22"/>
        <v>Financeiros associados ao §7º do Art. 88 da Ren 414/2021</v>
      </c>
      <c r="AT266" s="924"/>
      <c r="AU266" s="925">
        <f t="shared" si="23"/>
        <v>-301.06</v>
      </c>
      <c r="AV266" s="926"/>
      <c r="AW266" s="926">
        <f ca="1">AU266/Financeiros!$D$4</f>
        <v>-2.3190958824748539E-6</v>
      </c>
      <c r="AX266" s="923"/>
      <c r="AY266" s="916">
        <f t="shared" ca="1" si="29"/>
        <v>1</v>
      </c>
    </row>
    <row r="267" spans="2:51" ht="15" customHeight="1">
      <c r="B267" s="343"/>
      <c r="C267" s="344"/>
      <c r="D267" s="344"/>
      <c r="E267" s="344"/>
      <c r="F267" s="345"/>
      <c r="G267" s="345"/>
      <c r="H267" s="345"/>
      <c r="AS267" s="924" t="str">
        <f t="shared" si="22"/>
        <v>Spread Conta Covid</v>
      </c>
      <c r="AT267" s="924"/>
      <c r="AU267" s="925">
        <f t="shared" si="23"/>
        <v>-1747417.7713697162</v>
      </c>
      <c r="AV267" s="926"/>
      <c r="AW267" s="926">
        <f ca="1">AU267/Financeiros!$D$4</f>
        <v>-1.3460537296707948E-2</v>
      </c>
      <c r="AX267" s="923"/>
      <c r="AY267" s="916">
        <f t="shared" ca="1" si="29"/>
        <v>1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4" t="str">
        <f t="shared" si="22"/>
        <v>Diferimento de Energia</v>
      </c>
      <c r="AT268" s="924"/>
      <c r="AU268" s="925">
        <f t="shared" si="23"/>
        <v>0</v>
      </c>
      <c r="AV268" s="926"/>
      <c r="AW268" s="926">
        <f ca="1">AU268/Financeiros!$D$4</f>
        <v>0</v>
      </c>
      <c r="AX268" s="923"/>
      <c r="AY268" s="916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4" t="str">
        <f t="shared" si="22"/>
        <v xml:space="preserve">Reversão do Diferimento de Compra de Energia </v>
      </c>
      <c r="AT269" s="924"/>
      <c r="AU269" s="925">
        <f t="shared" si="23"/>
        <v>0</v>
      </c>
      <c r="AV269" s="926"/>
      <c r="AW269" s="926">
        <f ca="1">AU269/Financeiros!$D$4</f>
        <v>0</v>
      </c>
      <c r="AX269" s="923"/>
      <c r="AY269" s="916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4" t="str">
        <f t="shared" si="22"/>
        <v>Reversão do Diferimento de Parcela B</v>
      </c>
      <c r="AT270" s="924"/>
      <c r="AU270" s="925">
        <f t="shared" si="23"/>
        <v>0</v>
      </c>
      <c r="AV270" s="926"/>
      <c r="AW270" s="926">
        <f ca="1">AU270/Financeiros!$D$4</f>
        <v>0</v>
      </c>
      <c r="AX270" s="923"/>
      <c r="AY270" s="916">
        <f t="shared" ca="1" si="29"/>
        <v>0</v>
      </c>
    </row>
    <row r="271" spans="2:51" ht="15" hidden="1" customHeight="1">
      <c r="B271" s="343"/>
      <c r="C271" s="344"/>
      <c r="D271" s="344"/>
      <c r="E271" s="344"/>
      <c r="F271" s="345"/>
      <c r="G271" s="345"/>
      <c r="H271" s="345"/>
      <c r="AS271" s="924" t="str">
        <f t="shared" si="22"/>
        <v>Reversão do Diferimento de Pis Cofins</v>
      </c>
      <c r="AT271" s="924"/>
      <c r="AU271" s="925">
        <f t="shared" si="23"/>
        <v>0</v>
      </c>
      <c r="AV271" s="926"/>
      <c r="AW271" s="926">
        <f ca="1">AU271/Financeiros!$D$4</f>
        <v>0</v>
      </c>
      <c r="AX271" s="923"/>
      <c r="AY271" s="916">
        <f t="shared" ca="1" si="29"/>
        <v>0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4">
        <f t="shared" ref="AS272:AS276" si="30">AM196</f>
        <v>0</v>
      </c>
      <c r="AT272" s="924"/>
      <c r="AU272" s="925">
        <f t="shared" si="23"/>
        <v>0</v>
      </c>
      <c r="AV272" s="926"/>
      <c r="AW272" s="926">
        <f ca="1">AU272/Financeiros!$D$4</f>
        <v>0</v>
      </c>
      <c r="AX272" s="923"/>
      <c r="AY272" s="913">
        <f t="shared" ref="AY272:AY276" ca="1" si="31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4" t="str">
        <f t="shared" si="30"/>
        <v>CVE - Energia</v>
      </c>
      <c r="AT273" s="924"/>
      <c r="AU273" s="925">
        <f t="shared" ca="1" si="23"/>
        <v>0</v>
      </c>
      <c r="AV273" s="926"/>
      <c r="AW273" s="926">
        <f ca="1">AU273/Financeiros!$D$4</f>
        <v>0</v>
      </c>
      <c r="AX273" s="923"/>
      <c r="AY273" s="913">
        <f t="shared" ca="1" si="31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4" t="str">
        <f t="shared" si="30"/>
        <v>CVE - Encargos</v>
      </c>
      <c r="AT274" s="924"/>
      <c r="AU274" s="925">
        <f t="shared" si="23"/>
        <v>0</v>
      </c>
      <c r="AV274" s="926"/>
      <c r="AW274" s="926">
        <f ca="1">AU274/Financeiros!$D$4</f>
        <v>0</v>
      </c>
      <c r="AX274" s="923"/>
      <c r="AY274" s="913">
        <f t="shared" ca="1" si="31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4" t="str">
        <f t="shared" si="30"/>
        <v>Conta Escassez</v>
      </c>
      <c r="AT275" s="924"/>
      <c r="AU275" s="925">
        <f t="shared" ca="1" si="23"/>
        <v>0</v>
      </c>
      <c r="AV275" s="926"/>
      <c r="AW275" s="926">
        <f ca="1">AU275/Financeiros!$D$4</f>
        <v>0</v>
      </c>
      <c r="AX275" s="923"/>
      <c r="AY275" s="913">
        <f t="shared" ca="1" si="31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4">
        <f t="shared" si="30"/>
        <v>0</v>
      </c>
      <c r="AT276" s="924"/>
      <c r="AU276" s="925">
        <f t="shared" si="23"/>
        <v>0</v>
      </c>
      <c r="AV276" s="926"/>
      <c r="AW276" s="926">
        <f ca="1">AU276/Financeiros!$D$4</f>
        <v>0</v>
      </c>
      <c r="AX276" s="923"/>
      <c r="AY276" s="913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4">
        <f t="shared" ref="AS277:AS281" si="32">AM201</f>
        <v>0</v>
      </c>
      <c r="AT277" s="924"/>
      <c r="AU277" s="925">
        <f t="shared" si="23"/>
        <v>0</v>
      </c>
      <c r="AV277" s="926"/>
      <c r="AW277" s="926">
        <f ca="1">AU277/Financeiros!$D$4</f>
        <v>0</v>
      </c>
      <c r="AX277" s="923"/>
      <c r="AY277" s="913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4" t="str">
        <f t="shared" si="32"/>
        <v>Sobrecontratação/Exposição de Energia</v>
      </c>
      <c r="AT278" s="924"/>
      <c r="AU278" s="925">
        <f t="shared" ca="1" si="23"/>
        <v>0</v>
      </c>
      <c r="AV278" s="926"/>
      <c r="AW278" s="926">
        <f ca="1">AU278/Financeiros!$D$4</f>
        <v>0</v>
      </c>
      <c r="AX278" s="923"/>
      <c r="AY278" s="913">
        <f t="shared" ca="1" si="33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4" t="str">
        <f t="shared" si="32"/>
        <v>Reversão de Risco Hidrológico</v>
      </c>
      <c r="AT279" s="924"/>
      <c r="AU279" s="925">
        <f t="shared" ca="1" si="23"/>
        <v>0</v>
      </c>
      <c r="AV279" s="926"/>
      <c r="AW279" s="926">
        <f ca="1">AU279/Financeiros!$D$4</f>
        <v>0</v>
      </c>
      <c r="AX279" s="923"/>
      <c r="AY279" s="913">
        <f t="shared" ca="1" si="33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4" t="str">
        <f t="shared" si="32"/>
        <v>Previsão de Risco Hidrologico</v>
      </c>
      <c r="AT280" s="924"/>
      <c r="AU280" s="925">
        <f t="shared" ca="1" si="23"/>
        <v>0</v>
      </c>
      <c r="AV280" s="926"/>
      <c r="AW280" s="926">
        <f ca="1">AU280/Financeiros!$D$4</f>
        <v>0</v>
      </c>
      <c r="AX280" s="923"/>
      <c r="AY280" s="913">
        <f t="shared" ca="1" si="33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4">
        <f t="shared" si="32"/>
        <v>0</v>
      </c>
      <c r="AT281" s="924"/>
      <c r="AU281" s="925">
        <f t="shared" si="23"/>
        <v>0</v>
      </c>
      <c r="AV281" s="926"/>
      <c r="AW281" s="926">
        <f ca="1">AU281/Financeiros!$D$4</f>
        <v>0</v>
      </c>
      <c r="AX281" s="923"/>
      <c r="AY281" s="913">
        <f t="shared" ca="1" si="33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4">
        <f t="shared" ref="AS282:AS283" si="34">AM206</f>
        <v>0</v>
      </c>
      <c r="AT282" s="924"/>
      <c r="AU282" s="925">
        <f t="shared" si="23"/>
        <v>0</v>
      </c>
      <c r="AV282" s="926"/>
      <c r="AW282" s="926">
        <f ca="1">AU282/Financeiros!$D$4</f>
        <v>0</v>
      </c>
      <c r="AX282" s="923"/>
      <c r="AY282" s="913">
        <f t="shared" ref="AY282:AY283" ca="1" si="35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4">
        <f t="shared" si="34"/>
        <v>0</v>
      </c>
      <c r="AT283" s="924"/>
      <c r="AU283" s="925">
        <f t="shared" si="23"/>
        <v>0</v>
      </c>
      <c r="AV283" s="926"/>
      <c r="AW283" s="926">
        <f ca="1">AU283/Financeiros!$D$4</f>
        <v>0</v>
      </c>
      <c r="AX283" s="923"/>
      <c r="AY283" s="913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3" t="s">
        <v>843</v>
      </c>
      <c r="AT284" s="1103"/>
      <c r="AU284" s="1108">
        <f ca="1">SUM(AU243:AU283)</f>
        <v>-1152068.9616255416</v>
      </c>
      <c r="AV284" s="1109"/>
      <c r="AW284" s="1109">
        <f ca="1">ROUND(SUM(AW243:AW283),4)</f>
        <v>-8.8999999999999999E-3</v>
      </c>
      <c r="AX284" s="1109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0" t="str">
        <f>Resultado!B9</f>
        <v>Variação econômica e financeira</v>
      </c>
      <c r="AT285" s="1110"/>
      <c r="AU285" s="1110"/>
      <c r="AV285" s="1111"/>
      <c r="AW285" s="1111">
        <f ca="1">ROUND(AW240+AW284,4)</f>
        <v>6.0000000000000001E-3</v>
      </c>
      <c r="AX285" s="1111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3" t="s">
        <v>844</v>
      </c>
      <c r="AT286" s="1103"/>
      <c r="AU286" s="1103"/>
      <c r="AV286" s="1103"/>
      <c r="AW286" s="1112">
        <f ca="1">ROUND(AW288-AW285,4)</f>
        <v>0.12039999999999999</v>
      </c>
      <c r="AX286" s="1112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3" t="s">
        <v>845</v>
      </c>
      <c r="AT287" s="1113"/>
      <c r="AU287" s="1108"/>
      <c r="AV287" s="1108"/>
      <c r="AW287" s="1114">
        <v>0</v>
      </c>
      <c r="AX287" s="1115"/>
      <c r="AY287" s="318">
        <f t="shared" si="16"/>
        <v>0</v>
      </c>
      <c r="BA287" s="769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7" t="s">
        <v>846</v>
      </c>
      <c r="AT288" s="1837"/>
      <c r="AU288" s="1837"/>
      <c r="AV288" s="1837"/>
      <c r="AW288" s="1111">
        <f>Resultado!L5</f>
        <v>0.12638835568023654</v>
      </c>
      <c r="AX288" s="1111"/>
      <c r="AY288" s="318"/>
    </row>
    <row r="289" spans="2:84" ht="15" customHeight="1">
      <c r="AW289" s="771">
        <v>-0.1116</v>
      </c>
      <c r="BA289" s="1094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9" t="s">
        <v>849</v>
      </c>
      <c r="BB290" s="929" t="str">
        <f>"Cobertura "&amp;YEAR(CAPA!C14)&amp;"/"&amp;YEAR(CAPA!C14)+1</f>
        <v>Cobertura 2021/2022</v>
      </c>
      <c r="BC290" s="929" t="str">
        <f>"Cobertura "&amp;YEAR(CAPA!C14)&amp;"/"&amp;YEAR(CAPA!C14)+1&amp;" Atualizada"</f>
        <v>Cobertura 2021/2022 Atualizada</v>
      </c>
      <c r="BD290" s="929" t="s">
        <v>850</v>
      </c>
      <c r="BE290" s="929" t="s">
        <v>851</v>
      </c>
      <c r="BF290" s="929" t="s">
        <v>852</v>
      </c>
      <c r="BG290" s="929" t="str">
        <f>"Previsão "&amp;YEAR(CAPA!C14)+1&amp;"/"&amp;YEAR(CAPA!C14)+2</f>
        <v>Previsão 2022/2023</v>
      </c>
      <c r="BH290" s="929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0" t="e">
        <f>Indexador!#REF!</f>
        <v>#REF!</v>
      </c>
      <c r="BC291" s="930" t="e">
        <f>Indexador!#REF!</f>
        <v>#REF!</v>
      </c>
      <c r="BD291" s="930" t="e">
        <f>Indexador!#REF!</f>
        <v>#REF!</v>
      </c>
      <c r="BE291" s="930" t="e">
        <f>Indexador!#REF!</f>
        <v>#REF!</v>
      </c>
      <c r="BF291" s="930">
        <f>BP311</f>
        <v>0</v>
      </c>
      <c r="BG291" s="930">
        <f t="shared" ref="BG291:BH296" si="36">BQ311</f>
        <v>0</v>
      </c>
      <c r="BH291" s="930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0" t="e">
        <f>Indexador!#REF!</f>
        <v>#REF!</v>
      </c>
      <c r="BC292" s="930" t="e">
        <f>Indexador!#REF!</f>
        <v>#REF!</v>
      </c>
      <c r="BD292" s="930" t="e">
        <f>Indexador!#REF!</f>
        <v>#REF!</v>
      </c>
      <c r="BE292" s="930" t="e">
        <f>Indexador!#REF!</f>
        <v>#REF!</v>
      </c>
      <c r="BF292" s="931">
        <f t="shared" ref="BF292:BF296" si="39">BP312</f>
        <v>0</v>
      </c>
      <c r="BG292" s="931">
        <f t="shared" si="36"/>
        <v>0</v>
      </c>
      <c r="BH292" s="931">
        <f t="shared" si="36"/>
        <v>0</v>
      </c>
      <c r="BI292" s="352" t="e">
        <f>Indexador!#REF!</f>
        <v>#REF!</v>
      </c>
      <c r="BJ292" s="333">
        <f t="shared" si="37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0" t="e">
        <f>Indexador!#REF!</f>
        <v>#REF!</v>
      </c>
      <c r="BC293" s="930" t="e">
        <f>Indexador!#REF!</f>
        <v>#REF!</v>
      </c>
      <c r="BD293" s="930" t="e">
        <f>Indexador!#REF!</f>
        <v>#REF!</v>
      </c>
      <c r="BE293" s="930" t="e">
        <f>Indexador!#REF!</f>
        <v>#REF!</v>
      </c>
      <c r="BF293" s="931">
        <f t="shared" si="39"/>
        <v>0</v>
      </c>
      <c r="BG293" s="931">
        <f t="shared" si="36"/>
        <v>0</v>
      </c>
      <c r="BH293" s="931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0" t="e">
        <f>Indexador!#REF!</f>
        <v>#REF!</v>
      </c>
      <c r="BC294" s="930" t="e">
        <f>Indexador!#REF!</f>
        <v>#REF!</v>
      </c>
      <c r="BD294" s="930" t="e">
        <f>Indexador!#REF!</f>
        <v>#REF!</v>
      </c>
      <c r="BE294" s="930" t="e">
        <f>Indexador!#REF!</f>
        <v>#REF!</v>
      </c>
      <c r="BF294" s="931">
        <f t="shared" si="39"/>
        <v>-472.93159943317613</v>
      </c>
      <c r="BG294" s="931">
        <f t="shared" si="36"/>
        <v>3078.9133574380535</v>
      </c>
      <c r="BH294" s="931">
        <f t="shared" si="36"/>
        <v>2605.9817580048775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0" t="e">
        <f>Indexador!#REF!</f>
        <v>#REF!</v>
      </c>
      <c r="BC295" s="930" t="e">
        <f>Indexador!#REF!</f>
        <v>#REF!</v>
      </c>
      <c r="BD295" s="930" t="e">
        <f>Indexador!#REF!</f>
        <v>#REF!</v>
      </c>
      <c r="BE295" s="930" t="e">
        <f>Indexador!#REF!</f>
        <v>#REF!</v>
      </c>
      <c r="BF295" s="931">
        <f t="shared" si="39"/>
        <v>-1051.2283594674664</v>
      </c>
      <c r="BG295" s="931">
        <f t="shared" si="36"/>
        <v>35188.567080488931</v>
      </c>
      <c r="BH295" s="931">
        <f t="shared" si="36"/>
        <v>34137.338721021464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0" t="e">
        <f>Indexador!#REF!</f>
        <v>#REF!</v>
      </c>
      <c r="BC296" s="930" t="e">
        <f>Indexador!#REF!</f>
        <v>#REF!</v>
      </c>
      <c r="BD296" s="930" t="e">
        <f>Indexador!#REF!</f>
        <v>#REF!</v>
      </c>
      <c r="BE296" s="930" t="e">
        <f>Indexador!#REF!</f>
        <v>#REF!</v>
      </c>
      <c r="BF296" s="931">
        <f t="shared" si="39"/>
        <v>1273.7105787008284</v>
      </c>
      <c r="BG296" s="931">
        <f t="shared" si="36"/>
        <v>15396.392180890902</v>
      </c>
      <c r="BH296" s="931">
        <f t="shared" si="36"/>
        <v>16670.102759591729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3" t="s">
        <v>760</v>
      </c>
      <c r="BB297" s="1116" t="e">
        <f t="shared" ref="BB297:BI297" si="40">SUM(BB291:BB296)</f>
        <v>#REF!</v>
      </c>
      <c r="BC297" s="1116" t="e">
        <f t="shared" si="40"/>
        <v>#REF!</v>
      </c>
      <c r="BD297" s="1116" t="e">
        <f t="shared" si="40"/>
        <v>#REF!</v>
      </c>
      <c r="BE297" s="1116" t="e">
        <f t="shared" si="40"/>
        <v>#REF!</v>
      </c>
      <c r="BF297" s="1117">
        <f t="shared" si="40"/>
        <v>-250.44938019981419</v>
      </c>
      <c r="BG297" s="1117">
        <f t="shared" si="40"/>
        <v>53663.872618817884</v>
      </c>
      <c r="BH297" s="1117">
        <f t="shared" si="40"/>
        <v>53413.423238618067</v>
      </c>
      <c r="BI297" s="1118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4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9" t="s">
        <v>853</v>
      </c>
      <c r="BL299" s="1119" t="s">
        <v>793</v>
      </c>
      <c r="BM299" s="1119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6723860.7861371934</v>
      </c>
      <c r="BM300" s="355">
        <f>Resultado!D25</f>
        <v>9344727</v>
      </c>
      <c r="BN300" s="333">
        <f t="shared" ref="BN300:BN307" si="41">IF(BM300=0,0,1)</f>
        <v>1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1255483.8065595005</v>
      </c>
      <c r="BM301" s="355">
        <f>Resultado!D26</f>
        <v>1309770</v>
      </c>
      <c r="BN301" s="333">
        <f t="shared" si="41"/>
        <v>1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0" t="s">
        <v>854</v>
      </c>
      <c r="BL308" s="1118">
        <f ca="1">SUM(BL300:BL307)</f>
        <v>7979344.5926966937</v>
      </c>
      <c r="BM308" s="1118">
        <f>SUM(BM300:BM307)</f>
        <v>10654497</v>
      </c>
      <c r="BN308" s="333">
        <f ca="1">IF(BL308=0,0,1)</f>
        <v>1</v>
      </c>
      <c r="BO308" s="1094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(Coopera).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1" t="s">
        <v>856</v>
      </c>
      <c r="BP310" s="1121" t="s">
        <v>857</v>
      </c>
      <c r="BQ310" s="1121" t="s">
        <v>858</v>
      </c>
      <c r="BR310" s="1122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3" t="s">
        <v>860</v>
      </c>
      <c r="BP311" s="1124">
        <f>IFERROR(Aj.Subsídio!L5,0)</f>
        <v>0</v>
      </c>
      <c r="BQ311" s="1124">
        <f>IFERROR(Aj.Subsídio!M5,0)</f>
        <v>0</v>
      </c>
      <c r="BR311" s="1124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3" t="s">
        <v>861</v>
      </c>
      <c r="BP312" s="1124">
        <f>IFERROR(Aj.Subsídio!L6,0)</f>
        <v>0</v>
      </c>
      <c r="BQ312" s="1124">
        <f>IFERROR(Aj.Subsídio!M6,0)</f>
        <v>0</v>
      </c>
      <c r="BR312" s="1125">
        <f t="shared" si="42"/>
        <v>0</v>
      </c>
      <c r="BS312" s="358">
        <f t="shared" si="43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3" t="s">
        <v>862</v>
      </c>
      <c r="BP313" s="1124">
        <f>IFERROR(Aj.Subsídio!L7,0)</f>
        <v>0</v>
      </c>
      <c r="BQ313" s="1124">
        <f>IFERROR(Aj.Subsídio!M7,0)</f>
        <v>0</v>
      </c>
      <c r="BR313" s="1125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3" t="s">
        <v>863</v>
      </c>
      <c r="BP314" s="1124">
        <f>IFERROR(Aj.Subsídio!L8,0)</f>
        <v>-472.93159943317613</v>
      </c>
      <c r="BQ314" s="1124">
        <f>IFERROR(Aj.Subsídio!M8,0)</f>
        <v>3078.9133574380535</v>
      </c>
      <c r="BR314" s="1125">
        <f t="shared" si="42"/>
        <v>2605.9817580048775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3" t="s">
        <v>864</v>
      </c>
      <c r="BP315" s="1124">
        <f>IFERROR(Aj.Subsídio!L9,0)</f>
        <v>-1051.2283594674664</v>
      </c>
      <c r="BQ315" s="1124">
        <f>IFERROR(Aj.Subsídio!M9,0)</f>
        <v>35188.567080488931</v>
      </c>
      <c r="BR315" s="1125">
        <f t="shared" si="42"/>
        <v>34137.338721021464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3" t="s">
        <v>865</v>
      </c>
      <c r="BP316" s="1124">
        <f>IFERROR(Aj.Subsídio!L10,0)</f>
        <v>1273.7105787008284</v>
      </c>
      <c r="BQ316" s="1124">
        <f>IFERROR(Aj.Subsídio!M10,0)</f>
        <v>15396.392180890902</v>
      </c>
      <c r="BR316" s="1125">
        <f t="shared" si="42"/>
        <v>16670.102759591729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6" t="s">
        <v>769</v>
      </c>
      <c r="BP317" s="1124">
        <f>SUM(BP311:BP316)</f>
        <v>-250.44938019981419</v>
      </c>
      <c r="BQ317" s="1124">
        <f>SUM(BQ311:BQ316)</f>
        <v>53663.872618817884</v>
      </c>
      <c r="BR317" s="1125">
        <f t="shared" si="42"/>
        <v>53413.423238618067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7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12.7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49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A3 ( 69 kV)</v>
      </c>
      <c r="BV320" s="420">
        <f>Energia!I28</f>
        <v>0.59</v>
      </c>
      <c r="BW320" s="420">
        <f>Energia!F28</f>
        <v>0.59</v>
      </c>
      <c r="BY320" s="23">
        <f t="shared" ref="BY320:BY326" si="44">IF(BU320=0,0,1)</f>
        <v>1</v>
      </c>
      <c r="BZ320" s="648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48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48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48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48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48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0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7" t="s">
        <v>633</v>
      </c>
      <c r="CA327" s="1128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9" t="s">
        <v>871</v>
      </c>
      <c r="CA329" s="1130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1"/>
      <c r="C338" s="1831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1"/>
      <c r="C344" s="1831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1"/>
      <c r="C353" s="1831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zoomScaleNormal="100" workbookViewId="0">
      <selection activeCell="C92" sqref="C92:C97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3" customWidth="1"/>
    <col min="7" max="7" width="47.85546875" style="1603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2" t="s">
        <v>724</v>
      </c>
      <c r="D1" s="1304"/>
      <c r="E1" s="1305"/>
      <c r="F1" s="1596"/>
      <c r="G1" s="1710"/>
      <c r="H1" s="1709"/>
      <c r="I1" s="1594"/>
      <c r="J1" s="1605" t="s">
        <v>873</v>
      </c>
      <c r="K1" s="1231">
        <f ca="1">LnkTXTIRTEco</f>
        <v>1.49E-2</v>
      </c>
      <c r="L1" s="1594"/>
      <c r="M1" s="1594"/>
    </row>
    <row r="2" spans="3:23" ht="16.5">
      <c r="C2" s="619" t="str">
        <f>CAPA!B2</f>
        <v>Coopera</v>
      </c>
      <c r="D2" s="621"/>
      <c r="E2" s="903"/>
      <c r="F2" s="1597"/>
      <c r="G2" s="1706" t="s">
        <v>2257</v>
      </c>
      <c r="H2" s="1711">
        <f ca="1">LnkTXTEV/LnkTXTER</f>
        <v>0.94392040307572445</v>
      </c>
      <c r="I2" s="903"/>
      <c r="J2" s="1606" t="s">
        <v>877</v>
      </c>
      <c r="K2" s="1607">
        <f ca="1">LnkTXTIRTTotal</f>
        <v>6.0000000000000001E-3</v>
      </c>
      <c r="L2" s="903"/>
      <c r="M2" s="903"/>
    </row>
    <row r="3" spans="3:23" ht="16.5">
      <c r="C3" s="623"/>
      <c r="D3" s="621"/>
      <c r="E3" s="903"/>
      <c r="F3" s="1597"/>
      <c r="G3" s="1707" t="s">
        <v>2259</v>
      </c>
      <c r="H3" s="1712">
        <f ca="1">Energia!D10/LnkTXTER</f>
        <v>0</v>
      </c>
      <c r="I3" s="903"/>
      <c r="J3" s="903"/>
      <c r="K3" s="903"/>
      <c r="L3" s="903"/>
      <c r="M3" s="903"/>
    </row>
    <row r="4" spans="3:23" ht="16.5">
      <c r="C4" s="1306" t="s">
        <v>1278</v>
      </c>
      <c r="D4" s="1307">
        <f ca="1">LnkTXTRA0</f>
        <v>129817832.14530993</v>
      </c>
      <c r="E4" s="904"/>
      <c r="F4" s="1598"/>
      <c r="G4" s="1707" t="s">
        <v>2262</v>
      </c>
      <c r="H4" s="1712">
        <f ca="1">Energia!D11/LnkTXTER</f>
        <v>5.6079596924275568E-2</v>
      </c>
      <c r="I4" s="904"/>
      <c r="J4" s="904"/>
      <c r="K4" s="904"/>
      <c r="L4" s="904"/>
      <c r="M4" s="904"/>
    </row>
    <row r="5" spans="3:23" ht="16.5">
      <c r="C5" s="1308" t="s">
        <v>1279</v>
      </c>
      <c r="D5" s="1309">
        <f ca="1">D7</f>
        <v>-1152068.9616255416</v>
      </c>
      <c r="E5" s="905"/>
      <c r="F5" s="1599"/>
      <c r="G5" s="1707" t="s">
        <v>2260</v>
      </c>
      <c r="H5" s="1712">
        <f ca="1">Energia!D12/LnkTXTER</f>
        <v>0</v>
      </c>
      <c r="I5" s="905"/>
      <c r="J5" s="905"/>
      <c r="K5" s="905"/>
      <c r="L5" s="905"/>
      <c r="M5" s="905"/>
    </row>
    <row r="6" spans="3:23" ht="16.5">
      <c r="C6" s="622"/>
      <c r="D6" s="1310"/>
      <c r="E6" s="906"/>
      <c r="F6" s="1600"/>
      <c r="G6" s="1708" t="s">
        <v>2261</v>
      </c>
      <c r="H6" s="1713">
        <f ca="1">Energia!D13/LnkTXTER</f>
        <v>0</v>
      </c>
      <c r="I6" s="906"/>
      <c r="J6" s="906"/>
      <c r="K6" s="906"/>
      <c r="L6" s="906"/>
      <c r="M6" s="906"/>
    </row>
    <row r="7" spans="3:23" ht="17.25" thickBot="1">
      <c r="C7" s="1311" t="s">
        <v>1280</v>
      </c>
      <c r="D7" s="1312">
        <f ca="1">SUM(D9:D100)</f>
        <v>-1152068.9616255416</v>
      </c>
      <c r="E7" s="1313">
        <f ca="1">SUM(E9:E100)</f>
        <v>-8.8745047008333081E-3</v>
      </c>
      <c r="F7" s="1601"/>
      <c r="G7" s="1601"/>
      <c r="H7" s="1595"/>
      <c r="I7" s="1595"/>
      <c r="J7" s="1595"/>
      <c r="K7" s="1595"/>
      <c r="L7" s="1595"/>
      <c r="M7" s="1595"/>
    </row>
    <row r="8" spans="3:23" ht="16.5">
      <c r="C8" s="1314" t="s">
        <v>1281</v>
      </c>
      <c r="D8" s="1315" t="s">
        <v>37</v>
      </c>
      <c r="E8" s="1316" t="s">
        <v>1282</v>
      </c>
      <c r="F8" s="1602" t="s">
        <v>22</v>
      </c>
      <c r="G8" s="1602" t="s">
        <v>2276</v>
      </c>
      <c r="H8" s="1608" t="s">
        <v>1283</v>
      </c>
      <c r="I8" s="1608" t="s">
        <v>1284</v>
      </c>
      <c r="J8" s="1608" t="s">
        <v>1285</v>
      </c>
      <c r="K8" s="1608" t="s">
        <v>1286</v>
      </c>
      <c r="L8" s="1608" t="s">
        <v>1287</v>
      </c>
      <c r="M8" s="1608" t="s">
        <v>1288</v>
      </c>
      <c r="O8" s="1587" t="s">
        <v>22</v>
      </c>
      <c r="P8" s="1588" t="s">
        <v>1410</v>
      </c>
      <c r="Q8" s="1589" t="s">
        <v>1411</v>
      </c>
      <c r="R8" s="1589" t="s">
        <v>1412</v>
      </c>
      <c r="T8" s="1568" t="s">
        <v>22</v>
      </c>
      <c r="U8" s="1568" t="s">
        <v>1286</v>
      </c>
      <c r="V8" s="1568" t="s">
        <v>1287</v>
      </c>
      <c r="W8" s="1568" t="s">
        <v>1288</v>
      </c>
    </row>
    <row r="9" spans="3:23" ht="16.5">
      <c r="C9" s="1652" t="s">
        <v>1289</v>
      </c>
      <c r="D9" s="1653">
        <f>IFERROR(ABS(Indexador!$D$49)*'Tributos suprimento'!$C$41,0)</f>
        <v>0</v>
      </c>
      <c r="E9" s="1628">
        <f ca="1">IF(ISERROR(D9/$D$4),0,D9/$D$4)</f>
        <v>0</v>
      </c>
      <c r="F9" s="1616" t="s">
        <v>2237</v>
      </c>
      <c r="G9" s="1635" t="s">
        <v>2269</v>
      </c>
      <c r="H9" s="1617">
        <f>IFERROR(VLOOKUP(Financeiros[[#This Row],[Tipo]],RefTabTipo[],2,FALSE),0)</f>
        <v>22</v>
      </c>
      <c r="I9" s="1641">
        <f>IFERROR(VLOOKUP(Financeiros[[#This Row],[Tipo]],RefTabTipo[],3,FALSE),0)</f>
        <v>60</v>
      </c>
      <c r="J9" s="1618">
        <f>IFERROR(VLOOKUP(Financeiros[[#This Row],[Tipo]],RefTabTipo[],4,FALSE),0)</f>
        <v>999</v>
      </c>
      <c r="K9" s="1647">
        <f>IFERROR(VLOOKUP(Financeiros[[#This Row],[Grupo Tarifário]],RefTabGrupoTarifa[],2,FALSE),0)</f>
        <v>1</v>
      </c>
      <c r="L9" s="1617">
        <f>IFERROR(VLOOKUP(Financeiros[[#This Row],[Grupo Tarifário]],RefTabGrupoTarifa[],3,FALSE),0)</f>
        <v>7</v>
      </c>
      <c r="M9" s="1647">
        <f>IFERROR(VLOOKUP(Financeiros[[#This Row],[Grupo Tarifário]],RefTabGrupoTarifa[],4,FALSE),0)</f>
        <v>9</v>
      </c>
      <c r="O9" s="1590" t="s">
        <v>2230</v>
      </c>
      <c r="P9" s="1591">
        <v>22</v>
      </c>
      <c r="Q9" s="1591">
        <v>60</v>
      </c>
      <c r="R9" s="1592">
        <v>235</v>
      </c>
      <c r="T9" s="847" t="s">
        <v>2241</v>
      </c>
      <c r="U9" s="1460">
        <v>99</v>
      </c>
      <c r="V9" s="1460">
        <v>999</v>
      </c>
      <c r="W9" s="1460">
        <v>2</v>
      </c>
    </row>
    <row r="10" spans="3:23" ht="16.5">
      <c r="C10" s="1652" t="s">
        <v>2288</v>
      </c>
      <c r="D10" s="1653">
        <f ca="1">IFERROR(ABS(Indexador!$D$49)*'Tributos suprimento'!$D$41*H2,0)</f>
        <v>1485070.2196499191</v>
      </c>
      <c r="E10" s="1628">
        <f t="shared" ref="E10:E73" ca="1" si="0">IF(ISERROR(D10/$D$4),0,D10/$D$4)</f>
        <v>1.1439647351279328E-2</v>
      </c>
      <c r="F10" s="1616" t="s">
        <v>2237</v>
      </c>
      <c r="G10" s="1635" t="s">
        <v>2257</v>
      </c>
      <c r="H10" s="1617">
        <f>IFERROR(VLOOKUP(Financeiros[[#This Row],[Tipo]],RefTabTipo[],2,FALSE),0)</f>
        <v>22</v>
      </c>
      <c r="I10" s="1641">
        <f>IFERROR(VLOOKUP(Financeiros[[#This Row],[Tipo]],RefTabTipo[],3,FALSE),0)</f>
        <v>60</v>
      </c>
      <c r="J10" s="1618">
        <f>IFERROR(VLOOKUP(Financeiros[[#This Row],[Tipo]],RefTabTipo[],4,FALSE),0)</f>
        <v>999</v>
      </c>
      <c r="K10" s="1647">
        <f>IFERROR(VLOOKUP(Financeiros[[#This Row],[Grupo Tarifário]],RefTabGrupoTarifa[],2,FALSE),0)</f>
        <v>2</v>
      </c>
      <c r="L10" s="1617">
        <f>IFERROR(VLOOKUP(Financeiros[[#This Row],[Grupo Tarifário]],RefTabGrupoTarifa[],3,FALSE),0)</f>
        <v>11</v>
      </c>
      <c r="M10" s="1647">
        <f>IFERROR(VLOOKUP(Financeiros[[#This Row],[Grupo Tarifário]],RefTabGrupoTarifa[],4,FALSE),0)</f>
        <v>9</v>
      </c>
      <c r="O10" s="1590" t="s">
        <v>2231</v>
      </c>
      <c r="P10" s="1591">
        <v>20</v>
      </c>
      <c r="Q10" s="1591">
        <v>60</v>
      </c>
      <c r="R10" s="1592">
        <v>234</v>
      </c>
      <c r="T10" s="847" t="s">
        <v>2242</v>
      </c>
      <c r="U10" s="1460">
        <v>99</v>
      </c>
      <c r="V10" s="1460">
        <v>999</v>
      </c>
      <c r="W10" s="1460">
        <v>1</v>
      </c>
    </row>
    <row r="11" spans="3:23" ht="16.5">
      <c r="C11" s="1652" t="s">
        <v>2289</v>
      </c>
      <c r="D11" s="1653">
        <f ca="1">IFERROR(ABS(Indexador!$D$49)*'Tributos suprimento'!$D$41*H3,0)</f>
        <v>0</v>
      </c>
      <c r="E11" s="1628">
        <f t="shared" ca="1" si="0"/>
        <v>0</v>
      </c>
      <c r="F11" s="1616" t="s">
        <v>2237</v>
      </c>
      <c r="G11" s="1635" t="s">
        <v>2259</v>
      </c>
      <c r="H11" s="1617">
        <f>IFERROR(VLOOKUP(Financeiros[[#This Row],[Tipo]],RefTabTipo[],2,FALSE),0)</f>
        <v>22</v>
      </c>
      <c r="I11" s="1641">
        <f>IFERROR(VLOOKUP(Financeiros[[#This Row],[Tipo]],RefTabTipo[],3,FALSE),0)</f>
        <v>60</v>
      </c>
      <c r="J11" s="1618">
        <f>IFERROR(VLOOKUP(Financeiros[[#This Row],[Tipo]],RefTabTipo[],4,FALSE),0)</f>
        <v>999</v>
      </c>
      <c r="K11" s="1647">
        <f>IFERROR(VLOOKUP(Financeiros[[#This Row],[Grupo Tarifário]],RefTabGrupoTarifa[],2,FALSE),0)</f>
        <v>2</v>
      </c>
      <c r="L11" s="1617">
        <f>IFERROR(VLOOKUP(Financeiros[[#This Row],[Grupo Tarifário]],RefTabGrupoTarifa[],3,FALSE),0)</f>
        <v>9</v>
      </c>
      <c r="M11" s="1647">
        <f>IFERROR(VLOOKUP(Financeiros[[#This Row],[Grupo Tarifário]],RefTabGrupoTarifa[],4,FALSE),0)</f>
        <v>9</v>
      </c>
      <c r="O11" s="1590" t="s">
        <v>2232</v>
      </c>
      <c r="P11" s="1591">
        <v>22</v>
      </c>
      <c r="Q11" s="1591">
        <v>60</v>
      </c>
      <c r="R11" s="1592">
        <v>167</v>
      </c>
      <c r="T11" s="847" t="s">
        <v>2243</v>
      </c>
      <c r="U11" s="1460">
        <v>99</v>
      </c>
      <c r="V11" s="1460">
        <v>999</v>
      </c>
      <c r="W11" s="1460">
        <v>3</v>
      </c>
    </row>
    <row r="12" spans="3:23" ht="16.5">
      <c r="C12" s="1652" t="s">
        <v>2290</v>
      </c>
      <c r="D12" s="1653">
        <f ca="1">IFERROR(ABS(Indexador!$D$49)*'Tributos suprimento'!$D$41*H4,0)</f>
        <v>88230.044663555891</v>
      </c>
      <c r="E12" s="1628">
        <f t="shared" ca="1" si="0"/>
        <v>6.7964503185353401E-4</v>
      </c>
      <c r="F12" s="1616" t="s">
        <v>2237</v>
      </c>
      <c r="G12" s="1635" t="s">
        <v>2262</v>
      </c>
      <c r="H12" s="1617">
        <f>IFERROR(VLOOKUP(Financeiros[[#This Row],[Tipo]],RefTabTipo[],2,FALSE),0)</f>
        <v>22</v>
      </c>
      <c r="I12" s="1641">
        <f>IFERROR(VLOOKUP(Financeiros[[#This Row],[Tipo]],RefTabTipo[],3,FALSE),0)</f>
        <v>60</v>
      </c>
      <c r="J12" s="1618">
        <f>IFERROR(VLOOKUP(Financeiros[[#This Row],[Tipo]],RefTabTipo[],4,FALSE),0)</f>
        <v>999</v>
      </c>
      <c r="K12" s="1647">
        <f>IFERROR(VLOOKUP(Financeiros[[#This Row],[Grupo Tarifário]],RefTabGrupoTarifa[],2,FALSE),0)</f>
        <v>2</v>
      </c>
      <c r="L12" s="1617">
        <f>IFERROR(VLOOKUP(Financeiros[[#This Row],[Grupo Tarifário]],RefTabGrupoTarifa[],3,FALSE),0)</f>
        <v>8</v>
      </c>
      <c r="M12" s="1647">
        <f>IFERROR(VLOOKUP(Financeiros[[#This Row],[Grupo Tarifário]],RefTabGrupoTarifa[],4,FALSE),0)</f>
        <v>9</v>
      </c>
      <c r="O12" s="1590" t="s">
        <v>2233</v>
      </c>
      <c r="P12" s="1591">
        <v>22</v>
      </c>
      <c r="Q12" s="1591">
        <v>60</v>
      </c>
      <c r="R12" s="1592">
        <v>241</v>
      </c>
      <c r="T12" s="847" t="s">
        <v>2244</v>
      </c>
      <c r="U12" s="847">
        <v>3</v>
      </c>
      <c r="V12" s="847">
        <v>17</v>
      </c>
      <c r="W12" s="847">
        <v>9</v>
      </c>
    </row>
    <row r="13" spans="3:23" ht="16.5">
      <c r="C13" s="1652" t="s">
        <v>2291</v>
      </c>
      <c r="D13" s="1653">
        <f ca="1">IFERROR(ABS(Indexador!$D$49)*'Tributos suprimento'!$D$41*H5,0)</f>
        <v>0</v>
      </c>
      <c r="E13" s="1628">
        <f t="shared" ca="1" si="0"/>
        <v>0</v>
      </c>
      <c r="F13" s="1616" t="s">
        <v>2237</v>
      </c>
      <c r="G13" s="1635" t="s">
        <v>2260</v>
      </c>
      <c r="H13" s="1617">
        <f>IFERROR(VLOOKUP(Financeiros[[#This Row],[Tipo]],RefTabTipo[],2,FALSE),0)</f>
        <v>22</v>
      </c>
      <c r="I13" s="1641">
        <f>IFERROR(VLOOKUP(Financeiros[[#This Row],[Tipo]],RefTabTipo[],3,FALSE),0)</f>
        <v>60</v>
      </c>
      <c r="J13" s="1618">
        <f>IFERROR(VLOOKUP(Financeiros[[#This Row],[Tipo]],RefTabTipo[],4,FALSE),0)</f>
        <v>999</v>
      </c>
      <c r="K13" s="1647">
        <f>IFERROR(VLOOKUP(Financeiros[[#This Row],[Grupo Tarifário]],RefTabGrupoTarifa[],2,FALSE),0)</f>
        <v>2</v>
      </c>
      <c r="L13" s="1617">
        <f>IFERROR(VLOOKUP(Financeiros[[#This Row],[Grupo Tarifário]],RefTabGrupoTarifa[],3,FALSE),0)</f>
        <v>10</v>
      </c>
      <c r="M13" s="1647">
        <f>IFERROR(VLOOKUP(Financeiros[[#This Row],[Grupo Tarifário]],RefTabGrupoTarifa[],4,FALSE),0)</f>
        <v>9</v>
      </c>
      <c r="O13" s="1590" t="s">
        <v>2234</v>
      </c>
      <c r="P13" s="1591">
        <v>22</v>
      </c>
      <c r="Q13" s="1591">
        <v>60</v>
      </c>
      <c r="R13" s="1592">
        <v>120</v>
      </c>
      <c r="T13" s="847" t="s">
        <v>2245</v>
      </c>
      <c r="U13" s="847">
        <v>3</v>
      </c>
      <c r="V13" s="847">
        <v>13</v>
      </c>
      <c r="W13" s="847">
        <v>9</v>
      </c>
    </row>
    <row r="14" spans="3:23" ht="16.5">
      <c r="C14" s="1652" t="s">
        <v>2292</v>
      </c>
      <c r="D14" s="1653">
        <f ca="1">IFERROR(ABS(Indexador!$D$49)*'Tributos suprimento'!$D$41*H6,0)</f>
        <v>0</v>
      </c>
      <c r="E14" s="1628">
        <f t="shared" ca="1" si="0"/>
        <v>0</v>
      </c>
      <c r="F14" s="1616" t="s">
        <v>2237</v>
      </c>
      <c r="G14" s="1635" t="s">
        <v>2261</v>
      </c>
      <c r="H14" s="1617">
        <f>IFERROR(VLOOKUP(Financeiros[[#This Row],[Tipo]],RefTabTipo[],2,FALSE),0)</f>
        <v>22</v>
      </c>
      <c r="I14" s="1641">
        <f>IFERROR(VLOOKUP(Financeiros[[#This Row],[Tipo]],RefTabTipo[],3,FALSE),0)</f>
        <v>60</v>
      </c>
      <c r="J14" s="1618">
        <f>IFERROR(VLOOKUP(Financeiros[[#This Row],[Tipo]],RefTabTipo[],4,FALSE),0)</f>
        <v>999</v>
      </c>
      <c r="K14" s="1647">
        <f>IFERROR(VLOOKUP(Financeiros[[#This Row],[Grupo Tarifário]],RefTabGrupoTarifa[],2,FALSE),0)</f>
        <v>2</v>
      </c>
      <c r="L14" s="1617">
        <f>IFERROR(VLOOKUP(Financeiros[[#This Row],[Grupo Tarifário]],RefTabGrupoTarifa[],3,FALSE),0)</f>
        <v>24</v>
      </c>
      <c r="M14" s="1647">
        <f>IFERROR(VLOOKUP(Financeiros[[#This Row],[Grupo Tarifário]],RefTabGrupoTarifa[],4,FALSE),0)</f>
        <v>9</v>
      </c>
      <c r="O14" s="1590" t="s">
        <v>2235</v>
      </c>
      <c r="P14" s="1591">
        <v>22</v>
      </c>
      <c r="Q14" s="1591">
        <v>60</v>
      </c>
      <c r="R14" s="1592">
        <v>240</v>
      </c>
      <c r="T14" s="847" t="s">
        <v>2246</v>
      </c>
      <c r="U14" s="847">
        <v>3</v>
      </c>
      <c r="V14" s="847">
        <v>25</v>
      </c>
      <c r="W14" s="847">
        <v>9</v>
      </c>
    </row>
    <row r="15" spans="3:23" ht="16.5">
      <c r="C15" s="1623" t="str">
        <f>"(Neutralidade) "&amp;Encargos!L31</f>
        <v>(Neutralidade) TFSEE</v>
      </c>
      <c r="D15" s="1619">
        <f ca="1">Encargos!$M$31</f>
        <v>-3549.1525413601648</v>
      </c>
      <c r="E15" s="1626">
        <f t="shared" ca="1" si="0"/>
        <v>-2.7339483973106766E-5</v>
      </c>
      <c r="F15" s="1620" t="s">
        <v>107</v>
      </c>
      <c r="G15" s="1633" t="s">
        <v>2256</v>
      </c>
      <c r="H15" s="1621">
        <f>IFERROR(VLOOKUP(Financeiros[[#This Row],[Tipo]],RefTabTipo[],2,FALSE),0)</f>
        <v>20</v>
      </c>
      <c r="I15" s="1639">
        <f>IFERROR(VLOOKUP(Financeiros[[#This Row],[Tipo]],RefTabTipo[],3,FALSE),0)</f>
        <v>60</v>
      </c>
      <c r="J15" s="1622">
        <f>IFERROR(VLOOKUP(Financeiros[[#This Row],[Tipo]],RefTabTipo[],4,FALSE),0)</f>
        <v>999</v>
      </c>
      <c r="K15" s="1646">
        <f>IFERROR(VLOOKUP(Financeiros[[#This Row],[Grupo Tarifário]],RefTabGrupoTarifa[],2,FALSE),0)</f>
        <v>3</v>
      </c>
      <c r="L15" s="1621">
        <f>IFERROR(VLOOKUP(Financeiros[[#This Row],[Grupo Tarifário]],RefTabGrupoTarifa[],3,FALSE),0)</f>
        <v>14</v>
      </c>
      <c r="M15" s="1646">
        <f>IFERROR(VLOOKUP(Financeiros[[#This Row],[Grupo Tarifário]],RefTabGrupoTarifa[],4,FALSE),0)</f>
        <v>9</v>
      </c>
      <c r="O15" s="1590" t="s">
        <v>2236</v>
      </c>
      <c r="P15" s="1591">
        <v>22</v>
      </c>
      <c r="Q15" s="1591">
        <v>60</v>
      </c>
      <c r="R15" s="1592">
        <v>179</v>
      </c>
      <c r="T15" s="847" t="s">
        <v>2247</v>
      </c>
      <c r="U15" s="847">
        <v>3</v>
      </c>
      <c r="V15" s="847">
        <v>15</v>
      </c>
      <c r="W15" s="847">
        <v>9</v>
      </c>
    </row>
    <row r="16" spans="3:23" ht="16.5">
      <c r="C16" s="1623" t="str">
        <f>"(Neutralidade) "&amp;Encargos!L32</f>
        <v>(Neutralidade) CDE</v>
      </c>
      <c r="D16" s="1619">
        <f ca="1">IFERROR(Encargos!$M$32,0)</f>
        <v>-245185.61438902293</v>
      </c>
      <c r="E16" s="1626">
        <f t="shared" ca="1" si="0"/>
        <v>-1.8886897919738604E-3</v>
      </c>
      <c r="F16" s="1620" t="s">
        <v>107</v>
      </c>
      <c r="G16" s="1633" t="s">
        <v>2247</v>
      </c>
      <c r="H16" s="1621">
        <f>IFERROR(VLOOKUP(Financeiros[[#This Row],[Tipo]],RefTabTipo[],2,FALSE),0)</f>
        <v>20</v>
      </c>
      <c r="I16" s="1639">
        <f>IFERROR(VLOOKUP(Financeiros[[#This Row],[Tipo]],RefTabTipo[],3,FALSE),0)</f>
        <v>60</v>
      </c>
      <c r="J16" s="1622">
        <f>IFERROR(VLOOKUP(Financeiros[[#This Row],[Tipo]],RefTabTipo[],4,FALSE),0)</f>
        <v>999</v>
      </c>
      <c r="K16" s="1646">
        <f>IFERROR(VLOOKUP(Financeiros[[#This Row],[Grupo Tarifário]],RefTabGrupoTarifa[],2,FALSE),0)</f>
        <v>3</v>
      </c>
      <c r="L16" s="1621">
        <f>IFERROR(VLOOKUP(Financeiros[[#This Row],[Grupo Tarifário]],RefTabGrupoTarifa[],3,FALSE),0)</f>
        <v>15</v>
      </c>
      <c r="M16" s="1646">
        <f>IFERROR(VLOOKUP(Financeiros[[#This Row],[Grupo Tarifário]],RefTabGrupoTarifa[],4,FALSE),0)</f>
        <v>9</v>
      </c>
      <c r="O16" s="1590" t="s">
        <v>2237</v>
      </c>
      <c r="P16" s="1591">
        <v>22</v>
      </c>
      <c r="Q16" s="1591">
        <v>60</v>
      </c>
      <c r="R16" s="1592">
        <v>999</v>
      </c>
      <c r="T16" s="847" t="s">
        <v>2248</v>
      </c>
      <c r="U16" s="1460">
        <v>3</v>
      </c>
      <c r="V16" s="1460">
        <v>25</v>
      </c>
      <c r="W16" s="1460">
        <v>9</v>
      </c>
    </row>
    <row r="17" spans="3:23" ht="16.5">
      <c r="C17" s="1623" t="str">
        <f>"(Neutralidade) "&amp;Encargos!L33</f>
        <v>(Neutralidade) CFURH</v>
      </c>
      <c r="D17" s="1619">
        <f>Encargos!$M$33</f>
        <v>0</v>
      </c>
      <c r="E17" s="1626">
        <f t="shared" ca="1" si="0"/>
        <v>0</v>
      </c>
      <c r="F17" s="1620" t="s">
        <v>107</v>
      </c>
      <c r="G17" s="1633" t="s">
        <v>2251</v>
      </c>
      <c r="H17" s="1621">
        <f>IFERROR(VLOOKUP(Financeiros[[#This Row],[Tipo]],RefTabTipo[],2,FALSE),0)</f>
        <v>20</v>
      </c>
      <c r="I17" s="1639">
        <f>IFERROR(VLOOKUP(Financeiros[[#This Row],[Tipo]],RefTabTipo[],3,FALSE),0)</f>
        <v>60</v>
      </c>
      <c r="J17" s="1622">
        <f>IFERROR(VLOOKUP(Financeiros[[#This Row],[Tipo]],RefTabTipo[],4,FALSE),0)</f>
        <v>999</v>
      </c>
      <c r="K17" s="1646">
        <f>IFERROR(VLOOKUP(Financeiros[[#This Row],[Grupo Tarifário]],RefTabGrupoTarifa[],2,FALSE),0)</f>
        <v>3</v>
      </c>
      <c r="L17" s="1621">
        <f>IFERROR(VLOOKUP(Financeiros[[#This Row],[Grupo Tarifário]],RefTabGrupoTarifa[],3,FALSE),0)</f>
        <v>16</v>
      </c>
      <c r="M17" s="1646">
        <f>IFERROR(VLOOKUP(Financeiros[[#This Row],[Grupo Tarifário]],RefTabGrupoTarifa[],4,FALSE),0)</f>
        <v>9</v>
      </c>
      <c r="O17" s="1590" t="s">
        <v>107</v>
      </c>
      <c r="P17" s="1591">
        <v>20</v>
      </c>
      <c r="Q17" s="1591">
        <v>60</v>
      </c>
      <c r="R17" s="1592">
        <v>999</v>
      </c>
      <c r="T17" s="847" t="s">
        <v>2249</v>
      </c>
      <c r="U17" s="1460">
        <v>3</v>
      </c>
      <c r="V17" s="1460">
        <v>12</v>
      </c>
      <c r="W17" s="1460">
        <v>9</v>
      </c>
    </row>
    <row r="18" spans="3:23" ht="16.5">
      <c r="C18" s="1623" t="str">
        <f>"(Neutralidade) "&amp;Encargos!L34</f>
        <v>(Neutralidade) ESS/ERR</v>
      </c>
      <c r="D18" s="1619">
        <f ca="1">Encargos!$M$34</f>
        <v>0</v>
      </c>
      <c r="E18" s="1626">
        <f t="shared" ca="1" si="0"/>
        <v>0</v>
      </c>
      <c r="F18" s="1620" t="s">
        <v>107</v>
      </c>
      <c r="G18" s="1633" t="s">
        <v>2244</v>
      </c>
      <c r="H18" s="1621">
        <f>IFERROR(VLOOKUP(Financeiros[[#This Row],[Tipo]],RefTabTipo[],2,FALSE),0)</f>
        <v>20</v>
      </c>
      <c r="I18" s="1639">
        <f>IFERROR(VLOOKUP(Financeiros[[#This Row],[Tipo]],RefTabTipo[],3,FALSE),0)</f>
        <v>60</v>
      </c>
      <c r="J18" s="1622">
        <f>IFERROR(VLOOKUP(Financeiros[[#This Row],[Tipo]],RefTabTipo[],4,FALSE),0)</f>
        <v>999</v>
      </c>
      <c r="K18" s="1646">
        <f>IFERROR(VLOOKUP(Financeiros[[#This Row],[Grupo Tarifário]],RefTabGrupoTarifa[],2,FALSE),0)</f>
        <v>3</v>
      </c>
      <c r="L18" s="1621">
        <f>IFERROR(VLOOKUP(Financeiros[[#This Row],[Grupo Tarifário]],RefTabGrupoTarifa[],3,FALSE),0)</f>
        <v>17</v>
      </c>
      <c r="M18" s="1646">
        <f>IFERROR(VLOOKUP(Financeiros[[#This Row],[Grupo Tarifário]],RefTabGrupoTarifa[],4,FALSE),0)</f>
        <v>9</v>
      </c>
      <c r="O18" s="1590" t="s">
        <v>2238</v>
      </c>
      <c r="P18" s="1591">
        <v>20</v>
      </c>
      <c r="Q18" s="1591">
        <v>60</v>
      </c>
      <c r="R18" s="1592">
        <v>179</v>
      </c>
      <c r="T18" s="847" t="s">
        <v>2250</v>
      </c>
      <c r="U18" s="1460">
        <v>3</v>
      </c>
      <c r="V18" s="1460">
        <v>28</v>
      </c>
      <c r="W18" s="1460">
        <v>9</v>
      </c>
    </row>
    <row r="19" spans="3:23" ht="16.5">
      <c r="C19" s="1623" t="str">
        <f>"(Neutralidade) "&amp;Encargos!L35</f>
        <v>(Neutralidade) PROINFA</v>
      </c>
      <c r="D19" s="1619">
        <f ca="1">Encargos!$M$35</f>
        <v>-37884.487566450392</v>
      </c>
      <c r="E19" s="1626">
        <f t="shared" ca="1" si="0"/>
        <v>-2.9182807123173091E-4</v>
      </c>
      <c r="F19" s="1620" t="s">
        <v>107</v>
      </c>
      <c r="G19" s="1633" t="s">
        <v>2254</v>
      </c>
      <c r="H19" s="1621">
        <f>IFERROR(VLOOKUP(Financeiros[[#This Row],[Tipo]],RefTabTipo[],2,FALSE),0)</f>
        <v>20</v>
      </c>
      <c r="I19" s="1639">
        <f>IFERROR(VLOOKUP(Financeiros[[#This Row],[Tipo]],RefTabTipo[],3,FALSE),0)</f>
        <v>60</v>
      </c>
      <c r="J19" s="1622">
        <f>IFERROR(VLOOKUP(Financeiros[[#This Row],[Tipo]],RefTabTipo[],4,FALSE),0)</f>
        <v>999</v>
      </c>
      <c r="K19" s="1646">
        <f>IFERROR(VLOOKUP(Financeiros[[#This Row],[Grupo Tarifário]],RefTabGrupoTarifa[],2,FALSE),0)</f>
        <v>3</v>
      </c>
      <c r="L19" s="1621">
        <f>IFERROR(VLOOKUP(Financeiros[[#This Row],[Grupo Tarifário]],RefTabGrupoTarifa[],3,FALSE),0)</f>
        <v>18</v>
      </c>
      <c r="M19" s="1646">
        <f>IFERROR(VLOOKUP(Financeiros[[#This Row],[Grupo Tarifário]],RefTabGrupoTarifa[],4,FALSE),0)</f>
        <v>9</v>
      </c>
      <c r="O19" s="68" t="s">
        <v>2278</v>
      </c>
      <c r="P19" s="1663">
        <v>22</v>
      </c>
      <c r="Q19" s="1663">
        <v>60</v>
      </c>
      <c r="R19" s="1663">
        <v>220</v>
      </c>
      <c r="T19" s="847" t="s">
        <v>2251</v>
      </c>
      <c r="U19" s="847">
        <v>3</v>
      </c>
      <c r="V19" s="847">
        <v>16</v>
      </c>
      <c r="W19" s="847">
        <v>9</v>
      </c>
    </row>
    <row r="20" spans="3:23" ht="16.5">
      <c r="C20" s="1623" t="str">
        <f>"(Neutralidade) "&amp;Encargos!L36</f>
        <v>(Neutralidade) CDE COVID</v>
      </c>
      <c r="D20" s="1619">
        <f ca="1">Encargos!$M$36</f>
        <v>-128162.06640272774</v>
      </c>
      <c r="E20" s="1626">
        <f t="shared" ca="1" si="0"/>
        <v>-9.8724546762783087E-4</v>
      </c>
      <c r="F20" s="1620" t="s">
        <v>107</v>
      </c>
      <c r="G20" s="1633" t="s">
        <v>2249</v>
      </c>
      <c r="H20" s="1621">
        <f>IFERROR(VLOOKUP(Financeiros[[#This Row],[Tipo]],RefTabTipo[],2,FALSE),0)</f>
        <v>20</v>
      </c>
      <c r="I20" s="1639">
        <f>IFERROR(VLOOKUP(Financeiros[[#This Row],[Tipo]],RefTabTipo[],3,FALSE),0)</f>
        <v>60</v>
      </c>
      <c r="J20" s="1622">
        <f>IFERROR(VLOOKUP(Financeiros[[#This Row],[Tipo]],RefTabTipo[],4,FALSE),0)</f>
        <v>999</v>
      </c>
      <c r="K20" s="1646">
        <f>IFERROR(VLOOKUP(Financeiros[[#This Row],[Grupo Tarifário]],RefTabGrupoTarifa[],2,FALSE),0)</f>
        <v>3</v>
      </c>
      <c r="L20" s="1621">
        <f>IFERROR(VLOOKUP(Financeiros[[#This Row],[Grupo Tarifário]],RefTabGrupoTarifa[],3,FALSE),0)</f>
        <v>12</v>
      </c>
      <c r="M20" s="1646">
        <f>IFERROR(VLOOKUP(Financeiros[[#This Row],[Grupo Tarifário]],RefTabGrupoTarifa[],4,FALSE),0)</f>
        <v>9</v>
      </c>
      <c r="O20" s="1664" t="s">
        <v>2239</v>
      </c>
      <c r="P20" s="1665">
        <v>22</v>
      </c>
      <c r="Q20" s="1665">
        <v>60</v>
      </c>
      <c r="R20" s="1665">
        <v>178</v>
      </c>
      <c r="T20" s="847" t="s">
        <v>2252</v>
      </c>
      <c r="U20" s="847">
        <v>3</v>
      </c>
      <c r="V20" s="847">
        <v>20</v>
      </c>
      <c r="W20" s="847">
        <v>9</v>
      </c>
    </row>
    <row r="21" spans="3:23" ht="16.5">
      <c r="C21" s="1623" t="str">
        <f>"(Neutralidade) "&amp;Encargos!L37</f>
        <v>(Neutralidade) P&amp;D</v>
      </c>
      <c r="D21" s="1619">
        <f ca="1">Encargos!$M$37</f>
        <v>0</v>
      </c>
      <c r="E21" s="1626">
        <f t="shared" ca="1" si="0"/>
        <v>0</v>
      </c>
      <c r="F21" s="1620" t="s">
        <v>107</v>
      </c>
      <c r="G21" s="1633" t="s">
        <v>2253</v>
      </c>
      <c r="H21" s="1621">
        <f>IFERROR(VLOOKUP(Financeiros[[#This Row],[Tipo]],RefTabTipo[],2,FALSE),0)</f>
        <v>20</v>
      </c>
      <c r="I21" s="1639">
        <f>IFERROR(VLOOKUP(Financeiros[[#This Row],[Tipo]],RefTabTipo[],3,FALSE),0)</f>
        <v>60</v>
      </c>
      <c r="J21" s="1622">
        <f>IFERROR(VLOOKUP(Financeiros[[#This Row],[Tipo]],RefTabTipo[],4,FALSE),0)</f>
        <v>999</v>
      </c>
      <c r="K21" s="1646">
        <f>IFERROR(VLOOKUP(Financeiros[[#This Row],[Grupo Tarifário]],RefTabGrupoTarifa[],2,FALSE),0)</f>
        <v>3</v>
      </c>
      <c r="L21" s="1621">
        <f>IFERROR(VLOOKUP(Financeiros[[#This Row],[Grupo Tarifário]],RefTabGrupoTarifa[],3,FALSE),0)</f>
        <v>19</v>
      </c>
      <c r="M21" s="1646">
        <f>IFERROR(VLOOKUP(Financeiros[[#This Row],[Grupo Tarifário]],RefTabGrupoTarifa[],4,FALSE),0)</f>
        <v>9</v>
      </c>
      <c r="O21" s="1664" t="s">
        <v>1307</v>
      </c>
      <c r="P21" s="1665">
        <v>22</v>
      </c>
      <c r="Q21" s="1665">
        <v>62</v>
      </c>
      <c r="R21" s="1665">
        <v>220</v>
      </c>
      <c r="T21" s="847" t="s">
        <v>2253</v>
      </c>
      <c r="U21" s="847">
        <v>3</v>
      </c>
      <c r="V21" s="847">
        <v>19</v>
      </c>
      <c r="W21" s="847">
        <v>9</v>
      </c>
    </row>
    <row r="22" spans="3:23" ht="16.5">
      <c r="C22" s="1623" t="str">
        <f>"(Neutralidade)" &amp; Encargos!L41</f>
        <v>(Neutralidade)Financeiro Covid</v>
      </c>
      <c r="D22" s="1619">
        <f ca="1">Encargos!$M$41</f>
        <v>538959.86488075997</v>
      </c>
      <c r="E22" s="1626">
        <f t="shared" ca="1" si="0"/>
        <v>4.1516628029767298E-3</v>
      </c>
      <c r="F22" s="1620" t="s">
        <v>107</v>
      </c>
      <c r="G22" s="1633" t="s">
        <v>104</v>
      </c>
      <c r="H22" s="1621">
        <f>IFERROR(VLOOKUP(Financeiros[[#This Row],[Tipo]],RefTabTipo[],2,FALSE),0)</f>
        <v>20</v>
      </c>
      <c r="I22" s="1639">
        <f>IFERROR(VLOOKUP(Financeiros[[#This Row],[Tipo]],RefTabTipo[],3,FALSE),0)</f>
        <v>60</v>
      </c>
      <c r="J22" s="1622">
        <f>IFERROR(VLOOKUP(Financeiros[[#This Row],[Tipo]],RefTabTipo[],4,FALSE),0)</f>
        <v>999</v>
      </c>
      <c r="K22" s="1646">
        <f>IFERROR(VLOOKUP(Financeiros[[#This Row],[Grupo Tarifário]],RefTabGrupoTarifa[],2,FALSE),0)</f>
        <v>4</v>
      </c>
      <c r="L22" s="1621">
        <f>IFERROR(VLOOKUP(Financeiros[[#This Row],[Grupo Tarifário]],RefTabGrupoTarifa[],3,FALSE),0)</f>
        <v>999</v>
      </c>
      <c r="M22" s="1646">
        <f>IFERROR(VLOOKUP(Financeiros[[#This Row],[Grupo Tarifário]],RefTabGrupoTarifa[],4,FALSE),0)</f>
        <v>9</v>
      </c>
      <c r="O22" s="1590" t="s">
        <v>2240</v>
      </c>
      <c r="P22" s="1593">
        <v>22</v>
      </c>
      <c r="Q22" s="1593">
        <v>60</v>
      </c>
      <c r="R22" s="1593">
        <v>106</v>
      </c>
      <c r="T22" s="847" t="s">
        <v>2254</v>
      </c>
      <c r="U22" s="847">
        <v>3</v>
      </c>
      <c r="V22" s="847">
        <v>18</v>
      </c>
      <c r="W22" s="847">
        <v>9</v>
      </c>
    </row>
    <row r="23" spans="3:23" ht="16.5">
      <c r="C23" s="1623" t="str">
        <f>"(Neutralidade)" &amp; Encargos!L42</f>
        <v>(Neutralidade)Crédito Pis Cofins</v>
      </c>
      <c r="D23" s="1619">
        <f ca="1">Encargos!$M$42</f>
        <v>0</v>
      </c>
      <c r="E23" s="1626">
        <f t="shared" ca="1" si="0"/>
        <v>0</v>
      </c>
      <c r="F23" s="1620" t="s">
        <v>2238</v>
      </c>
      <c r="G23" s="1633" t="s">
        <v>2243</v>
      </c>
      <c r="H23" s="1621">
        <f>IFERROR(VLOOKUP(Financeiros[[#This Row],[Tipo]],RefTabTipo[],2,FALSE),0)</f>
        <v>20</v>
      </c>
      <c r="I23" s="1639">
        <f>IFERROR(VLOOKUP(Financeiros[[#This Row],[Tipo]],RefTabTipo[],3,FALSE),0)</f>
        <v>60</v>
      </c>
      <c r="J23" s="1622">
        <f>IFERROR(VLOOKUP(Financeiros[[#This Row],[Tipo]],RefTabTipo[],4,FALSE),0)</f>
        <v>179</v>
      </c>
      <c r="K23" s="1646">
        <f>IFERROR(VLOOKUP(Financeiros[[#This Row],[Grupo Tarifário]],RefTabGrupoTarifa[],2,FALSE),0)</f>
        <v>99</v>
      </c>
      <c r="L23" s="1621">
        <f>IFERROR(VLOOKUP(Financeiros[[#This Row],[Grupo Tarifário]],RefTabGrupoTarifa[],3,FALSE),0)</f>
        <v>999</v>
      </c>
      <c r="M23" s="1646">
        <f>IFERROR(VLOOKUP(Financeiros[[#This Row],[Grupo Tarifário]],RefTabGrupoTarifa[],4,FALSE),0)</f>
        <v>3</v>
      </c>
      <c r="O23" s="68" t="s">
        <v>2399</v>
      </c>
      <c r="P23" s="68">
        <v>22</v>
      </c>
      <c r="Q23" s="68">
        <v>60</v>
      </c>
      <c r="R23" s="68">
        <v>242</v>
      </c>
      <c r="T23" s="847" t="s">
        <v>2255</v>
      </c>
      <c r="U23" s="847">
        <v>3</v>
      </c>
      <c r="V23" s="847">
        <v>12</v>
      </c>
      <c r="W23" s="847">
        <v>9</v>
      </c>
    </row>
    <row r="24" spans="3:23" ht="16.5">
      <c r="C24" s="1654" t="s">
        <v>1291</v>
      </c>
      <c r="D24" s="1655">
        <f>IFERROR((Indexador!J49+Indexador!P49)*Resultado!D25/(Resultado!D25+Resultado!D26),0)</f>
        <v>977316.44974697579</v>
      </c>
      <c r="E24" s="1656">
        <f t="shared" ca="1" si="0"/>
        <v>7.5283682803532655E-3</v>
      </c>
      <c r="F24" s="1657" t="s">
        <v>2237</v>
      </c>
      <c r="G24" s="1658" t="s">
        <v>2272</v>
      </c>
      <c r="H24" s="1659">
        <f>IFERROR(VLOOKUP(Financeiros[[#This Row],[Tipo]],RefTabTipo[],2,FALSE),0)</f>
        <v>22</v>
      </c>
      <c r="I24" s="1660">
        <f>IFERROR(VLOOKUP(Financeiros[[#This Row],[Tipo]],RefTabTipo[],3,FALSE),0)</f>
        <v>60</v>
      </c>
      <c r="J24" s="1661">
        <f>IFERROR(VLOOKUP(Financeiros[[#This Row],[Tipo]],RefTabTipo[],4,FALSE),0)</f>
        <v>999</v>
      </c>
      <c r="K24" s="1662">
        <f>IFERROR(VLOOKUP(Financeiros[[#This Row],[Grupo Tarifário]],RefTabGrupoTarifa[],2,FALSE),0)</f>
        <v>1</v>
      </c>
      <c r="L24" s="1659">
        <f>IFERROR(VLOOKUP(Financeiros[[#This Row],[Grupo Tarifário]],RefTabGrupoTarifa[],3,FALSE),0)</f>
        <v>1</v>
      </c>
      <c r="M24" s="1662">
        <f>IFERROR(VLOOKUP(Financeiros[[#This Row],[Grupo Tarifário]],RefTabGrupoTarifa[],4,FALSE),0)</f>
        <v>9</v>
      </c>
      <c r="T24" s="847" t="s">
        <v>2256</v>
      </c>
      <c r="U24" s="847">
        <v>3</v>
      </c>
      <c r="V24" s="847">
        <v>14</v>
      </c>
      <c r="W24" s="847">
        <v>9</v>
      </c>
    </row>
    <row r="25" spans="3:23" ht="16.5">
      <c r="C25" s="1654" t="s">
        <v>1292</v>
      </c>
      <c r="D25" s="1655">
        <f>IFERROR((Indexador!J49+Indexador!P49)*Resultado!D26/(Resultado!D25+Resultado!D26),0)</f>
        <v>136982.03985895967</v>
      </c>
      <c r="E25" s="1656">
        <f t="shared" ca="1" si="0"/>
        <v>1.0551866226330955E-3</v>
      </c>
      <c r="F25" s="1657" t="s">
        <v>2237</v>
      </c>
      <c r="G25" s="1658" t="s">
        <v>2271</v>
      </c>
      <c r="H25" s="1659">
        <f>IFERROR(VLOOKUP(Financeiros[[#This Row],[Tipo]],RefTabTipo[],2,FALSE),0)</f>
        <v>22</v>
      </c>
      <c r="I25" s="1660">
        <f>IFERROR(VLOOKUP(Financeiros[[#This Row],[Tipo]],RefTabTipo[],3,FALSE),0)</f>
        <v>60</v>
      </c>
      <c r="J25" s="1661">
        <f>IFERROR(VLOOKUP(Financeiros[[#This Row],[Tipo]],RefTabTipo[],4,FALSE),0)</f>
        <v>999</v>
      </c>
      <c r="K25" s="1662">
        <f>IFERROR(VLOOKUP(Financeiros[[#This Row],[Grupo Tarifário]],RefTabGrupoTarifa[],2,FALSE),0)</f>
        <v>1</v>
      </c>
      <c r="L25" s="1659">
        <f>IFERROR(VLOOKUP(Financeiros[[#This Row],[Grupo Tarifário]],RefTabGrupoTarifa[],3,FALSE),0)</f>
        <v>2</v>
      </c>
      <c r="M25" s="1662">
        <f>IFERROR(VLOOKUP(Financeiros[[#This Row],[Grupo Tarifário]],RefTabGrupoTarifa[],4,FALSE),0)</f>
        <v>9</v>
      </c>
      <c r="T25" s="847" t="s">
        <v>2257</v>
      </c>
      <c r="U25" s="847">
        <v>2</v>
      </c>
      <c r="V25" s="847">
        <v>11</v>
      </c>
      <c r="W25" s="847">
        <v>9</v>
      </c>
    </row>
    <row r="26" spans="3:23" ht="16.5">
      <c r="C26" s="1666" t="s">
        <v>1293</v>
      </c>
      <c r="D26" s="1667">
        <v>0</v>
      </c>
      <c r="E26" s="1630">
        <f t="shared" ca="1" si="0"/>
        <v>0</v>
      </c>
      <c r="F26" s="1610" t="s">
        <v>2232</v>
      </c>
      <c r="G26" s="1637" t="s">
        <v>104</v>
      </c>
      <c r="H26" s="1611">
        <f>IFERROR(VLOOKUP(Financeiros[[#This Row],[Tipo]],RefTabTipo[],2,FALSE),0)</f>
        <v>22</v>
      </c>
      <c r="I26" s="1643">
        <f>IFERROR(VLOOKUP(Financeiros[[#This Row],[Tipo]],RefTabTipo[],3,FALSE),0)</f>
        <v>60</v>
      </c>
      <c r="J26" s="1612">
        <f>IFERROR(VLOOKUP(Financeiros[[#This Row],[Tipo]],RefTabTipo[],4,FALSE),0)</f>
        <v>167</v>
      </c>
      <c r="K26" s="1649">
        <f>IFERROR(VLOOKUP(Financeiros[[#This Row],[Grupo Tarifário]],RefTabGrupoTarifa[],2,FALSE),0)</f>
        <v>4</v>
      </c>
      <c r="L26" s="1611">
        <f>IFERROR(VLOOKUP(Financeiros[[#This Row],[Grupo Tarifário]],RefTabGrupoTarifa[],3,FALSE),0)</f>
        <v>999</v>
      </c>
      <c r="M26" s="1649">
        <f>IFERROR(VLOOKUP(Financeiros[[#This Row],[Grupo Tarifário]],RefTabGrupoTarifa[],4,FALSE),0)</f>
        <v>9</v>
      </c>
      <c r="T26" s="847" t="s">
        <v>2258</v>
      </c>
      <c r="U26" s="847">
        <v>2</v>
      </c>
      <c r="V26" s="847">
        <v>30</v>
      </c>
      <c r="W26" s="847">
        <v>9</v>
      </c>
    </row>
    <row r="27" spans="3:23" ht="16.5">
      <c r="C27" s="1666" t="s">
        <v>2069</v>
      </c>
      <c r="D27" s="1667"/>
      <c r="E27" s="1630">
        <f t="shared" ca="1" si="0"/>
        <v>0</v>
      </c>
      <c r="F27" s="1610" t="s">
        <v>2237</v>
      </c>
      <c r="G27" s="1637" t="s">
        <v>2250</v>
      </c>
      <c r="H27" s="1611">
        <f>IFERROR(VLOOKUP(Financeiros[[#This Row],[Tipo]],RefTabTipo[],2,FALSE),0)</f>
        <v>22</v>
      </c>
      <c r="I27" s="1643">
        <f>IFERROR(VLOOKUP(Financeiros[[#This Row],[Tipo]],RefTabTipo[],3,FALSE),0)</f>
        <v>60</v>
      </c>
      <c r="J27" s="1612">
        <f>IFERROR(VLOOKUP(Financeiros[[#This Row],[Tipo]],RefTabTipo[],4,FALSE),0)</f>
        <v>999</v>
      </c>
      <c r="K27" s="1649">
        <f>IFERROR(VLOOKUP(Financeiros[[#This Row],[Grupo Tarifário]],RefTabGrupoTarifa[],2,FALSE),0)</f>
        <v>3</v>
      </c>
      <c r="L27" s="1611">
        <f>IFERROR(VLOOKUP(Financeiros[[#This Row],[Grupo Tarifário]],RefTabGrupoTarifa[],3,FALSE),0)</f>
        <v>28</v>
      </c>
      <c r="M27" s="1649">
        <f>IFERROR(VLOOKUP(Financeiros[[#This Row],[Grupo Tarifário]],RefTabGrupoTarifa[],4,FALSE),0)</f>
        <v>9</v>
      </c>
      <c r="T27" s="847" t="s">
        <v>2259</v>
      </c>
      <c r="U27" s="847">
        <v>2</v>
      </c>
      <c r="V27" s="847">
        <v>9</v>
      </c>
      <c r="W27" s="847">
        <v>9</v>
      </c>
    </row>
    <row r="28" spans="3:23" ht="16.5">
      <c r="C28" s="1624" t="s">
        <v>2047</v>
      </c>
      <c r="D28" s="1450"/>
      <c r="E28" s="1627">
        <f t="shared" ca="1" si="0"/>
        <v>0</v>
      </c>
      <c r="F28" s="1604" t="s">
        <v>2237</v>
      </c>
      <c r="G28" s="1634" t="s">
        <v>2258</v>
      </c>
      <c r="H28" s="1609">
        <f>IFERROR(VLOOKUP(Financeiros[[#This Row],[Tipo]],RefTabTipo[],2,FALSE),0)</f>
        <v>22</v>
      </c>
      <c r="I28" s="1640">
        <f>IFERROR(VLOOKUP(Financeiros[[#This Row],[Tipo]],RefTabTipo[],3,FALSE),0)</f>
        <v>60</v>
      </c>
      <c r="J28" s="1609">
        <f>IFERROR(VLOOKUP(Financeiros[[#This Row],[Tipo]],RefTabTipo[],4,FALSE),0)</f>
        <v>999</v>
      </c>
      <c r="K28" s="1640">
        <f>IFERROR(VLOOKUP(Financeiros[[#This Row],[Grupo Tarifário]],RefTabGrupoTarifa[],2,FALSE),0)</f>
        <v>2</v>
      </c>
      <c r="L28" s="1609">
        <f>IFERROR(VLOOKUP(Financeiros[[#This Row],[Grupo Tarifário]],RefTabGrupoTarifa[],3,FALSE),0)</f>
        <v>30</v>
      </c>
      <c r="M28" s="1640">
        <f>IFERROR(VLOOKUP(Financeiros[[#This Row],[Grupo Tarifário]],RefTabGrupoTarifa[],4,FALSE),0)</f>
        <v>9</v>
      </c>
      <c r="T28" s="847" t="s">
        <v>2260</v>
      </c>
      <c r="U28" s="847">
        <v>2</v>
      </c>
      <c r="V28" s="847">
        <v>10</v>
      </c>
      <c r="W28" s="847">
        <v>9</v>
      </c>
    </row>
    <row r="29" spans="3:23" ht="16.5">
      <c r="C29" s="1625" t="s">
        <v>1294</v>
      </c>
      <c r="D29" s="1450">
        <f>(Indexador!H49)</f>
        <v>0</v>
      </c>
      <c r="E29" s="1627">
        <f t="shared" ca="1" si="0"/>
        <v>0</v>
      </c>
      <c r="F29" s="1672" t="s">
        <v>2239</v>
      </c>
      <c r="G29" s="1673" t="s">
        <v>2269</v>
      </c>
      <c r="H29" s="1674">
        <f>IFERROR(VLOOKUP(Financeiros[[#This Row],[Tipo]],RefTabTipo[],2,FALSE),0)</f>
        <v>22</v>
      </c>
      <c r="I29" s="1640">
        <f>IFERROR(VLOOKUP(Financeiros[[#This Row],[Tipo]],RefTabTipo[],3,FALSE),0)</f>
        <v>60</v>
      </c>
      <c r="J29" s="1609">
        <f>IFERROR(VLOOKUP(Financeiros[[#This Row],[Tipo]],RefTabTipo[],4,FALSE),0)</f>
        <v>178</v>
      </c>
      <c r="K29" s="1675">
        <f>IFERROR(VLOOKUP(Financeiros[[#This Row],[Grupo Tarifário]],RefTabGrupoTarifa[],2,FALSE),0)</f>
        <v>1</v>
      </c>
      <c r="L29" s="1674">
        <f>IFERROR(VLOOKUP(Financeiros[[#This Row],[Grupo Tarifário]],RefTabGrupoTarifa[],3,FALSE),0)</f>
        <v>7</v>
      </c>
      <c r="M29" s="1675">
        <f>IFERROR(VLOOKUP(Financeiros[[#This Row],[Grupo Tarifário]],RefTabGrupoTarifa[],4,FALSE),0)</f>
        <v>9</v>
      </c>
      <c r="T29" s="847" t="s">
        <v>2261</v>
      </c>
      <c r="U29" s="847">
        <v>2</v>
      </c>
      <c r="V29" s="847">
        <v>24</v>
      </c>
      <c r="W29" s="847">
        <v>9</v>
      </c>
    </row>
    <row r="30" spans="3:23" ht="16.5">
      <c r="C30" s="1625" t="s">
        <v>1295</v>
      </c>
      <c r="D30" s="1450">
        <f ca="1">-LnkTXTISubvencaoPB</f>
        <v>0</v>
      </c>
      <c r="E30" s="1627">
        <f t="shared" ca="1" si="0"/>
        <v>0</v>
      </c>
      <c r="F30" s="1672" t="s">
        <v>2399</v>
      </c>
      <c r="G30" s="1673" t="s">
        <v>104</v>
      </c>
      <c r="H30" s="1674">
        <f>IFERROR(VLOOKUP(Financeiros[[#This Row],[Tipo]],RefTabTipo[],2,FALSE),0)</f>
        <v>22</v>
      </c>
      <c r="I30" s="1640">
        <f>IFERROR(VLOOKUP(Financeiros[[#This Row],[Tipo]],RefTabTipo[],3,FALSE),0)</f>
        <v>60</v>
      </c>
      <c r="J30" s="1609">
        <f>IFERROR(VLOOKUP(Financeiros[[#This Row],[Tipo]],RefTabTipo[],4,FALSE),0)</f>
        <v>242</v>
      </c>
      <c r="K30" s="1675">
        <f>IFERROR(VLOOKUP(Financeiros[[#This Row],[Grupo Tarifário]],RefTabGrupoTarifa[],2,FALSE),0)</f>
        <v>4</v>
      </c>
      <c r="L30" s="1674">
        <f>IFERROR(VLOOKUP(Financeiros[[#This Row],[Grupo Tarifário]],RefTabGrupoTarifa[],3,FALSE),0)</f>
        <v>999</v>
      </c>
      <c r="M30" s="1675">
        <f>IFERROR(VLOOKUP(Financeiros[[#This Row],[Grupo Tarifário]],RefTabGrupoTarifa[],4,FALSE),0)</f>
        <v>9</v>
      </c>
      <c r="T30" s="847" t="s">
        <v>2262</v>
      </c>
      <c r="U30" s="847">
        <v>2</v>
      </c>
      <c r="V30" s="847">
        <v>8</v>
      </c>
      <c r="W30" s="847">
        <v>9</v>
      </c>
    </row>
    <row r="31" spans="3:23" ht="16.5">
      <c r="C31" s="1624" t="s">
        <v>1296</v>
      </c>
      <c r="D31" s="1450">
        <f>IFERROR(-ABS(Indexador!$L$49),0)</f>
        <v>-2216127.4281564346</v>
      </c>
      <c r="E31" s="1627">
        <f t="shared" ca="1" si="0"/>
        <v>-1.7071055582532305E-2</v>
      </c>
      <c r="F31" s="1672" t="s">
        <v>2237</v>
      </c>
      <c r="G31" s="1673" t="s">
        <v>2258</v>
      </c>
      <c r="H31" s="1674">
        <f>IFERROR(VLOOKUP(Financeiros[[#This Row],[Tipo]],RefTabTipo[],2,FALSE),0)</f>
        <v>22</v>
      </c>
      <c r="I31" s="1640">
        <f>IFERROR(VLOOKUP(Financeiros[[#This Row],[Tipo]],RefTabTipo[],3,FALSE),0)</f>
        <v>60</v>
      </c>
      <c r="J31" s="1609">
        <f>IFERROR(VLOOKUP(Financeiros[[#This Row],[Tipo]],RefTabTipo[],4,FALSE),0)</f>
        <v>999</v>
      </c>
      <c r="K31" s="1675">
        <f>IFERROR(VLOOKUP(Financeiros[[#This Row],[Grupo Tarifário]],RefTabGrupoTarifa[],2,FALSE),0)</f>
        <v>2</v>
      </c>
      <c r="L31" s="1674">
        <f>IFERROR(VLOOKUP(Financeiros[[#This Row],[Grupo Tarifário]],RefTabGrupoTarifa[],3,FALSE),0)</f>
        <v>30</v>
      </c>
      <c r="M31" s="1675">
        <f>IFERROR(VLOOKUP(Financeiros[[#This Row],[Grupo Tarifário]],RefTabGrupoTarifa[],4,FALSE),0)</f>
        <v>9</v>
      </c>
      <c r="N31" s="92"/>
      <c r="T31" s="847" t="s">
        <v>2263</v>
      </c>
      <c r="U31" s="847">
        <v>3</v>
      </c>
      <c r="V31" s="847">
        <v>40</v>
      </c>
      <c r="W31" s="847">
        <v>9</v>
      </c>
    </row>
    <row r="32" spans="3:23" ht="16.5">
      <c r="C32" s="1624" t="s">
        <v>1297</v>
      </c>
      <c r="D32" s="1450"/>
      <c r="E32" s="1627">
        <f t="shared" ca="1" si="0"/>
        <v>0</v>
      </c>
      <c r="F32" s="1672" t="s">
        <v>2234</v>
      </c>
      <c r="G32" s="1673" t="s">
        <v>104</v>
      </c>
      <c r="H32" s="1674">
        <f>IFERROR(VLOOKUP(Financeiros[[#This Row],[Tipo]],RefTabTipo[],2,FALSE),0)</f>
        <v>22</v>
      </c>
      <c r="I32" s="1640">
        <f>IFERROR(VLOOKUP(Financeiros[[#This Row],[Tipo]],RefTabTipo[],3,FALSE),0)</f>
        <v>60</v>
      </c>
      <c r="J32" s="1609">
        <f>IFERROR(VLOOKUP(Financeiros[[#This Row],[Tipo]],RefTabTipo[],4,FALSE),0)</f>
        <v>120</v>
      </c>
      <c r="K32" s="1675">
        <f>IFERROR(VLOOKUP(Financeiros[[#This Row],[Grupo Tarifário]],RefTabGrupoTarifa[],2,FALSE),0)</f>
        <v>4</v>
      </c>
      <c r="L32" s="1674">
        <f>IFERROR(VLOOKUP(Financeiros[[#This Row],[Grupo Tarifário]],RefTabGrupoTarifa[],3,FALSE),0)</f>
        <v>999</v>
      </c>
      <c r="M32" s="1675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>
      <c r="C33" s="1625" t="s">
        <v>1298</v>
      </c>
      <c r="D33" s="1450">
        <f>'Tributos suprimento'!$E$18</f>
        <v>0</v>
      </c>
      <c r="E33" s="1627">
        <f t="shared" ca="1" si="0"/>
        <v>0</v>
      </c>
      <c r="F33" s="1672" t="s">
        <v>2237</v>
      </c>
      <c r="G33" s="1673" t="s">
        <v>2269</v>
      </c>
      <c r="H33" s="1674">
        <f>IFERROR(VLOOKUP(Financeiros[[#This Row],[Tipo]],RefTabTipo[],2,FALSE),0)</f>
        <v>22</v>
      </c>
      <c r="I33" s="1640">
        <f>IFERROR(VLOOKUP(Financeiros[[#This Row],[Tipo]],RefTabTipo[],3,FALSE),0)</f>
        <v>60</v>
      </c>
      <c r="J33" s="1609">
        <f>IFERROR(VLOOKUP(Financeiros[[#This Row],[Tipo]],RefTabTipo[],4,FALSE),0)</f>
        <v>999</v>
      </c>
      <c r="K33" s="1675">
        <f>IFERROR(VLOOKUP(Financeiros[[#This Row],[Grupo Tarifário]],RefTabGrupoTarifa[],2,FALSE),0)</f>
        <v>1</v>
      </c>
      <c r="L33" s="1674">
        <f>IFERROR(VLOOKUP(Financeiros[[#This Row],[Grupo Tarifário]],RefTabGrupoTarifa[],3,FALSE),0)</f>
        <v>7</v>
      </c>
      <c r="M33" s="1675">
        <f>IFERROR(VLOOKUP(Financeiros[[#This Row],[Grupo Tarifário]],RefTabGrupoTarifa[],4,FALSE),0)</f>
        <v>9</v>
      </c>
      <c r="N33" s="92"/>
      <c r="T33" s="847" t="s">
        <v>2264</v>
      </c>
      <c r="U33" s="847">
        <v>5</v>
      </c>
      <c r="V33" s="847">
        <v>999</v>
      </c>
      <c r="W33" s="847">
        <v>9</v>
      </c>
    </row>
    <row r="34" spans="3:23" ht="16.5">
      <c r="C34" s="1625" t="s">
        <v>1299</v>
      </c>
      <c r="D34" s="1450">
        <f>'Tributos suprimento'!$E$19</f>
        <v>0</v>
      </c>
      <c r="E34" s="1627">
        <f t="shared" ca="1" si="0"/>
        <v>0</v>
      </c>
      <c r="F34" s="1672" t="s">
        <v>2237</v>
      </c>
      <c r="G34" s="1673" t="s">
        <v>2258</v>
      </c>
      <c r="H34" s="1674">
        <f>IFERROR(VLOOKUP(Financeiros[[#This Row],[Tipo]],RefTabTipo[],2,FALSE),0)</f>
        <v>22</v>
      </c>
      <c r="I34" s="1640">
        <f>IFERROR(VLOOKUP(Financeiros[[#This Row],[Tipo]],RefTabTipo[],3,FALSE),0)</f>
        <v>60</v>
      </c>
      <c r="J34" s="1609">
        <f>IFERROR(VLOOKUP(Financeiros[[#This Row],[Tipo]],RefTabTipo[],4,FALSE),0)</f>
        <v>999</v>
      </c>
      <c r="K34" s="1675">
        <f>IFERROR(VLOOKUP(Financeiros[[#This Row],[Grupo Tarifário]],RefTabGrupoTarifa[],2,FALSE),0)</f>
        <v>2</v>
      </c>
      <c r="L34" s="1674">
        <f>IFERROR(VLOOKUP(Financeiros[[#This Row],[Grupo Tarifário]],RefTabGrupoTarifa[],3,FALSE),0)</f>
        <v>30</v>
      </c>
      <c r="M34" s="1675">
        <f>IFERROR(VLOOKUP(Financeiros[[#This Row],[Grupo Tarifário]],RefTabGrupoTarifa[],4,FALSE),0)</f>
        <v>9</v>
      </c>
      <c r="T34" s="847" t="s">
        <v>2265</v>
      </c>
      <c r="U34" s="847">
        <v>1</v>
      </c>
      <c r="V34" s="847">
        <v>1</v>
      </c>
      <c r="W34" s="847">
        <v>9</v>
      </c>
    </row>
    <row r="35" spans="3:23" ht="16.5">
      <c r="C35" s="1625" t="s">
        <v>1300</v>
      </c>
      <c r="D35" s="1450"/>
      <c r="E35" s="1627">
        <f t="shared" ca="1" si="0"/>
        <v>0</v>
      </c>
      <c r="F35" s="1672" t="s">
        <v>2237</v>
      </c>
      <c r="G35" s="1673" t="s">
        <v>2253</v>
      </c>
      <c r="H35" s="1674">
        <f>IFERROR(VLOOKUP(Financeiros[[#This Row],[Tipo]],RefTabTipo[],2,FALSE),0)</f>
        <v>22</v>
      </c>
      <c r="I35" s="1640">
        <f>IFERROR(VLOOKUP(Financeiros[[#This Row],[Tipo]],RefTabTipo[],3,FALSE),0)</f>
        <v>60</v>
      </c>
      <c r="J35" s="1609">
        <f>IFERROR(VLOOKUP(Financeiros[[#This Row],[Tipo]],RefTabTipo[],4,FALSE),0)</f>
        <v>999</v>
      </c>
      <c r="K35" s="1675">
        <f>IFERROR(VLOOKUP(Financeiros[[#This Row],[Grupo Tarifário]],RefTabGrupoTarifa[],2,FALSE),0)</f>
        <v>3</v>
      </c>
      <c r="L35" s="1674">
        <f>IFERROR(VLOOKUP(Financeiros[[#This Row],[Grupo Tarifário]],RefTabGrupoTarifa[],3,FALSE),0)</f>
        <v>19</v>
      </c>
      <c r="M35" s="1675">
        <f>IFERROR(VLOOKUP(Financeiros[[#This Row],[Grupo Tarifário]],RefTabGrupoTarifa[],4,FALSE),0)</f>
        <v>9</v>
      </c>
      <c r="T35" s="847" t="s">
        <v>2266</v>
      </c>
      <c r="U35" s="847">
        <v>1</v>
      </c>
      <c r="V35" s="847">
        <v>22</v>
      </c>
      <c r="W35" s="847">
        <v>9</v>
      </c>
    </row>
    <row r="36" spans="3:23" ht="16.5">
      <c r="C36" s="1625" t="s">
        <v>1301</v>
      </c>
      <c r="D36" s="1450"/>
      <c r="E36" s="1627">
        <f t="shared" ca="1" si="0"/>
        <v>0</v>
      </c>
      <c r="F36" s="1672" t="s">
        <v>2237</v>
      </c>
      <c r="G36" s="1673" t="s">
        <v>104</v>
      </c>
      <c r="H36" s="1674">
        <f>IFERROR(VLOOKUP(Financeiros[[#This Row],[Tipo]],RefTabTipo[],2,FALSE),0)</f>
        <v>22</v>
      </c>
      <c r="I36" s="1640">
        <f>IFERROR(VLOOKUP(Financeiros[[#This Row],[Tipo]],RefTabTipo[],3,FALSE),0)</f>
        <v>60</v>
      </c>
      <c r="J36" s="1609">
        <f>IFERROR(VLOOKUP(Financeiros[[#This Row],[Tipo]],RefTabTipo[],4,FALSE),0)</f>
        <v>999</v>
      </c>
      <c r="K36" s="1675">
        <f>IFERROR(VLOOKUP(Financeiros[[#This Row],[Grupo Tarifário]],RefTabGrupoTarifa[],2,FALSE),0)</f>
        <v>4</v>
      </c>
      <c r="L36" s="1674">
        <f>IFERROR(VLOOKUP(Financeiros[[#This Row],[Grupo Tarifário]],RefTabGrupoTarifa[],3,FALSE),0)</f>
        <v>999</v>
      </c>
      <c r="M36" s="1675">
        <f>IFERROR(VLOOKUP(Financeiros[[#This Row],[Grupo Tarifário]],RefTabGrupoTarifa[],4,FALSE),0)</f>
        <v>9</v>
      </c>
      <c r="T36" s="847" t="s">
        <v>2267</v>
      </c>
      <c r="U36" s="847">
        <v>1</v>
      </c>
      <c r="V36" s="847">
        <v>4</v>
      </c>
      <c r="W36" s="847">
        <v>9</v>
      </c>
    </row>
    <row r="37" spans="3:23" ht="16.5">
      <c r="C37" s="1625" t="s">
        <v>2388</v>
      </c>
      <c r="D37" s="1450"/>
      <c r="E37" s="1627">
        <f t="shared" ca="1" si="0"/>
        <v>0</v>
      </c>
      <c r="F37" s="1672" t="s">
        <v>2237</v>
      </c>
      <c r="G37" s="1673" t="s">
        <v>104</v>
      </c>
      <c r="H37" s="1674">
        <f>IFERROR(VLOOKUP(Financeiros[[#This Row],[Tipo]],RefTabTipo[],2,FALSE),0)</f>
        <v>22</v>
      </c>
      <c r="I37" s="1640">
        <f>IFERROR(VLOOKUP(Financeiros[[#This Row],[Tipo]],RefTabTipo[],3,FALSE),0)</f>
        <v>60</v>
      </c>
      <c r="J37" s="1609">
        <f>IFERROR(VLOOKUP(Financeiros[[#This Row],[Tipo]],RefTabTipo[],4,FALSE),0)</f>
        <v>999</v>
      </c>
      <c r="K37" s="1675">
        <f>IFERROR(VLOOKUP(Financeiros[[#This Row],[Grupo Tarifário]],RefTabGrupoTarifa[],2,FALSE),0)</f>
        <v>4</v>
      </c>
      <c r="L37" s="1674">
        <f>IFERROR(VLOOKUP(Financeiros[[#This Row],[Grupo Tarifário]],RefTabGrupoTarifa[],3,FALSE),0)</f>
        <v>999</v>
      </c>
      <c r="M37" s="1675">
        <f>IFERROR(VLOOKUP(Financeiros[[#This Row],[Grupo Tarifário]],RefTabGrupoTarifa[],4,FALSE),0)</f>
        <v>9</v>
      </c>
      <c r="T37" s="847" t="s">
        <v>2268</v>
      </c>
      <c r="U37" s="847">
        <v>1</v>
      </c>
      <c r="V37" s="847">
        <v>3</v>
      </c>
      <c r="W37" s="847">
        <v>9</v>
      </c>
    </row>
    <row r="38" spans="3:23" ht="16.5">
      <c r="C38" s="1625" t="s">
        <v>1302</v>
      </c>
      <c r="D38" s="1450"/>
      <c r="E38" s="1627">
        <f t="shared" ca="1" si="0"/>
        <v>0</v>
      </c>
      <c r="F38" s="1672" t="s">
        <v>2237</v>
      </c>
      <c r="G38" s="1673" t="s">
        <v>2258</v>
      </c>
      <c r="H38" s="1674">
        <f>IFERROR(VLOOKUP(Financeiros[[#This Row],[Tipo]],RefTabTipo[],2,FALSE),0)</f>
        <v>22</v>
      </c>
      <c r="I38" s="1640">
        <f>IFERROR(VLOOKUP(Financeiros[[#This Row],[Tipo]],RefTabTipo[],3,FALSE),0)</f>
        <v>60</v>
      </c>
      <c r="J38" s="1609">
        <f>IFERROR(VLOOKUP(Financeiros[[#This Row],[Tipo]],RefTabTipo[],4,FALSE),0)</f>
        <v>999</v>
      </c>
      <c r="K38" s="1675">
        <f>IFERROR(VLOOKUP(Financeiros[[#This Row],[Grupo Tarifário]],RefTabGrupoTarifa[],2,FALSE),0)</f>
        <v>2</v>
      </c>
      <c r="L38" s="1674">
        <f>IFERROR(VLOOKUP(Financeiros[[#This Row],[Grupo Tarifário]],RefTabGrupoTarifa[],3,FALSE),0)</f>
        <v>30</v>
      </c>
      <c r="M38" s="1675">
        <f>IFERROR(VLOOKUP(Financeiros[[#This Row],[Grupo Tarifário]],RefTabGrupoTarifa[],4,FALSE),0)</f>
        <v>9</v>
      </c>
      <c r="T38" s="847" t="s">
        <v>2269</v>
      </c>
      <c r="U38" s="847">
        <v>1</v>
      </c>
      <c r="V38" s="847">
        <v>7</v>
      </c>
      <c r="W38" s="847">
        <v>9</v>
      </c>
    </row>
    <row r="39" spans="3:23" ht="16.5">
      <c r="C39" s="1625" t="s">
        <v>1303</v>
      </c>
      <c r="D39" s="1450">
        <f>-ABS(PIS_COFINS!$R$4)</f>
        <v>0</v>
      </c>
      <c r="E39" s="1627">
        <f t="shared" ca="1" si="0"/>
        <v>0</v>
      </c>
      <c r="F39" s="1672" t="s">
        <v>2236</v>
      </c>
      <c r="G39" s="1673" t="s">
        <v>2243</v>
      </c>
      <c r="H39" s="1674">
        <f>IFERROR(VLOOKUP(Financeiros[[#This Row],[Tipo]],RefTabTipo[],2,FALSE),0)</f>
        <v>22</v>
      </c>
      <c r="I39" s="1640">
        <f>IFERROR(VLOOKUP(Financeiros[[#This Row],[Tipo]],RefTabTipo[],3,FALSE),0)</f>
        <v>60</v>
      </c>
      <c r="J39" s="1609">
        <f>IFERROR(VLOOKUP(Financeiros[[#This Row],[Tipo]],RefTabTipo[],4,FALSE),0)</f>
        <v>179</v>
      </c>
      <c r="K39" s="1675">
        <f>IFERROR(VLOOKUP(Financeiros[[#This Row],[Grupo Tarifário]],RefTabGrupoTarifa[],2,FALSE),0)</f>
        <v>99</v>
      </c>
      <c r="L39" s="1674">
        <f>IFERROR(VLOOKUP(Financeiros[[#This Row],[Grupo Tarifário]],RefTabGrupoTarifa[],3,FALSE),0)</f>
        <v>999</v>
      </c>
      <c r="M39" s="1675">
        <f>IFERROR(VLOOKUP(Financeiros[[#This Row],[Grupo Tarifário]],RefTabGrupoTarifa[],4,FALSE),0)</f>
        <v>3</v>
      </c>
      <c r="T39" s="847" t="s">
        <v>2270</v>
      </c>
      <c r="U39" s="847">
        <v>1</v>
      </c>
      <c r="V39" s="847">
        <v>23</v>
      </c>
      <c r="W39" s="847">
        <v>9</v>
      </c>
    </row>
    <row r="40" spans="3:23" ht="16.5">
      <c r="C40" s="1625" t="s">
        <v>1304</v>
      </c>
      <c r="D40" s="1450"/>
      <c r="E40" s="1627">
        <f t="shared" ca="1" si="0"/>
        <v>0</v>
      </c>
      <c r="F40" s="1672" t="s">
        <v>2237</v>
      </c>
      <c r="G40" s="1673" t="s">
        <v>2269</v>
      </c>
      <c r="H40" s="1674">
        <f>IFERROR(VLOOKUP(Financeiros[[#This Row],[Tipo]],RefTabTipo[],2,FALSE),0)</f>
        <v>22</v>
      </c>
      <c r="I40" s="1640">
        <f>IFERROR(VLOOKUP(Financeiros[[#This Row],[Tipo]],RefTabTipo[],3,FALSE),0)</f>
        <v>60</v>
      </c>
      <c r="J40" s="1609">
        <f>IFERROR(VLOOKUP(Financeiros[[#This Row],[Tipo]],RefTabTipo[],4,FALSE),0)</f>
        <v>999</v>
      </c>
      <c r="K40" s="1675">
        <f>IFERROR(VLOOKUP(Financeiros[[#This Row],[Grupo Tarifário]],RefTabGrupoTarifa[],2,FALSE),0)</f>
        <v>1</v>
      </c>
      <c r="L40" s="1674">
        <f>IFERROR(VLOOKUP(Financeiros[[#This Row],[Grupo Tarifário]],RefTabGrupoTarifa[],3,FALSE),0)</f>
        <v>7</v>
      </c>
      <c r="M40" s="1675">
        <f>IFERROR(VLOOKUP(Financeiros[[#This Row],[Grupo Tarifário]],RefTabGrupoTarifa[],4,FALSE),0)</f>
        <v>9</v>
      </c>
      <c r="T40" s="847" t="s">
        <v>2271</v>
      </c>
      <c r="U40" s="847">
        <v>1</v>
      </c>
      <c r="V40" s="847">
        <v>2</v>
      </c>
      <c r="W40" s="847">
        <v>9</v>
      </c>
    </row>
    <row r="41" spans="3:23" ht="16.5">
      <c r="C41" s="1625" t="s">
        <v>1305</v>
      </c>
      <c r="D41" s="1450"/>
      <c r="E41" s="1627">
        <f t="shared" ca="1" si="0"/>
        <v>0</v>
      </c>
      <c r="F41" s="1672" t="s">
        <v>2237</v>
      </c>
      <c r="G41" s="1673" t="s">
        <v>2258</v>
      </c>
      <c r="H41" s="1674">
        <f>IFERROR(VLOOKUP(Financeiros[[#This Row],[Tipo]],RefTabTipo[],2,FALSE),0)</f>
        <v>22</v>
      </c>
      <c r="I41" s="1640">
        <f>IFERROR(VLOOKUP(Financeiros[[#This Row],[Tipo]],RefTabTipo[],3,FALSE),0)</f>
        <v>60</v>
      </c>
      <c r="J41" s="1609">
        <f>IFERROR(VLOOKUP(Financeiros[[#This Row],[Tipo]],RefTabTipo[],4,FALSE),0)</f>
        <v>999</v>
      </c>
      <c r="K41" s="1675">
        <f>IFERROR(VLOOKUP(Financeiros[[#This Row],[Grupo Tarifário]],RefTabGrupoTarifa[],2,FALSE),0)</f>
        <v>2</v>
      </c>
      <c r="L41" s="1674">
        <f>IFERROR(VLOOKUP(Financeiros[[#This Row],[Grupo Tarifário]],RefTabGrupoTarifa[],3,FALSE),0)</f>
        <v>30</v>
      </c>
      <c r="M41" s="1675">
        <f>IFERROR(VLOOKUP(Financeiros[[#This Row],[Grupo Tarifário]],RefTabGrupoTarifa[],4,FALSE),0)</f>
        <v>9</v>
      </c>
      <c r="T41" s="847" t="s">
        <v>2272</v>
      </c>
      <c r="U41" s="847">
        <v>1</v>
      </c>
      <c r="V41" s="847">
        <v>1</v>
      </c>
      <c r="W41" s="847">
        <v>9</v>
      </c>
    </row>
    <row r="42" spans="3:23" ht="16.5">
      <c r="C42" s="1625" t="s">
        <v>1306</v>
      </c>
      <c r="D42" s="1450">
        <f>'Financeiros Mitigação'!$D$12</f>
        <v>-301.06</v>
      </c>
      <c r="E42" s="1627">
        <f t="shared" ca="1" si="0"/>
        <v>-2.3190958824748539E-6</v>
      </c>
      <c r="F42" s="1672" t="s">
        <v>2237</v>
      </c>
      <c r="G42" s="1673" t="s">
        <v>104</v>
      </c>
      <c r="H42" s="1674">
        <f>IFERROR(VLOOKUP(Financeiros[[#This Row],[Tipo]],RefTabTipo[],2,FALSE),0)</f>
        <v>22</v>
      </c>
      <c r="I42" s="1640">
        <f>IFERROR(VLOOKUP(Financeiros[[#This Row],[Tipo]],RefTabTipo[],3,FALSE),0)</f>
        <v>60</v>
      </c>
      <c r="J42" s="1609">
        <f>IFERROR(VLOOKUP(Financeiros[[#This Row],[Tipo]],RefTabTipo[],4,FALSE),0)</f>
        <v>999</v>
      </c>
      <c r="K42" s="1675">
        <f>IFERROR(VLOOKUP(Financeiros[[#This Row],[Grupo Tarifário]],RefTabGrupoTarifa[],2,FALSE),0)</f>
        <v>4</v>
      </c>
      <c r="L42" s="1674">
        <f>IFERROR(VLOOKUP(Financeiros[[#This Row],[Grupo Tarifário]],RefTabGrupoTarifa[],3,FALSE),0)</f>
        <v>999</v>
      </c>
      <c r="M42" s="1675">
        <f>IFERROR(VLOOKUP(Financeiros[[#This Row],[Grupo Tarifário]],RefTabGrupoTarifa[],4,FALSE),0)</f>
        <v>9</v>
      </c>
      <c r="T42" s="847" t="s">
        <v>2273</v>
      </c>
      <c r="U42" s="847">
        <v>1</v>
      </c>
      <c r="V42" s="847">
        <v>21</v>
      </c>
      <c r="W42" s="847">
        <v>9</v>
      </c>
    </row>
    <row r="43" spans="3:23" ht="16.5">
      <c r="C43" s="1625" t="s">
        <v>2277</v>
      </c>
      <c r="D43" s="1450">
        <v>-1747417.7713697162</v>
      </c>
      <c r="E43" s="1676">
        <f t="shared" ca="1" si="0"/>
        <v>-1.3460537296707948E-2</v>
      </c>
      <c r="F43" s="1672" t="s">
        <v>2230</v>
      </c>
      <c r="G43" s="1673" t="s">
        <v>104</v>
      </c>
      <c r="H43" s="1677">
        <f>IFERROR(VLOOKUP(Financeiros[[#This Row],[Tipo]],RefTabTipo[],2,FALSE),0)</f>
        <v>22</v>
      </c>
      <c r="I43" s="1640">
        <f>IFERROR(VLOOKUP(Financeiros[[#This Row],[Tipo]],RefTabTipo[],3,FALSE),0)</f>
        <v>60</v>
      </c>
      <c r="J43" s="1609">
        <f>IFERROR(VLOOKUP(Financeiros[[#This Row],[Tipo]],RefTabTipo[],4,FALSE),0)</f>
        <v>235</v>
      </c>
      <c r="K43" s="1678">
        <f>IFERROR(VLOOKUP(Financeiros[[#This Row],[Grupo Tarifário]],RefTabGrupoTarifa[],2,FALSE),0)</f>
        <v>4</v>
      </c>
      <c r="L43" s="1677">
        <f>IFERROR(VLOOKUP(Financeiros[[#This Row],[Grupo Tarifário]],RefTabGrupoTarifa[],3,FALSE),0)</f>
        <v>999</v>
      </c>
      <c r="M43" s="1678">
        <f>IFERROR(VLOOKUP(Financeiros[[#This Row],[Grupo Tarifário]],RefTabGrupoTarifa[],4,FALSE),0)</f>
        <v>9</v>
      </c>
      <c r="T43" s="847" t="s">
        <v>2274</v>
      </c>
      <c r="U43" s="847">
        <v>1</v>
      </c>
      <c r="V43" s="847">
        <v>5</v>
      </c>
      <c r="W43" s="847">
        <v>9</v>
      </c>
    </row>
    <row r="44" spans="3:23" ht="16.5">
      <c r="C44" s="1625" t="s">
        <v>2389</v>
      </c>
      <c r="D44" s="1450"/>
      <c r="E44" s="1676">
        <f t="shared" ca="1" si="0"/>
        <v>0</v>
      </c>
      <c r="F44" s="1672"/>
      <c r="G44" s="1673"/>
      <c r="H44" s="1677">
        <f>IFERROR(VLOOKUP(Financeiros[[#This Row],[Tipo]],RefTabTipo[],2,FALSE),0)</f>
        <v>0</v>
      </c>
      <c r="I44" s="1640">
        <f>IFERROR(VLOOKUP(Financeiros[[#This Row],[Tipo]],RefTabTipo[],3,FALSE),0)</f>
        <v>0</v>
      </c>
      <c r="J44" s="1609">
        <f>IFERROR(VLOOKUP(Financeiros[[#This Row],[Tipo]],RefTabTipo[],4,FALSE),0)</f>
        <v>0</v>
      </c>
      <c r="K44" s="1678">
        <f>IFERROR(VLOOKUP(Financeiros[[#This Row],[Grupo Tarifário]],RefTabGrupoTarifa[],2,FALSE),0)</f>
        <v>0</v>
      </c>
      <c r="L44" s="1677">
        <f>IFERROR(VLOOKUP(Financeiros[[#This Row],[Grupo Tarifário]],RefTabGrupoTarifa[],3,FALSE),0)</f>
        <v>0</v>
      </c>
      <c r="M44" s="1678">
        <f>IFERROR(VLOOKUP(Financeiros[[#This Row],[Grupo Tarifário]],RefTabGrupoTarifa[],4,FALSE),0)</f>
        <v>0</v>
      </c>
      <c r="T44" s="847" t="s">
        <v>2275</v>
      </c>
      <c r="U44" s="847">
        <v>1</v>
      </c>
      <c r="V44" s="847">
        <v>6</v>
      </c>
      <c r="W44" s="847">
        <v>9</v>
      </c>
    </row>
    <row r="45" spans="3:23" ht="16.5">
      <c r="C45" s="1762" t="s">
        <v>2392</v>
      </c>
      <c r="D45" s="1763"/>
      <c r="E45" s="1764">
        <f t="shared" ca="1" si="0"/>
        <v>0</v>
      </c>
      <c r="F45" s="1765"/>
      <c r="G45" s="1766"/>
      <c r="H45" s="1767">
        <f>IFERROR(VLOOKUP(Financeiros[[#This Row],[Tipo]],RefTabTipo[],2,FALSE),0)</f>
        <v>0</v>
      </c>
      <c r="I45" s="1768">
        <f>IFERROR(VLOOKUP(Financeiros[[#This Row],[Tipo]],RefTabTipo[],3,FALSE),0)</f>
        <v>0</v>
      </c>
      <c r="J45" s="1769">
        <f>IFERROR(VLOOKUP(Financeiros[[#This Row],[Tipo]],RefTabTipo[],4,FALSE),0)</f>
        <v>0</v>
      </c>
      <c r="K45" s="1770">
        <f>IFERROR(VLOOKUP(Financeiros[[#This Row],[Grupo Tarifário]],RefTabGrupoTarifa[],2,FALSE),0)</f>
        <v>0</v>
      </c>
      <c r="L45" s="1767">
        <f>IFERROR(VLOOKUP(Financeiros[[#This Row],[Grupo Tarifário]],RefTabGrupoTarifa[],3,FALSE),0)</f>
        <v>0</v>
      </c>
      <c r="M45" s="1770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>
      <c r="C46" s="1762" t="s">
        <v>2393</v>
      </c>
      <c r="D46" s="1763"/>
      <c r="E46" s="1771">
        <f t="shared" ca="1" si="0"/>
        <v>0</v>
      </c>
      <c r="F46" s="1765" t="s">
        <v>2237</v>
      </c>
      <c r="G46" s="1766" t="s">
        <v>104</v>
      </c>
      <c r="H46" s="1772">
        <f>IFERROR(VLOOKUP(Financeiros[[#This Row],[Tipo]],RefTabTipo[],2,FALSE),0)</f>
        <v>22</v>
      </c>
      <c r="I46" s="1768">
        <f>IFERROR(VLOOKUP(Financeiros[[#This Row],[Tipo]],RefTabTipo[],3,FALSE),0)</f>
        <v>60</v>
      </c>
      <c r="J46" s="1769">
        <f>IFERROR(VLOOKUP(Financeiros[[#This Row],[Tipo]],RefTabTipo[],4,FALSE),0)</f>
        <v>999</v>
      </c>
      <c r="K46" s="1773">
        <f>IFERROR(VLOOKUP(Financeiros[[#This Row],[Grupo Tarifário]],RefTabGrupoTarifa[],2,FALSE),0)</f>
        <v>4</v>
      </c>
      <c r="L46" s="1772">
        <f>IFERROR(VLOOKUP(Financeiros[[#This Row],[Grupo Tarifário]],RefTabGrupoTarifa[],3,FALSE),0)</f>
        <v>999</v>
      </c>
      <c r="M46" s="1773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>
      <c r="C47" s="1762" t="s">
        <v>2394</v>
      </c>
      <c r="D47" s="1763"/>
      <c r="E47" s="1771">
        <f t="shared" ca="1" si="0"/>
        <v>0</v>
      </c>
      <c r="F47" s="1765" t="s">
        <v>2237</v>
      </c>
      <c r="G47" s="1766" t="s">
        <v>2269</v>
      </c>
      <c r="H47" s="1772">
        <f>IFERROR(VLOOKUP(Financeiros[[#This Row],[Tipo]],RefTabTipo[],2,FALSE),0)</f>
        <v>22</v>
      </c>
      <c r="I47" s="1768">
        <f>IFERROR(VLOOKUP(Financeiros[[#This Row],[Tipo]],RefTabTipo[],3,FALSE),0)</f>
        <v>60</v>
      </c>
      <c r="J47" s="1769">
        <f>IFERROR(VLOOKUP(Financeiros[[#This Row],[Tipo]],RefTabTipo[],4,FALSE),0)</f>
        <v>999</v>
      </c>
      <c r="K47" s="1773">
        <f>IFERROR(VLOOKUP(Financeiros[[#This Row],[Grupo Tarifário]],RefTabGrupoTarifa[],2,FALSE),0)</f>
        <v>1</v>
      </c>
      <c r="L47" s="1772">
        <f>IFERROR(VLOOKUP(Financeiros[[#This Row],[Grupo Tarifário]],RefTabGrupoTarifa[],3,FALSE),0)</f>
        <v>7</v>
      </c>
      <c r="M47" s="1773">
        <f>IFERROR(VLOOKUP(Financeiros[[#This Row],[Grupo Tarifário]],RefTabGrupoTarifa[],4,FALSE),0)</f>
        <v>9</v>
      </c>
    </row>
    <row r="48" spans="3:23" ht="16.5">
      <c r="C48" s="1762" t="s">
        <v>2395</v>
      </c>
      <c r="D48" s="1763"/>
      <c r="E48" s="1771">
        <f t="shared" ca="1" si="0"/>
        <v>0</v>
      </c>
      <c r="F48" s="1765" t="s">
        <v>2237</v>
      </c>
      <c r="G48" s="1766" t="s">
        <v>2258</v>
      </c>
      <c r="H48" s="1772">
        <f>IFERROR(VLOOKUP(Financeiros[[#This Row],[Tipo]],RefTabTipo[],2,FALSE),0)</f>
        <v>22</v>
      </c>
      <c r="I48" s="1768">
        <f>IFERROR(VLOOKUP(Financeiros[[#This Row],[Tipo]],RefTabTipo[],3,FALSE),0)</f>
        <v>60</v>
      </c>
      <c r="J48" s="1769">
        <f>IFERROR(VLOOKUP(Financeiros[[#This Row],[Tipo]],RefTabTipo[],4,FALSE),0)</f>
        <v>999</v>
      </c>
      <c r="K48" s="1773">
        <f>IFERROR(VLOOKUP(Financeiros[[#This Row],[Grupo Tarifário]],RefTabGrupoTarifa[],2,FALSE),0)</f>
        <v>2</v>
      </c>
      <c r="L48" s="1772">
        <f>IFERROR(VLOOKUP(Financeiros[[#This Row],[Grupo Tarifário]],RefTabGrupoTarifa[],3,FALSE),0)</f>
        <v>30</v>
      </c>
      <c r="M48" s="1773">
        <f>IFERROR(VLOOKUP(Financeiros[[#This Row],[Grupo Tarifário]],RefTabGrupoTarifa[],4,FALSE),0)</f>
        <v>9</v>
      </c>
    </row>
    <row r="49" spans="3:13" ht="16.5">
      <c r="C49" s="1668" t="s">
        <v>2103</v>
      </c>
      <c r="D49" s="1653">
        <f>CVE!$D$9</f>
        <v>0</v>
      </c>
      <c r="E49" s="1628">
        <f t="shared" ca="1" si="0"/>
        <v>0</v>
      </c>
      <c r="F49" s="1616" t="s">
        <v>2233</v>
      </c>
      <c r="G49" s="1635" t="s">
        <v>2245</v>
      </c>
      <c r="H49" s="1617">
        <f>IFERROR(VLOOKUP(Financeiros[[#This Row],[Tipo]],RefTabTipo[],2,FALSE),0)</f>
        <v>22</v>
      </c>
      <c r="I49" s="1641">
        <f>IFERROR(VLOOKUP(Financeiros[[#This Row],[Tipo]],RefTabTipo[],3,FALSE),0)</f>
        <v>60</v>
      </c>
      <c r="J49" s="1618">
        <f>IFERROR(VLOOKUP(Financeiros[[#This Row],[Tipo]],RefTabTipo[],4,FALSE),0)</f>
        <v>241</v>
      </c>
      <c r="K49" s="1647">
        <f>IFERROR(VLOOKUP(Financeiros[[#This Row],[Grupo Tarifário]],RefTabGrupoTarifa[],2,FALSE),0)</f>
        <v>3</v>
      </c>
      <c r="L49" s="1617">
        <f>IFERROR(VLOOKUP(Financeiros[[#This Row],[Grupo Tarifário]],RefTabGrupoTarifa[],3,FALSE),0)</f>
        <v>13</v>
      </c>
      <c r="M49" s="1647">
        <f>IFERROR(VLOOKUP(Financeiros[[#This Row],[Grupo Tarifário]],RefTabGrupoTarifa[],4,FALSE),0)</f>
        <v>9</v>
      </c>
    </row>
    <row r="50" spans="3:13" ht="16.5">
      <c r="C50" s="1668" t="s">
        <v>2104</v>
      </c>
      <c r="D50" s="1653">
        <f>CVE!$D$10</f>
        <v>0</v>
      </c>
      <c r="E50" s="1628">
        <f t="shared" ca="1" si="0"/>
        <v>0</v>
      </c>
      <c r="F50" s="1616" t="s">
        <v>2233</v>
      </c>
      <c r="G50" s="1635" t="s">
        <v>2247</v>
      </c>
      <c r="H50" s="1617">
        <f>IFERROR(VLOOKUP(Financeiros[[#This Row],[Tipo]],RefTabTipo[],2,FALSE),0)</f>
        <v>22</v>
      </c>
      <c r="I50" s="1641">
        <f>IFERROR(VLOOKUP(Financeiros[[#This Row],[Tipo]],RefTabTipo[],3,FALSE),0)</f>
        <v>60</v>
      </c>
      <c r="J50" s="1618">
        <f>IFERROR(VLOOKUP(Financeiros[[#This Row],[Tipo]],RefTabTipo[],4,FALSE),0)</f>
        <v>241</v>
      </c>
      <c r="K50" s="1647">
        <f>IFERROR(VLOOKUP(Financeiros[[#This Row],[Grupo Tarifário]],RefTabGrupoTarifa[],2,FALSE),0)</f>
        <v>3</v>
      </c>
      <c r="L50" s="1617">
        <f>IFERROR(VLOOKUP(Financeiros[[#This Row],[Grupo Tarifário]],RefTabGrupoTarifa[],3,FALSE),0)</f>
        <v>15</v>
      </c>
      <c r="M50" s="1647">
        <f>IFERROR(VLOOKUP(Financeiros[[#This Row],[Grupo Tarifário]],RefTabGrupoTarifa[],4,FALSE),0)</f>
        <v>9</v>
      </c>
    </row>
    <row r="51" spans="3:13" ht="16.5">
      <c r="C51" s="1668" t="s">
        <v>2105</v>
      </c>
      <c r="D51" s="1653">
        <f>CVE!$D$11</f>
        <v>0</v>
      </c>
      <c r="E51" s="1628">
        <f t="shared" ca="1" si="0"/>
        <v>0</v>
      </c>
      <c r="F51" s="1616" t="s">
        <v>2233</v>
      </c>
      <c r="G51" s="1635" t="s">
        <v>2246</v>
      </c>
      <c r="H51" s="1617">
        <f>IFERROR(VLOOKUP(Financeiros[[#This Row],[Tipo]],RefTabTipo[],2,FALSE),0)</f>
        <v>22</v>
      </c>
      <c r="I51" s="1641">
        <f>IFERROR(VLOOKUP(Financeiros[[#This Row],[Tipo]],RefTabTipo[],3,FALSE),0)</f>
        <v>60</v>
      </c>
      <c r="J51" s="1618">
        <f>IFERROR(VLOOKUP(Financeiros[[#This Row],[Tipo]],RefTabTipo[],4,FALSE),0)</f>
        <v>241</v>
      </c>
      <c r="K51" s="1647">
        <f>IFERROR(VLOOKUP(Financeiros[[#This Row],[Grupo Tarifário]],RefTabGrupoTarifa[],2,FALSE),0)</f>
        <v>3</v>
      </c>
      <c r="L51" s="1617">
        <f>IFERROR(VLOOKUP(Financeiros[[#This Row],[Grupo Tarifário]],RefTabGrupoTarifa[],3,FALSE),0)</f>
        <v>25</v>
      </c>
      <c r="M51" s="1647">
        <f>IFERROR(VLOOKUP(Financeiros[[#This Row],[Grupo Tarifário]],RefTabGrupoTarifa[],4,FALSE),0)</f>
        <v>9</v>
      </c>
    </row>
    <row r="52" spans="3:13" ht="16.5">
      <c r="C52" s="1668" t="s">
        <v>2106</v>
      </c>
      <c r="D52" s="1653">
        <f>IFERROR(CVE!$D$12*Resultado!D25/SUM(Resultado!$D$25:$D$29),0)</f>
        <v>0</v>
      </c>
      <c r="E52" s="1628">
        <f t="shared" ca="1" si="0"/>
        <v>0</v>
      </c>
      <c r="F52" s="1616" t="s">
        <v>2233</v>
      </c>
      <c r="G52" s="1635" t="s">
        <v>2265</v>
      </c>
      <c r="H52" s="1617">
        <f>IFERROR(VLOOKUP(Financeiros[[#This Row],[Tipo]],RefTabTipo[],2,FALSE),0)</f>
        <v>22</v>
      </c>
      <c r="I52" s="1641">
        <f>IFERROR(VLOOKUP(Financeiros[[#This Row],[Tipo]],RefTabTipo[],3,FALSE),0)</f>
        <v>60</v>
      </c>
      <c r="J52" s="1618">
        <f>IFERROR(VLOOKUP(Financeiros[[#This Row],[Tipo]],RefTabTipo[],4,FALSE),0)</f>
        <v>241</v>
      </c>
      <c r="K52" s="1647">
        <f>IFERROR(VLOOKUP(Financeiros[[#This Row],[Grupo Tarifário]],RefTabGrupoTarifa[],2,FALSE),0)</f>
        <v>1</v>
      </c>
      <c r="L52" s="1617">
        <f>IFERROR(VLOOKUP(Financeiros[[#This Row],[Grupo Tarifário]],RefTabGrupoTarifa[],3,FALSE),0)</f>
        <v>1</v>
      </c>
      <c r="M52" s="1647">
        <f>IFERROR(VLOOKUP(Financeiros[[#This Row],[Grupo Tarifário]],RefTabGrupoTarifa[],4,FALSE),0)</f>
        <v>9</v>
      </c>
    </row>
    <row r="53" spans="3:13" ht="16.5">
      <c r="C53" s="1668" t="s">
        <v>2107</v>
      </c>
      <c r="D53" s="1653">
        <f>IFERROR(CVE!$D$12*Resultado!D26/SUM(Resultado!$D$25:$D$29),0)</f>
        <v>0</v>
      </c>
      <c r="E53" s="1628">
        <f t="shared" ca="1" si="0"/>
        <v>0</v>
      </c>
      <c r="F53" s="1616" t="s">
        <v>2233</v>
      </c>
      <c r="G53" s="1635" t="s">
        <v>2265</v>
      </c>
      <c r="H53" s="1617">
        <f>IFERROR(VLOOKUP(Financeiros[[#This Row],[Tipo]],RefTabTipo[],2,FALSE),0)</f>
        <v>22</v>
      </c>
      <c r="I53" s="1641">
        <f>IFERROR(VLOOKUP(Financeiros[[#This Row],[Tipo]],RefTabTipo[],3,FALSE),0)</f>
        <v>60</v>
      </c>
      <c r="J53" s="1618">
        <f>IFERROR(VLOOKUP(Financeiros[[#This Row],[Tipo]],RefTabTipo[],4,FALSE),0)</f>
        <v>241</v>
      </c>
      <c r="K53" s="1647">
        <f>IFERROR(VLOOKUP(Financeiros[[#This Row],[Grupo Tarifário]],RefTabGrupoTarifa[],2,FALSE),0)</f>
        <v>1</v>
      </c>
      <c r="L53" s="1617">
        <f>IFERROR(VLOOKUP(Financeiros[[#This Row],[Grupo Tarifário]],RefTabGrupoTarifa[],3,FALSE),0)</f>
        <v>1</v>
      </c>
      <c r="M53" s="1647">
        <f>IFERROR(VLOOKUP(Financeiros[[#This Row],[Grupo Tarifário]],RefTabGrupoTarifa[],4,FALSE),0)</f>
        <v>9</v>
      </c>
    </row>
    <row r="54" spans="3:13" ht="16.5">
      <c r="C54" s="1668" t="s">
        <v>2108</v>
      </c>
      <c r="D54" s="1653">
        <f>IFERROR(CVE!$D$12*Resultado!D28/SUM(Resultado!$D$25:$D$29),0)</f>
        <v>0</v>
      </c>
      <c r="E54" s="1628">
        <f t="shared" ca="1" si="0"/>
        <v>0</v>
      </c>
      <c r="F54" s="1616" t="s">
        <v>2233</v>
      </c>
      <c r="G54" s="1635" t="s">
        <v>2265</v>
      </c>
      <c r="H54" s="1617">
        <f>IFERROR(VLOOKUP(Financeiros[[#This Row],[Tipo]],RefTabTipo[],2,FALSE),0)</f>
        <v>22</v>
      </c>
      <c r="I54" s="1641">
        <f>IFERROR(VLOOKUP(Financeiros[[#This Row],[Tipo]],RefTabTipo[],3,FALSE),0)</f>
        <v>60</v>
      </c>
      <c r="J54" s="1618">
        <f>IFERROR(VLOOKUP(Financeiros[[#This Row],[Tipo]],RefTabTipo[],4,FALSE),0)</f>
        <v>241</v>
      </c>
      <c r="K54" s="1647">
        <f>IFERROR(VLOOKUP(Financeiros[[#This Row],[Grupo Tarifário]],RefTabGrupoTarifa[],2,FALSE),0)</f>
        <v>1</v>
      </c>
      <c r="L54" s="1617">
        <f>IFERROR(VLOOKUP(Financeiros[[#This Row],[Grupo Tarifário]],RefTabGrupoTarifa[],3,FALSE),0)</f>
        <v>1</v>
      </c>
      <c r="M54" s="1647">
        <f>IFERROR(VLOOKUP(Financeiros[[#This Row],[Grupo Tarifário]],RefTabGrupoTarifa[],4,FALSE),0)</f>
        <v>9</v>
      </c>
    </row>
    <row r="55" spans="3:13" ht="16.5">
      <c r="C55" s="1668" t="s">
        <v>2109</v>
      </c>
      <c r="D55" s="1653">
        <f>IFERROR(CVE!$D$12*Resultado!D27/SUM(Resultado!$D$25:$D$29),0)</f>
        <v>0</v>
      </c>
      <c r="E55" s="1628">
        <f t="shared" ca="1" si="0"/>
        <v>0</v>
      </c>
      <c r="F55" s="1616" t="s">
        <v>2233</v>
      </c>
      <c r="G55" s="1635" t="s">
        <v>2265</v>
      </c>
      <c r="H55" s="1617">
        <f>IFERROR(VLOOKUP(Financeiros[[#This Row],[Tipo]],RefTabTipo[],2,FALSE),0)</f>
        <v>22</v>
      </c>
      <c r="I55" s="1641">
        <f>IFERROR(VLOOKUP(Financeiros[[#This Row],[Tipo]],RefTabTipo[],3,FALSE),0)</f>
        <v>60</v>
      </c>
      <c r="J55" s="1618">
        <f>IFERROR(VLOOKUP(Financeiros[[#This Row],[Tipo]],RefTabTipo[],4,FALSE),0)</f>
        <v>241</v>
      </c>
      <c r="K55" s="1647">
        <f>IFERROR(VLOOKUP(Financeiros[[#This Row],[Grupo Tarifário]],RefTabGrupoTarifa[],2,FALSE),0)</f>
        <v>1</v>
      </c>
      <c r="L55" s="1617">
        <f>IFERROR(VLOOKUP(Financeiros[[#This Row],[Grupo Tarifário]],RefTabGrupoTarifa[],3,FALSE),0)</f>
        <v>1</v>
      </c>
      <c r="M55" s="1647">
        <f>IFERROR(VLOOKUP(Financeiros[[#This Row],[Grupo Tarifário]],RefTabGrupoTarifa[],4,FALSE),0)</f>
        <v>9</v>
      </c>
    </row>
    <row r="56" spans="3:13" ht="16.5">
      <c r="C56" s="1668" t="s">
        <v>2110</v>
      </c>
      <c r="D56" s="1653">
        <f>IFERROR(CVE!$D$12*Resultado!D29/SUM(Resultado!$D$25:$D$29),0)</f>
        <v>0</v>
      </c>
      <c r="E56" s="1628">
        <f t="shared" ca="1" si="0"/>
        <v>0</v>
      </c>
      <c r="F56" s="1616" t="s">
        <v>2233</v>
      </c>
      <c r="G56" s="1635" t="s">
        <v>2265</v>
      </c>
      <c r="H56" s="1617">
        <f>IFERROR(VLOOKUP(Financeiros[[#This Row],[Tipo]],RefTabTipo[],2,FALSE),0)</f>
        <v>22</v>
      </c>
      <c r="I56" s="1641">
        <f>IFERROR(VLOOKUP(Financeiros[[#This Row],[Tipo]],RefTabTipo[],3,FALSE),0)</f>
        <v>60</v>
      </c>
      <c r="J56" s="1618">
        <f>IFERROR(VLOOKUP(Financeiros[[#This Row],[Tipo]],RefTabTipo[],4,FALSE),0)</f>
        <v>241</v>
      </c>
      <c r="K56" s="1647">
        <f>IFERROR(VLOOKUP(Financeiros[[#This Row],[Grupo Tarifário]],RefTabGrupoTarifa[],2,FALSE),0)</f>
        <v>1</v>
      </c>
      <c r="L56" s="1617">
        <f>IFERROR(VLOOKUP(Financeiros[[#This Row],[Grupo Tarifário]],RefTabGrupoTarifa[],3,FALSE),0)</f>
        <v>1</v>
      </c>
      <c r="M56" s="1647">
        <f>IFERROR(VLOOKUP(Financeiros[[#This Row],[Grupo Tarifário]],RefTabGrupoTarifa[],4,FALSE),0)</f>
        <v>9</v>
      </c>
    </row>
    <row r="57" spans="3:13" ht="16.5">
      <c r="C57" s="1668" t="s">
        <v>2111</v>
      </c>
      <c r="D57" s="1653">
        <f>CVE!D15</f>
        <v>0</v>
      </c>
      <c r="E57" s="1628">
        <f t="shared" ca="1" si="0"/>
        <v>0</v>
      </c>
      <c r="F57" s="1616" t="s">
        <v>2233</v>
      </c>
      <c r="G57" s="1635" t="s">
        <v>2273</v>
      </c>
      <c r="H57" s="1617">
        <f>IFERROR(VLOOKUP(Financeiros[[#This Row],[Tipo]],RefTabTipo[],2,FALSE),0)</f>
        <v>22</v>
      </c>
      <c r="I57" s="1641">
        <f>IFERROR(VLOOKUP(Financeiros[[#This Row],[Tipo]],RefTabTipo[],3,FALSE),0)</f>
        <v>60</v>
      </c>
      <c r="J57" s="1618">
        <f>IFERROR(VLOOKUP(Financeiros[[#This Row],[Tipo]],RefTabTipo[],4,FALSE),0)</f>
        <v>241</v>
      </c>
      <c r="K57" s="1647">
        <f>IFERROR(VLOOKUP(Financeiros[[#This Row],[Grupo Tarifário]],RefTabGrupoTarifa[],2,FALSE),0)</f>
        <v>1</v>
      </c>
      <c r="L57" s="1617">
        <f>IFERROR(VLOOKUP(Financeiros[[#This Row],[Grupo Tarifário]],RefTabGrupoTarifa[],3,FALSE),0)</f>
        <v>21</v>
      </c>
      <c r="M57" s="1647">
        <f>IFERROR(VLOOKUP(Financeiros[[#This Row],[Grupo Tarifário]],RefTabGrupoTarifa[],4,FALSE),0)</f>
        <v>9</v>
      </c>
    </row>
    <row r="58" spans="3:13" ht="16.5">
      <c r="C58" s="1668" t="s">
        <v>2112</v>
      </c>
      <c r="D58" s="1653">
        <f ca="1">IFERROR(CVE!$D$13*H2,0)</f>
        <v>0</v>
      </c>
      <c r="E58" s="1628">
        <f t="shared" ca="1" si="0"/>
        <v>0</v>
      </c>
      <c r="F58" s="1616" t="s">
        <v>2233</v>
      </c>
      <c r="G58" s="1635" t="s">
        <v>2257</v>
      </c>
      <c r="H58" s="1617">
        <f>IFERROR(VLOOKUP(Financeiros[[#This Row],[Tipo]],RefTabTipo[],2,FALSE),0)</f>
        <v>22</v>
      </c>
      <c r="I58" s="1641">
        <f>IFERROR(VLOOKUP(Financeiros[[#This Row],[Tipo]],RefTabTipo[],3,FALSE),0)</f>
        <v>60</v>
      </c>
      <c r="J58" s="1618">
        <f>IFERROR(VLOOKUP(Financeiros[[#This Row],[Tipo]],RefTabTipo[],4,FALSE),0)</f>
        <v>241</v>
      </c>
      <c r="K58" s="1647">
        <f>IFERROR(VLOOKUP(Financeiros[[#This Row],[Grupo Tarifário]],RefTabGrupoTarifa[],2,FALSE),0)</f>
        <v>2</v>
      </c>
      <c r="L58" s="1617">
        <f>IFERROR(VLOOKUP(Financeiros[[#This Row],[Grupo Tarifário]],RefTabGrupoTarifa[],3,FALSE),0)</f>
        <v>11</v>
      </c>
      <c r="M58" s="1647">
        <f>IFERROR(VLOOKUP(Financeiros[[#This Row],[Grupo Tarifário]],RefTabGrupoTarifa[],4,FALSE),0)</f>
        <v>9</v>
      </c>
    </row>
    <row r="59" spans="3:13" ht="16.5">
      <c r="C59" s="1668" t="s">
        <v>2113</v>
      </c>
      <c r="D59" s="1653">
        <f ca="1">IFERROR(CVE!$D$13*H3,0)</f>
        <v>0</v>
      </c>
      <c r="E59" s="1628">
        <f t="shared" ca="1" si="0"/>
        <v>0</v>
      </c>
      <c r="F59" s="1616" t="s">
        <v>2233</v>
      </c>
      <c r="G59" s="1635" t="s">
        <v>2259</v>
      </c>
      <c r="H59" s="1617">
        <f>IFERROR(VLOOKUP(Financeiros[[#This Row],[Tipo]],RefTabTipo[],2,FALSE),0)</f>
        <v>22</v>
      </c>
      <c r="I59" s="1641">
        <f>IFERROR(VLOOKUP(Financeiros[[#This Row],[Tipo]],RefTabTipo[],3,FALSE),0)</f>
        <v>60</v>
      </c>
      <c r="J59" s="1618">
        <f>IFERROR(VLOOKUP(Financeiros[[#This Row],[Tipo]],RefTabTipo[],4,FALSE),0)</f>
        <v>241</v>
      </c>
      <c r="K59" s="1647">
        <f>IFERROR(VLOOKUP(Financeiros[[#This Row],[Grupo Tarifário]],RefTabGrupoTarifa[],2,FALSE),0)</f>
        <v>2</v>
      </c>
      <c r="L59" s="1617">
        <f>IFERROR(VLOOKUP(Financeiros[[#This Row],[Grupo Tarifário]],RefTabGrupoTarifa[],3,FALSE),0)</f>
        <v>9</v>
      </c>
      <c r="M59" s="1647">
        <f>IFERROR(VLOOKUP(Financeiros[[#This Row],[Grupo Tarifário]],RefTabGrupoTarifa[],4,FALSE),0)</f>
        <v>9</v>
      </c>
    </row>
    <row r="60" spans="3:13" ht="16.5">
      <c r="C60" s="1668" t="s">
        <v>2114</v>
      </c>
      <c r="D60" s="1653">
        <f ca="1">IFERROR(CVE!$D$13*H4,0)</f>
        <v>0</v>
      </c>
      <c r="E60" s="1628">
        <f t="shared" ca="1" si="0"/>
        <v>0</v>
      </c>
      <c r="F60" s="1616" t="s">
        <v>2233</v>
      </c>
      <c r="G60" s="1635" t="s">
        <v>2262</v>
      </c>
      <c r="H60" s="1617">
        <f>IFERROR(VLOOKUP(Financeiros[[#This Row],[Tipo]],RefTabTipo[],2,FALSE),0)</f>
        <v>22</v>
      </c>
      <c r="I60" s="1641">
        <f>IFERROR(VLOOKUP(Financeiros[[#This Row],[Tipo]],RefTabTipo[],3,FALSE),0)</f>
        <v>60</v>
      </c>
      <c r="J60" s="1618">
        <f>IFERROR(VLOOKUP(Financeiros[[#This Row],[Tipo]],RefTabTipo[],4,FALSE),0)</f>
        <v>241</v>
      </c>
      <c r="K60" s="1647">
        <f>IFERROR(VLOOKUP(Financeiros[[#This Row],[Grupo Tarifário]],RefTabGrupoTarifa[],2,FALSE),0)</f>
        <v>2</v>
      </c>
      <c r="L60" s="1617">
        <f>IFERROR(VLOOKUP(Financeiros[[#This Row],[Grupo Tarifário]],RefTabGrupoTarifa[],3,FALSE),0)</f>
        <v>8</v>
      </c>
      <c r="M60" s="1647">
        <f>IFERROR(VLOOKUP(Financeiros[[#This Row],[Grupo Tarifário]],RefTabGrupoTarifa[],4,FALSE),0)</f>
        <v>9</v>
      </c>
    </row>
    <row r="61" spans="3:13" ht="16.5">
      <c r="C61" s="1668" t="s">
        <v>2115</v>
      </c>
      <c r="D61" s="1653">
        <f ca="1">IFERROR(CVE!$D$13*H5,0)</f>
        <v>0</v>
      </c>
      <c r="E61" s="1628">
        <f t="shared" ca="1" si="0"/>
        <v>0</v>
      </c>
      <c r="F61" s="1616" t="s">
        <v>2233</v>
      </c>
      <c r="G61" s="1635" t="s">
        <v>2260</v>
      </c>
      <c r="H61" s="1617">
        <f>IFERROR(VLOOKUP(Financeiros[[#This Row],[Tipo]],RefTabTipo[],2,FALSE),0)</f>
        <v>22</v>
      </c>
      <c r="I61" s="1641">
        <f>IFERROR(VLOOKUP(Financeiros[[#This Row],[Tipo]],RefTabTipo[],3,FALSE),0)</f>
        <v>60</v>
      </c>
      <c r="J61" s="1618">
        <f>IFERROR(VLOOKUP(Financeiros[[#This Row],[Tipo]],RefTabTipo[],4,FALSE),0)</f>
        <v>241</v>
      </c>
      <c r="K61" s="1647">
        <f>IFERROR(VLOOKUP(Financeiros[[#This Row],[Grupo Tarifário]],RefTabGrupoTarifa[],2,FALSE),0)</f>
        <v>2</v>
      </c>
      <c r="L61" s="1617">
        <f>IFERROR(VLOOKUP(Financeiros[[#This Row],[Grupo Tarifário]],RefTabGrupoTarifa[],3,FALSE),0)</f>
        <v>10</v>
      </c>
      <c r="M61" s="1647">
        <f>IFERROR(VLOOKUP(Financeiros[[#This Row],[Grupo Tarifário]],RefTabGrupoTarifa[],4,FALSE),0)</f>
        <v>9</v>
      </c>
    </row>
    <row r="62" spans="3:13" ht="16.5">
      <c r="C62" s="1668" t="s">
        <v>2116</v>
      </c>
      <c r="D62" s="1653">
        <f ca="1">IFERROR(CVE!$D$13*H6,0)</f>
        <v>0</v>
      </c>
      <c r="E62" s="1628">
        <f t="shared" ca="1" si="0"/>
        <v>0</v>
      </c>
      <c r="F62" s="1616" t="s">
        <v>2233</v>
      </c>
      <c r="G62" s="1635" t="s">
        <v>2261</v>
      </c>
      <c r="H62" s="1617">
        <f>IFERROR(VLOOKUP(Financeiros[[#This Row],[Tipo]],RefTabTipo[],2,FALSE),0)</f>
        <v>22</v>
      </c>
      <c r="I62" s="1641">
        <f>IFERROR(VLOOKUP(Financeiros[[#This Row],[Tipo]],RefTabTipo[],3,FALSE),0)</f>
        <v>60</v>
      </c>
      <c r="J62" s="1618">
        <f>IFERROR(VLOOKUP(Financeiros[[#This Row],[Tipo]],RefTabTipo[],4,FALSE),0)</f>
        <v>241</v>
      </c>
      <c r="K62" s="1647">
        <f>IFERROR(VLOOKUP(Financeiros[[#This Row],[Grupo Tarifário]],RefTabGrupoTarifa[],2,FALSE),0)</f>
        <v>2</v>
      </c>
      <c r="L62" s="1617">
        <f>IFERROR(VLOOKUP(Financeiros[[#This Row],[Grupo Tarifário]],RefTabGrupoTarifa[],3,FALSE),0)</f>
        <v>24</v>
      </c>
      <c r="M62" s="1647">
        <f>IFERROR(VLOOKUP(Financeiros[[#This Row],[Grupo Tarifário]],RefTabGrupoTarifa[],4,FALSE),0)</f>
        <v>9</v>
      </c>
    </row>
    <row r="63" spans="3:13" ht="16.5">
      <c r="C63" s="1668" t="s">
        <v>2117</v>
      </c>
      <c r="D63" s="1653">
        <f>IFERROR(CVE!$D$16,0)</f>
        <v>0</v>
      </c>
      <c r="E63" s="1628">
        <f t="shared" ca="1" si="0"/>
        <v>0</v>
      </c>
      <c r="F63" s="1616" t="s">
        <v>2233</v>
      </c>
      <c r="G63" s="1635" t="s">
        <v>2254</v>
      </c>
      <c r="H63" s="1617">
        <f>IFERROR(VLOOKUP(Financeiros[[#This Row],[Tipo]],RefTabTipo[],2,FALSE),0)</f>
        <v>22</v>
      </c>
      <c r="I63" s="1641">
        <f>IFERROR(VLOOKUP(Financeiros[[#This Row],[Tipo]],RefTabTipo[],3,FALSE),0)</f>
        <v>60</v>
      </c>
      <c r="J63" s="1618">
        <f>IFERROR(VLOOKUP(Financeiros[[#This Row],[Tipo]],RefTabTipo[],4,FALSE),0)</f>
        <v>241</v>
      </c>
      <c r="K63" s="1647">
        <f>IFERROR(VLOOKUP(Financeiros[[#This Row],[Grupo Tarifário]],RefTabGrupoTarifa[],2,FALSE),0)</f>
        <v>3</v>
      </c>
      <c r="L63" s="1617">
        <f>IFERROR(VLOOKUP(Financeiros[[#This Row],[Grupo Tarifário]],RefTabGrupoTarifa[],3,FALSE),0)</f>
        <v>18</v>
      </c>
      <c r="M63" s="1647">
        <f>IFERROR(VLOOKUP(Financeiros[[#This Row],[Grupo Tarifário]],RefTabGrupoTarifa[],4,FALSE),0)</f>
        <v>9</v>
      </c>
    </row>
    <row r="64" spans="3:13" ht="16.5">
      <c r="C64" s="1668" t="s">
        <v>2118</v>
      </c>
      <c r="D64" s="1653">
        <f>CVE!D14</f>
        <v>0</v>
      </c>
      <c r="E64" s="1628">
        <f t="shared" ca="1" si="0"/>
        <v>0</v>
      </c>
      <c r="F64" s="1616" t="s">
        <v>2233</v>
      </c>
      <c r="G64" s="1635" t="s">
        <v>2251</v>
      </c>
      <c r="H64" s="1617">
        <f>IFERROR(VLOOKUP(Financeiros[[#This Row],[Tipo]],RefTabTipo[],2,FALSE),0)</f>
        <v>22</v>
      </c>
      <c r="I64" s="1641">
        <f>IFERROR(VLOOKUP(Financeiros[[#This Row],[Tipo]],RefTabTipo[],3,FALSE),0)</f>
        <v>60</v>
      </c>
      <c r="J64" s="1618">
        <f>IFERROR(VLOOKUP(Financeiros[[#This Row],[Tipo]],RefTabTipo[],4,FALSE),0)</f>
        <v>241</v>
      </c>
      <c r="K64" s="1647">
        <f>IFERROR(VLOOKUP(Financeiros[[#This Row],[Grupo Tarifário]],RefTabGrupoTarifa[],2,FALSE),0)</f>
        <v>3</v>
      </c>
      <c r="L64" s="1617">
        <f>IFERROR(VLOOKUP(Financeiros[[#This Row],[Grupo Tarifário]],RefTabGrupoTarifa[],3,FALSE),0)</f>
        <v>16</v>
      </c>
      <c r="M64" s="1647">
        <f>IFERROR(VLOOKUP(Financeiros[[#This Row],[Grupo Tarifário]],RefTabGrupoTarifa[],4,FALSE),0)</f>
        <v>9</v>
      </c>
    </row>
    <row r="65" spans="3:13" ht="16.5">
      <c r="C65" s="1668" t="s">
        <v>2119</v>
      </c>
      <c r="D65" s="1653">
        <f>CVE!D17</f>
        <v>0</v>
      </c>
      <c r="E65" s="1628">
        <f t="shared" ca="1" si="0"/>
        <v>0</v>
      </c>
      <c r="F65" s="1616" t="s">
        <v>2233</v>
      </c>
      <c r="G65" s="1635" t="s">
        <v>2244</v>
      </c>
      <c r="H65" s="1617">
        <f>IFERROR(VLOOKUP(Financeiros[[#This Row],[Tipo]],RefTabTipo[],2,FALSE),0)</f>
        <v>22</v>
      </c>
      <c r="I65" s="1641">
        <f>IFERROR(VLOOKUP(Financeiros[[#This Row],[Tipo]],RefTabTipo[],3,FALSE),0)</f>
        <v>60</v>
      </c>
      <c r="J65" s="1618">
        <f>IFERROR(VLOOKUP(Financeiros[[#This Row],[Tipo]],RefTabTipo[],4,FALSE),0)</f>
        <v>241</v>
      </c>
      <c r="K65" s="1647">
        <f>IFERROR(VLOOKUP(Financeiros[[#This Row],[Grupo Tarifário]],RefTabGrupoTarifa[],2,FALSE),0)</f>
        <v>3</v>
      </c>
      <c r="L65" s="1617">
        <f>IFERROR(VLOOKUP(Financeiros[[#This Row],[Grupo Tarifário]],RefTabGrupoTarifa[],3,FALSE),0)</f>
        <v>17</v>
      </c>
      <c r="M65" s="1647">
        <f>IFERROR(VLOOKUP(Financeiros[[#This Row],[Grupo Tarifário]],RefTabGrupoTarifa[],4,FALSE),0)</f>
        <v>9</v>
      </c>
    </row>
    <row r="66" spans="3:13" ht="16.5">
      <c r="C66" s="1669" t="s">
        <v>2091</v>
      </c>
      <c r="D66" s="1774">
        <f ca="1">IFERROR('Financeiros Mitigação'!$D$5*H2,0)</f>
        <v>0</v>
      </c>
      <c r="E66" s="1629">
        <f t="shared" ca="1" si="0"/>
        <v>0</v>
      </c>
      <c r="F66" s="1613" t="s">
        <v>2235</v>
      </c>
      <c r="G66" s="1636" t="s">
        <v>2257</v>
      </c>
      <c r="H66" s="1614">
        <f>IFERROR(VLOOKUP(Financeiros[[#This Row],[Tipo]],RefTabTipo[],2,FALSE),0)</f>
        <v>22</v>
      </c>
      <c r="I66" s="1642">
        <f>IFERROR(VLOOKUP(Financeiros[[#This Row],[Tipo]],RefTabTipo[],3,FALSE),0)</f>
        <v>60</v>
      </c>
      <c r="J66" s="1615">
        <f>IFERROR(VLOOKUP(Financeiros[[#This Row],[Tipo]],RefTabTipo[],4,FALSE),0)</f>
        <v>240</v>
      </c>
      <c r="K66" s="1648">
        <f>IFERROR(VLOOKUP(Financeiros[[#This Row],[Grupo Tarifário]],RefTabGrupoTarifa[],2,FALSE),0)</f>
        <v>2</v>
      </c>
      <c r="L66" s="1614">
        <f>IFERROR(VLOOKUP(Financeiros[[#This Row],[Grupo Tarifário]],RefTabGrupoTarifa[],3,FALSE),0)</f>
        <v>11</v>
      </c>
      <c r="M66" s="1648">
        <f>IFERROR(VLOOKUP(Financeiros[[#This Row],[Grupo Tarifário]],RefTabGrupoTarifa[],4,FALSE),0)</f>
        <v>9</v>
      </c>
    </row>
    <row r="67" spans="3:13" ht="16.5">
      <c r="C67" s="1669" t="s">
        <v>2092</v>
      </c>
      <c r="D67" s="1774">
        <f ca="1">IFERROR('Financeiros Mitigação'!$D$5*H3,0)</f>
        <v>0</v>
      </c>
      <c r="E67" s="1629">
        <f t="shared" ca="1" si="0"/>
        <v>0</v>
      </c>
      <c r="F67" s="1613" t="s">
        <v>2235</v>
      </c>
      <c r="G67" s="1636" t="s">
        <v>2259</v>
      </c>
      <c r="H67" s="1614">
        <f>IFERROR(VLOOKUP(Financeiros[[#This Row],[Tipo]],RefTabTipo[],2,FALSE),0)</f>
        <v>22</v>
      </c>
      <c r="I67" s="1642">
        <f>IFERROR(VLOOKUP(Financeiros[[#This Row],[Tipo]],RefTabTipo[],3,FALSE),0)</f>
        <v>60</v>
      </c>
      <c r="J67" s="1615">
        <f>IFERROR(VLOOKUP(Financeiros[[#This Row],[Tipo]],RefTabTipo[],4,FALSE),0)</f>
        <v>240</v>
      </c>
      <c r="K67" s="1648">
        <f>IFERROR(VLOOKUP(Financeiros[[#This Row],[Grupo Tarifário]],RefTabGrupoTarifa[],2,FALSE),0)</f>
        <v>2</v>
      </c>
      <c r="L67" s="1614">
        <f>IFERROR(VLOOKUP(Financeiros[[#This Row],[Grupo Tarifário]],RefTabGrupoTarifa[],3,FALSE),0)</f>
        <v>9</v>
      </c>
      <c r="M67" s="1648">
        <f>IFERROR(VLOOKUP(Financeiros[[#This Row],[Grupo Tarifário]],RefTabGrupoTarifa[],4,FALSE),0)</f>
        <v>9</v>
      </c>
    </row>
    <row r="68" spans="3:13" ht="16.5">
      <c r="C68" s="1669" t="s">
        <v>2093</v>
      </c>
      <c r="D68" s="1774">
        <f ca="1">IFERROR('Financeiros Mitigação'!$D$5*H4,0)</f>
        <v>0</v>
      </c>
      <c r="E68" s="1629">
        <f t="shared" ca="1" si="0"/>
        <v>0</v>
      </c>
      <c r="F68" s="1613" t="s">
        <v>2235</v>
      </c>
      <c r="G68" s="1636" t="s">
        <v>2262</v>
      </c>
      <c r="H68" s="1614">
        <f>IFERROR(VLOOKUP(Financeiros[[#This Row],[Tipo]],RefTabTipo[],2,FALSE),0)</f>
        <v>22</v>
      </c>
      <c r="I68" s="1642">
        <f>IFERROR(VLOOKUP(Financeiros[[#This Row],[Tipo]],RefTabTipo[],3,FALSE),0)</f>
        <v>60</v>
      </c>
      <c r="J68" s="1615">
        <f>IFERROR(VLOOKUP(Financeiros[[#This Row],[Tipo]],RefTabTipo[],4,FALSE),0)</f>
        <v>240</v>
      </c>
      <c r="K68" s="1648">
        <f>IFERROR(VLOOKUP(Financeiros[[#This Row],[Grupo Tarifário]],RefTabGrupoTarifa[],2,FALSE),0)</f>
        <v>2</v>
      </c>
      <c r="L68" s="1614">
        <f>IFERROR(VLOOKUP(Financeiros[[#This Row],[Grupo Tarifário]],RefTabGrupoTarifa[],3,FALSE),0)</f>
        <v>8</v>
      </c>
      <c r="M68" s="1648">
        <f>IFERROR(VLOOKUP(Financeiros[[#This Row],[Grupo Tarifário]],RefTabGrupoTarifa[],4,FALSE),0)</f>
        <v>9</v>
      </c>
    </row>
    <row r="69" spans="3:13" ht="16.5">
      <c r="C69" s="1669" t="s">
        <v>2094</v>
      </c>
      <c r="D69" s="1774">
        <f ca="1">IFERROR('Financeiros Mitigação'!$D$5*H5,0)</f>
        <v>0</v>
      </c>
      <c r="E69" s="1629">
        <f t="shared" ca="1" si="0"/>
        <v>0</v>
      </c>
      <c r="F69" s="1613" t="s">
        <v>2235</v>
      </c>
      <c r="G69" s="1636" t="s">
        <v>2260</v>
      </c>
      <c r="H69" s="1614">
        <f>IFERROR(VLOOKUP(Financeiros[[#This Row],[Tipo]],RefTabTipo[],2,FALSE),0)</f>
        <v>22</v>
      </c>
      <c r="I69" s="1642">
        <f>IFERROR(VLOOKUP(Financeiros[[#This Row],[Tipo]],RefTabTipo[],3,FALSE),0)</f>
        <v>60</v>
      </c>
      <c r="J69" s="1615">
        <f>IFERROR(VLOOKUP(Financeiros[[#This Row],[Tipo]],RefTabTipo[],4,FALSE),0)</f>
        <v>240</v>
      </c>
      <c r="K69" s="1648">
        <f>IFERROR(VLOOKUP(Financeiros[[#This Row],[Grupo Tarifário]],RefTabGrupoTarifa[],2,FALSE),0)</f>
        <v>2</v>
      </c>
      <c r="L69" s="1614">
        <f>IFERROR(VLOOKUP(Financeiros[[#This Row],[Grupo Tarifário]],RefTabGrupoTarifa[],3,FALSE),0)</f>
        <v>10</v>
      </c>
      <c r="M69" s="1648">
        <f>IFERROR(VLOOKUP(Financeiros[[#This Row],[Grupo Tarifário]],RefTabGrupoTarifa[],4,FALSE),0)</f>
        <v>9</v>
      </c>
    </row>
    <row r="70" spans="3:13" ht="16.5">
      <c r="C70" s="1669" t="s">
        <v>2095</v>
      </c>
      <c r="D70" s="1774">
        <f ca="1">IFERROR('Financeiros Mitigação'!$D$5*H6,0)</f>
        <v>0</v>
      </c>
      <c r="E70" s="1629">
        <f t="shared" ca="1" si="0"/>
        <v>0</v>
      </c>
      <c r="F70" s="1613" t="s">
        <v>2235</v>
      </c>
      <c r="G70" s="1636" t="s">
        <v>2261</v>
      </c>
      <c r="H70" s="1614">
        <f>IFERROR(VLOOKUP(Financeiros[[#This Row],[Tipo]],RefTabTipo[],2,FALSE),0)</f>
        <v>22</v>
      </c>
      <c r="I70" s="1642">
        <f>IFERROR(VLOOKUP(Financeiros[[#This Row],[Tipo]],RefTabTipo[],3,FALSE),0)</f>
        <v>60</v>
      </c>
      <c r="J70" s="1615">
        <f>IFERROR(VLOOKUP(Financeiros[[#This Row],[Tipo]],RefTabTipo[],4,FALSE),0)</f>
        <v>240</v>
      </c>
      <c r="K70" s="1648">
        <f>IFERROR(VLOOKUP(Financeiros[[#This Row],[Grupo Tarifário]],RefTabGrupoTarifa[],2,FALSE),0)</f>
        <v>2</v>
      </c>
      <c r="L70" s="1614">
        <f>IFERROR(VLOOKUP(Financeiros[[#This Row],[Grupo Tarifário]],RefTabGrupoTarifa[],3,FALSE),0)</f>
        <v>24</v>
      </c>
      <c r="M70" s="1648">
        <f>IFERROR(VLOOKUP(Financeiros[[#This Row],[Grupo Tarifário]],RefTabGrupoTarifa[],4,FALSE),0)</f>
        <v>9</v>
      </c>
    </row>
    <row r="71" spans="3:13" ht="16.5">
      <c r="C71" s="1669" t="s">
        <v>2096</v>
      </c>
      <c r="D71" s="1774">
        <f>IFERROR('Financeiros Mitigação'!D6,0)</f>
        <v>0</v>
      </c>
      <c r="E71" s="1629">
        <f t="shared" ca="1" si="0"/>
        <v>0</v>
      </c>
      <c r="F71" s="1613" t="s">
        <v>2235</v>
      </c>
      <c r="G71" s="1636" t="s">
        <v>2244</v>
      </c>
      <c r="H71" s="1614">
        <f>IFERROR(VLOOKUP(Financeiros[[#This Row],[Tipo]],RefTabTipo[],2,FALSE),0)</f>
        <v>22</v>
      </c>
      <c r="I71" s="1642">
        <f>IFERROR(VLOOKUP(Financeiros[[#This Row],[Tipo]],RefTabTipo[],3,FALSE),0)</f>
        <v>60</v>
      </c>
      <c r="J71" s="1615">
        <f>IFERROR(VLOOKUP(Financeiros[[#This Row],[Tipo]],RefTabTipo[],4,FALSE),0)</f>
        <v>240</v>
      </c>
      <c r="K71" s="1648">
        <f>IFERROR(VLOOKUP(Financeiros[[#This Row],[Grupo Tarifário]],RefTabGrupoTarifa[],2,FALSE),0)</f>
        <v>3</v>
      </c>
      <c r="L71" s="1614">
        <f>IFERROR(VLOOKUP(Financeiros[[#This Row],[Grupo Tarifário]],RefTabGrupoTarifa[],3,FALSE),0)</f>
        <v>17</v>
      </c>
      <c r="M71" s="1648">
        <f>IFERROR(VLOOKUP(Financeiros[[#This Row],[Grupo Tarifário]],RefTabGrupoTarifa[],4,FALSE),0)</f>
        <v>9</v>
      </c>
    </row>
    <row r="72" spans="3:13" ht="16.5">
      <c r="C72" s="1669" t="s">
        <v>2097</v>
      </c>
      <c r="D72" s="1774">
        <f ca="1">IFERROR('Financeiros Mitigação'!$D$7*H2,0)</f>
        <v>0</v>
      </c>
      <c r="E72" s="1629">
        <f t="shared" ca="1" si="0"/>
        <v>0</v>
      </c>
      <c r="F72" s="1613" t="s">
        <v>2235</v>
      </c>
      <c r="G72" s="1636" t="s">
        <v>2257</v>
      </c>
      <c r="H72" s="1614">
        <f>IFERROR(VLOOKUP(Financeiros[[#This Row],[Tipo]],RefTabTipo[],2,FALSE),0)</f>
        <v>22</v>
      </c>
      <c r="I72" s="1642">
        <f>IFERROR(VLOOKUP(Financeiros[[#This Row],[Tipo]],RefTabTipo[],3,FALSE),0)</f>
        <v>60</v>
      </c>
      <c r="J72" s="1615">
        <f>IFERROR(VLOOKUP(Financeiros[[#This Row],[Tipo]],RefTabTipo[],4,FALSE),0)</f>
        <v>240</v>
      </c>
      <c r="K72" s="1648">
        <f>IFERROR(VLOOKUP(Financeiros[[#This Row],[Grupo Tarifário]],RefTabGrupoTarifa[],2,FALSE),0)</f>
        <v>2</v>
      </c>
      <c r="L72" s="1614">
        <f>IFERROR(VLOOKUP(Financeiros[[#This Row],[Grupo Tarifário]],RefTabGrupoTarifa[],3,FALSE),0)</f>
        <v>11</v>
      </c>
      <c r="M72" s="1648">
        <f>IFERROR(VLOOKUP(Financeiros[[#This Row],[Grupo Tarifário]],RefTabGrupoTarifa[],4,FALSE),0)</f>
        <v>9</v>
      </c>
    </row>
    <row r="73" spans="3:13" ht="16.5">
      <c r="C73" s="1669" t="s">
        <v>2098</v>
      </c>
      <c r="D73" s="1774">
        <f ca="1">IFERROR('Financeiros Mitigação'!$D$7*H3,0)</f>
        <v>0</v>
      </c>
      <c r="E73" s="1629">
        <f t="shared" ca="1" si="0"/>
        <v>0</v>
      </c>
      <c r="F73" s="1613" t="s">
        <v>2235</v>
      </c>
      <c r="G73" s="1636" t="s">
        <v>2259</v>
      </c>
      <c r="H73" s="1614">
        <f>IFERROR(VLOOKUP(Financeiros[[#This Row],[Tipo]],RefTabTipo[],2,FALSE),0)</f>
        <v>22</v>
      </c>
      <c r="I73" s="1642">
        <f>IFERROR(VLOOKUP(Financeiros[[#This Row],[Tipo]],RefTabTipo[],3,FALSE),0)</f>
        <v>60</v>
      </c>
      <c r="J73" s="1615">
        <f>IFERROR(VLOOKUP(Financeiros[[#This Row],[Tipo]],RefTabTipo[],4,FALSE),0)</f>
        <v>240</v>
      </c>
      <c r="K73" s="1648">
        <f>IFERROR(VLOOKUP(Financeiros[[#This Row],[Grupo Tarifário]],RefTabGrupoTarifa[],2,FALSE),0)</f>
        <v>2</v>
      </c>
      <c r="L73" s="1614">
        <f>IFERROR(VLOOKUP(Financeiros[[#This Row],[Grupo Tarifário]],RefTabGrupoTarifa[],3,FALSE),0)</f>
        <v>9</v>
      </c>
      <c r="M73" s="1648">
        <f>IFERROR(VLOOKUP(Financeiros[[#This Row],[Grupo Tarifário]],RefTabGrupoTarifa[],4,FALSE),0)</f>
        <v>9</v>
      </c>
    </row>
    <row r="74" spans="3:13" ht="16.5">
      <c r="C74" s="1669" t="s">
        <v>2099</v>
      </c>
      <c r="D74" s="1774">
        <f ca="1">IFERROR('Financeiros Mitigação'!$D$7*H4,0)</f>
        <v>0</v>
      </c>
      <c r="E74" s="1629">
        <f t="shared" ref="E74:E100" ca="1" si="1">IF(ISERROR(D74/$D$4),0,D74/$D$4)</f>
        <v>0</v>
      </c>
      <c r="F74" s="1613" t="s">
        <v>2235</v>
      </c>
      <c r="G74" s="1636" t="s">
        <v>2262</v>
      </c>
      <c r="H74" s="1614">
        <f>IFERROR(VLOOKUP(Financeiros[[#This Row],[Tipo]],RefTabTipo[],2,FALSE),0)</f>
        <v>22</v>
      </c>
      <c r="I74" s="1642">
        <f>IFERROR(VLOOKUP(Financeiros[[#This Row],[Tipo]],RefTabTipo[],3,FALSE),0)</f>
        <v>60</v>
      </c>
      <c r="J74" s="1615">
        <f>IFERROR(VLOOKUP(Financeiros[[#This Row],[Tipo]],RefTabTipo[],4,FALSE),0)</f>
        <v>240</v>
      </c>
      <c r="K74" s="1648">
        <f>IFERROR(VLOOKUP(Financeiros[[#This Row],[Grupo Tarifário]],RefTabGrupoTarifa[],2,FALSE),0)</f>
        <v>2</v>
      </c>
      <c r="L74" s="1614">
        <f>IFERROR(VLOOKUP(Financeiros[[#This Row],[Grupo Tarifário]],RefTabGrupoTarifa[],3,FALSE),0)</f>
        <v>8</v>
      </c>
      <c r="M74" s="1648">
        <f>IFERROR(VLOOKUP(Financeiros[[#This Row],[Grupo Tarifário]],RefTabGrupoTarifa[],4,FALSE),0)</f>
        <v>9</v>
      </c>
    </row>
    <row r="75" spans="3:13" ht="16.5">
      <c r="C75" s="1669" t="s">
        <v>2100</v>
      </c>
      <c r="D75" s="1774">
        <f ca="1">IFERROR('Financeiros Mitigação'!$D$7*H5,0)</f>
        <v>0</v>
      </c>
      <c r="E75" s="1629">
        <f t="shared" ca="1" si="1"/>
        <v>0</v>
      </c>
      <c r="F75" s="1613" t="s">
        <v>2235</v>
      </c>
      <c r="G75" s="1636" t="s">
        <v>2260</v>
      </c>
      <c r="H75" s="1614">
        <f>IFERROR(VLOOKUP(Financeiros[[#This Row],[Tipo]],RefTabTipo[],2,FALSE),0)</f>
        <v>22</v>
      </c>
      <c r="I75" s="1642">
        <f>IFERROR(VLOOKUP(Financeiros[[#This Row],[Tipo]],RefTabTipo[],3,FALSE),0)</f>
        <v>60</v>
      </c>
      <c r="J75" s="1615">
        <f>IFERROR(VLOOKUP(Financeiros[[#This Row],[Tipo]],RefTabTipo[],4,FALSE),0)</f>
        <v>240</v>
      </c>
      <c r="K75" s="1648">
        <f>IFERROR(VLOOKUP(Financeiros[[#This Row],[Grupo Tarifário]],RefTabGrupoTarifa[],2,FALSE),0)</f>
        <v>2</v>
      </c>
      <c r="L75" s="1614">
        <f>IFERROR(VLOOKUP(Financeiros[[#This Row],[Grupo Tarifário]],RefTabGrupoTarifa[],3,FALSE),0)</f>
        <v>10</v>
      </c>
      <c r="M75" s="1648">
        <f>IFERROR(VLOOKUP(Financeiros[[#This Row],[Grupo Tarifário]],RefTabGrupoTarifa[],4,FALSE),0)</f>
        <v>9</v>
      </c>
    </row>
    <row r="76" spans="3:13" ht="16.5">
      <c r="C76" s="1669" t="s">
        <v>2101</v>
      </c>
      <c r="D76" s="1774">
        <f ca="1">IFERROR('Financeiros Mitigação'!$D$7*H6,0)</f>
        <v>0</v>
      </c>
      <c r="E76" s="1629">
        <f t="shared" ca="1" si="1"/>
        <v>0</v>
      </c>
      <c r="F76" s="1636" t="s">
        <v>2235</v>
      </c>
      <c r="G76" s="1636" t="s">
        <v>2261</v>
      </c>
      <c r="H76" s="1648">
        <f>IFERROR(VLOOKUP(Financeiros[[#This Row],[Tipo]],RefTabTipo[],2,FALSE),0)</f>
        <v>22</v>
      </c>
      <c r="I76" s="1642">
        <f>IFERROR(VLOOKUP(Financeiros[[#This Row],[Tipo]],RefTabTipo[],3,FALSE),0)</f>
        <v>60</v>
      </c>
      <c r="J76" s="1642">
        <f>IFERROR(VLOOKUP(Financeiros[[#This Row],[Tipo]],RefTabTipo[],4,FALSE),0)</f>
        <v>240</v>
      </c>
      <c r="K76" s="1648">
        <f>IFERROR(VLOOKUP(Financeiros[[#This Row],[Grupo Tarifário]],RefTabGrupoTarifa[],2,FALSE),0)</f>
        <v>2</v>
      </c>
      <c r="L76" s="1648">
        <f>IFERROR(VLOOKUP(Financeiros[[#This Row],[Grupo Tarifário]],RefTabGrupoTarifa[],3,FALSE),0)</f>
        <v>24</v>
      </c>
      <c r="M76" s="1648">
        <f>IFERROR(VLOOKUP(Financeiros[[#This Row],[Grupo Tarifário]],RefTabGrupoTarifa[],4,FALSE),0)</f>
        <v>9</v>
      </c>
    </row>
    <row r="77" spans="3:13" ht="16.5">
      <c r="C77" s="1670" t="s">
        <v>2312</v>
      </c>
      <c r="D77" s="1667">
        <f ca="1">IFERROR(CVE!$I$9*H2,0)</f>
        <v>0</v>
      </c>
      <c r="E77" s="1630">
        <f t="shared" ca="1" si="1"/>
        <v>0</v>
      </c>
      <c r="F77" s="1637" t="s">
        <v>2240</v>
      </c>
      <c r="G77" s="1637" t="s">
        <v>2257</v>
      </c>
      <c r="H77" s="1649">
        <f>IFERROR(VLOOKUP(Financeiros[[#This Row],[Tipo]],RefTabTipo[],2,FALSE),0)</f>
        <v>22</v>
      </c>
      <c r="I77" s="1643">
        <f>IFERROR(VLOOKUP(Financeiros[[#This Row],[Tipo]],RefTabTipo[],3,FALSE),0)</f>
        <v>60</v>
      </c>
      <c r="J77" s="1643">
        <f>IFERROR(VLOOKUP(Financeiros[[#This Row],[Tipo]],RefTabTipo[],4,FALSE),0)</f>
        <v>106</v>
      </c>
      <c r="K77" s="1649">
        <f>IFERROR(VLOOKUP(Financeiros[[#This Row],[Grupo Tarifário]],RefTabGrupoTarifa[],2,FALSE),0)</f>
        <v>2</v>
      </c>
      <c r="L77" s="1649">
        <f>IFERROR(VLOOKUP(Financeiros[[#This Row],[Grupo Tarifário]],RefTabGrupoTarifa[],3,FALSE),0)</f>
        <v>11</v>
      </c>
      <c r="M77" s="1649">
        <f>IFERROR(VLOOKUP(Financeiros[[#This Row],[Grupo Tarifário]],RefTabGrupoTarifa[],4,FALSE),0)</f>
        <v>9</v>
      </c>
    </row>
    <row r="78" spans="3:13" ht="16.5">
      <c r="C78" s="1670" t="s">
        <v>2313</v>
      </c>
      <c r="D78" s="1667">
        <f ca="1">IFERROR(CVE!$I$9*H3,0)</f>
        <v>0</v>
      </c>
      <c r="E78" s="1630">
        <f t="shared" ca="1" si="1"/>
        <v>0</v>
      </c>
      <c r="F78" s="1637" t="s">
        <v>2240</v>
      </c>
      <c r="G78" s="1637" t="s">
        <v>2259</v>
      </c>
      <c r="H78" s="1649">
        <f>IFERROR(VLOOKUP(Financeiros[[#This Row],[Tipo]],RefTabTipo[],2,FALSE),0)</f>
        <v>22</v>
      </c>
      <c r="I78" s="1643">
        <f>IFERROR(VLOOKUP(Financeiros[[#This Row],[Tipo]],RefTabTipo[],3,FALSE),0)</f>
        <v>60</v>
      </c>
      <c r="J78" s="1643">
        <f>IFERROR(VLOOKUP(Financeiros[[#This Row],[Tipo]],RefTabTipo[],4,FALSE),0)</f>
        <v>106</v>
      </c>
      <c r="K78" s="1649">
        <f>IFERROR(VLOOKUP(Financeiros[[#This Row],[Grupo Tarifário]],RefTabGrupoTarifa[],2,FALSE),0)</f>
        <v>2</v>
      </c>
      <c r="L78" s="1649">
        <f>IFERROR(VLOOKUP(Financeiros[[#This Row],[Grupo Tarifário]],RefTabGrupoTarifa[],3,FALSE),0)</f>
        <v>9</v>
      </c>
      <c r="M78" s="1649">
        <f>IFERROR(VLOOKUP(Financeiros[[#This Row],[Grupo Tarifário]],RefTabGrupoTarifa[],4,FALSE),0)</f>
        <v>9</v>
      </c>
    </row>
    <row r="79" spans="3:13" ht="16.5">
      <c r="C79" s="1670" t="s">
        <v>2314</v>
      </c>
      <c r="D79" s="1667">
        <f ca="1">IFERROR(CVE!$I$9*H4,0)</f>
        <v>0</v>
      </c>
      <c r="E79" s="1630">
        <f t="shared" ca="1" si="1"/>
        <v>0</v>
      </c>
      <c r="F79" s="1637" t="s">
        <v>2240</v>
      </c>
      <c r="G79" s="1637" t="s">
        <v>2262</v>
      </c>
      <c r="H79" s="1649">
        <f>IFERROR(VLOOKUP(Financeiros[[#This Row],[Tipo]],RefTabTipo[],2,FALSE),0)</f>
        <v>22</v>
      </c>
      <c r="I79" s="1643">
        <f>IFERROR(VLOOKUP(Financeiros[[#This Row],[Tipo]],RefTabTipo[],3,FALSE),0)</f>
        <v>60</v>
      </c>
      <c r="J79" s="1643">
        <f>IFERROR(VLOOKUP(Financeiros[[#This Row],[Tipo]],RefTabTipo[],4,FALSE),0)</f>
        <v>106</v>
      </c>
      <c r="K79" s="1649">
        <f>IFERROR(VLOOKUP(Financeiros[[#This Row],[Grupo Tarifário]],RefTabGrupoTarifa[],2,FALSE),0)</f>
        <v>2</v>
      </c>
      <c r="L79" s="1649">
        <f>IFERROR(VLOOKUP(Financeiros[[#This Row],[Grupo Tarifário]],RefTabGrupoTarifa[],3,FALSE),0)</f>
        <v>8</v>
      </c>
      <c r="M79" s="1649">
        <f>IFERROR(VLOOKUP(Financeiros[[#This Row],[Grupo Tarifário]],RefTabGrupoTarifa[],4,FALSE),0)</f>
        <v>9</v>
      </c>
    </row>
    <row r="80" spans="3:13" ht="16.5">
      <c r="C80" s="1670" t="s">
        <v>2315</v>
      </c>
      <c r="D80" s="1667">
        <f ca="1">IFERROR(CVE!$I$9*H5,0)</f>
        <v>0</v>
      </c>
      <c r="E80" s="1630">
        <f t="shared" ca="1" si="1"/>
        <v>0</v>
      </c>
      <c r="F80" s="1637" t="s">
        <v>2240</v>
      </c>
      <c r="G80" s="1637" t="s">
        <v>2260</v>
      </c>
      <c r="H80" s="1649">
        <f>IFERROR(VLOOKUP(Financeiros[[#This Row],[Tipo]],RefTabTipo[],2,FALSE),0)</f>
        <v>22</v>
      </c>
      <c r="I80" s="1643">
        <f>IFERROR(VLOOKUP(Financeiros[[#This Row],[Tipo]],RefTabTipo[],3,FALSE),0)</f>
        <v>60</v>
      </c>
      <c r="J80" s="1643">
        <f>IFERROR(VLOOKUP(Financeiros[[#This Row],[Tipo]],RefTabTipo[],4,FALSE),0)</f>
        <v>106</v>
      </c>
      <c r="K80" s="1649">
        <f>IFERROR(VLOOKUP(Financeiros[[#This Row],[Grupo Tarifário]],RefTabGrupoTarifa[],2,FALSE),0)</f>
        <v>2</v>
      </c>
      <c r="L80" s="1649">
        <f>IFERROR(VLOOKUP(Financeiros[[#This Row],[Grupo Tarifário]],RefTabGrupoTarifa[],3,FALSE),0)</f>
        <v>10</v>
      </c>
      <c r="M80" s="1649">
        <f>IFERROR(VLOOKUP(Financeiros[[#This Row],[Grupo Tarifário]],RefTabGrupoTarifa[],4,FALSE),0)</f>
        <v>9</v>
      </c>
    </row>
    <row r="81" spans="3:13" ht="16.5">
      <c r="C81" s="1670" t="s">
        <v>2316</v>
      </c>
      <c r="D81" s="1667">
        <f ca="1">IFERROR(CVE!$I$9*H6,0)</f>
        <v>0</v>
      </c>
      <c r="E81" s="1630">
        <f t="shared" ca="1" si="1"/>
        <v>0</v>
      </c>
      <c r="F81" s="1637" t="s">
        <v>2240</v>
      </c>
      <c r="G81" s="1637" t="s">
        <v>2261</v>
      </c>
      <c r="H81" s="1649">
        <f>IFERROR(VLOOKUP(Financeiros[[#This Row],[Tipo]],RefTabTipo[],2,FALSE),0)</f>
        <v>22</v>
      </c>
      <c r="I81" s="1643">
        <f>IFERROR(VLOOKUP(Financeiros[[#This Row],[Tipo]],RefTabTipo[],3,FALSE),0)</f>
        <v>60</v>
      </c>
      <c r="J81" s="1643">
        <f>IFERROR(VLOOKUP(Financeiros[[#This Row],[Tipo]],RefTabTipo[],4,FALSE),0)</f>
        <v>106</v>
      </c>
      <c r="K81" s="1649">
        <f>IFERROR(VLOOKUP(Financeiros[[#This Row],[Grupo Tarifário]],RefTabGrupoTarifa[],2,FALSE),0)</f>
        <v>2</v>
      </c>
      <c r="L81" s="1649">
        <f>IFERROR(VLOOKUP(Financeiros[[#This Row],[Grupo Tarifário]],RefTabGrupoTarifa[],3,FALSE),0)</f>
        <v>24</v>
      </c>
      <c r="M81" s="1649">
        <f>IFERROR(VLOOKUP(Financeiros[[#This Row],[Grupo Tarifário]],RefTabGrupoTarifa[],4,FALSE),0)</f>
        <v>9</v>
      </c>
    </row>
    <row r="82" spans="3:13" ht="16.5">
      <c r="C82" s="1671" t="s">
        <v>2293</v>
      </c>
      <c r="D82" s="1775">
        <f ca="1">IFERROR(CVE!$I$15*H2,0)</f>
        <v>0</v>
      </c>
      <c r="E82" s="1631">
        <f t="shared" ca="1" si="1"/>
        <v>0</v>
      </c>
      <c r="F82" s="1638" t="s">
        <v>1307</v>
      </c>
      <c r="G82" s="1638" t="s">
        <v>2257</v>
      </c>
      <c r="H82" s="1650">
        <f>IFERROR(VLOOKUP(Financeiros[[#This Row],[Tipo]],RefTabTipo[],2,FALSE),0)</f>
        <v>22</v>
      </c>
      <c r="I82" s="1644">
        <f>IFERROR(VLOOKUP(Financeiros[[#This Row],[Tipo]],RefTabTipo[],3,FALSE),0)</f>
        <v>62</v>
      </c>
      <c r="J82" s="1644">
        <f>IFERROR(VLOOKUP(Financeiros[[#This Row],[Tipo]],RefTabTipo[],4,FALSE),0)</f>
        <v>220</v>
      </c>
      <c r="K82" s="1650">
        <f>IFERROR(VLOOKUP(Financeiros[[#This Row],[Grupo Tarifário]],RefTabGrupoTarifa[],2,FALSE),0)</f>
        <v>2</v>
      </c>
      <c r="L82" s="1650">
        <f>IFERROR(VLOOKUP(Financeiros[[#This Row],[Grupo Tarifário]],RefTabGrupoTarifa[],3,FALSE),0)</f>
        <v>11</v>
      </c>
      <c r="M82" s="1650">
        <f>IFERROR(VLOOKUP(Financeiros[[#This Row],[Grupo Tarifário]],RefTabGrupoTarifa[],4,FALSE),0)</f>
        <v>9</v>
      </c>
    </row>
    <row r="83" spans="3:13" ht="16.5">
      <c r="C83" s="1671" t="s">
        <v>2294</v>
      </c>
      <c r="D83" s="1775">
        <f ca="1">IFERROR(CVE!$I$15*H3,0)</f>
        <v>0</v>
      </c>
      <c r="E83" s="1632">
        <f t="shared" ca="1" si="1"/>
        <v>0</v>
      </c>
      <c r="F83" s="1638" t="s">
        <v>1307</v>
      </c>
      <c r="G83" s="1638" t="s">
        <v>2259</v>
      </c>
      <c r="H83" s="1651">
        <f>IFERROR(VLOOKUP(Financeiros[[#This Row],[Tipo]],RefTabTipo[],2,FALSE),0)</f>
        <v>22</v>
      </c>
      <c r="I83" s="1645">
        <f>IFERROR(VLOOKUP(Financeiros[[#This Row],[Tipo]],RefTabTipo[],3,FALSE),0)</f>
        <v>62</v>
      </c>
      <c r="J83" s="1645">
        <f>IFERROR(VLOOKUP(Financeiros[[#This Row],[Tipo]],RefTabTipo[],4,FALSE),0)</f>
        <v>220</v>
      </c>
      <c r="K83" s="1651">
        <f>IFERROR(VLOOKUP(Financeiros[[#This Row],[Grupo Tarifário]],RefTabGrupoTarifa[],2,FALSE),0)</f>
        <v>2</v>
      </c>
      <c r="L83" s="1651">
        <f>IFERROR(VLOOKUP(Financeiros[[#This Row],[Grupo Tarifário]],RefTabGrupoTarifa[],3,FALSE),0)</f>
        <v>9</v>
      </c>
      <c r="M83" s="1651">
        <f>IFERROR(VLOOKUP(Financeiros[[#This Row],[Grupo Tarifário]],RefTabGrupoTarifa[],4,FALSE),0)</f>
        <v>9</v>
      </c>
    </row>
    <row r="84" spans="3:13" ht="16.5">
      <c r="C84" s="1671" t="s">
        <v>2295</v>
      </c>
      <c r="D84" s="1775">
        <f ca="1">IFERROR(CVE!$I$15*H4,0)</f>
        <v>0</v>
      </c>
      <c r="E84" s="1632">
        <f t="shared" ca="1" si="1"/>
        <v>0</v>
      </c>
      <c r="F84" s="1638" t="s">
        <v>1307</v>
      </c>
      <c r="G84" s="1638" t="s">
        <v>2262</v>
      </c>
      <c r="H84" s="1651">
        <f>IFERROR(VLOOKUP(Financeiros[[#This Row],[Tipo]],RefTabTipo[],2,FALSE),0)</f>
        <v>22</v>
      </c>
      <c r="I84" s="1645">
        <f>IFERROR(VLOOKUP(Financeiros[[#This Row],[Tipo]],RefTabTipo[],3,FALSE),0)</f>
        <v>62</v>
      </c>
      <c r="J84" s="1645">
        <f>IFERROR(VLOOKUP(Financeiros[[#This Row],[Tipo]],RefTabTipo[],4,FALSE),0)</f>
        <v>220</v>
      </c>
      <c r="K84" s="1651">
        <f>IFERROR(VLOOKUP(Financeiros[[#This Row],[Grupo Tarifário]],RefTabGrupoTarifa[],2,FALSE),0)</f>
        <v>2</v>
      </c>
      <c r="L84" s="1651">
        <f>IFERROR(VLOOKUP(Financeiros[[#This Row],[Grupo Tarifário]],RefTabGrupoTarifa[],3,FALSE),0)</f>
        <v>8</v>
      </c>
      <c r="M84" s="1651">
        <f>IFERROR(VLOOKUP(Financeiros[[#This Row],[Grupo Tarifário]],RefTabGrupoTarifa[],4,FALSE),0)</f>
        <v>9</v>
      </c>
    </row>
    <row r="85" spans="3:13" ht="16.5">
      <c r="C85" s="1671" t="s">
        <v>2296</v>
      </c>
      <c r="D85" s="1775">
        <f ca="1">IFERROR(CVE!$I$15*H5,0)</f>
        <v>0</v>
      </c>
      <c r="E85" s="1632">
        <f t="shared" ca="1" si="1"/>
        <v>0</v>
      </c>
      <c r="F85" s="1638" t="s">
        <v>1307</v>
      </c>
      <c r="G85" s="1638" t="s">
        <v>2260</v>
      </c>
      <c r="H85" s="1651">
        <f>IFERROR(VLOOKUP(Financeiros[[#This Row],[Tipo]],RefTabTipo[],2,FALSE),0)</f>
        <v>22</v>
      </c>
      <c r="I85" s="1645">
        <f>IFERROR(VLOOKUP(Financeiros[[#This Row],[Tipo]],RefTabTipo[],3,FALSE),0)</f>
        <v>62</v>
      </c>
      <c r="J85" s="1645">
        <f>IFERROR(VLOOKUP(Financeiros[[#This Row],[Tipo]],RefTabTipo[],4,FALSE),0)</f>
        <v>220</v>
      </c>
      <c r="K85" s="1651">
        <f>IFERROR(VLOOKUP(Financeiros[[#This Row],[Grupo Tarifário]],RefTabGrupoTarifa[],2,FALSE),0)</f>
        <v>2</v>
      </c>
      <c r="L85" s="1651">
        <f>IFERROR(VLOOKUP(Financeiros[[#This Row],[Grupo Tarifário]],RefTabGrupoTarifa[],3,FALSE),0)</f>
        <v>10</v>
      </c>
      <c r="M85" s="1651">
        <f>IFERROR(VLOOKUP(Financeiros[[#This Row],[Grupo Tarifário]],RefTabGrupoTarifa[],4,FALSE),0)</f>
        <v>9</v>
      </c>
    </row>
    <row r="86" spans="3:13" ht="16.5">
      <c r="C86" s="1671" t="s">
        <v>2297</v>
      </c>
      <c r="D86" s="1775">
        <f ca="1">IFERROR(CVE!$I$15*H6,0)</f>
        <v>0</v>
      </c>
      <c r="E86" s="1632">
        <f t="shared" ca="1" si="1"/>
        <v>0</v>
      </c>
      <c r="F86" s="1638" t="s">
        <v>1307</v>
      </c>
      <c r="G86" s="1638" t="s">
        <v>2261</v>
      </c>
      <c r="H86" s="1651">
        <f>IFERROR(VLOOKUP(Financeiros[[#This Row],[Tipo]],RefTabTipo[],2,FALSE),0)</f>
        <v>22</v>
      </c>
      <c r="I86" s="1645">
        <f>IFERROR(VLOOKUP(Financeiros[[#This Row],[Tipo]],RefTabTipo[],3,FALSE),0)</f>
        <v>62</v>
      </c>
      <c r="J86" s="1645">
        <f>IFERROR(VLOOKUP(Financeiros[[#This Row],[Tipo]],RefTabTipo[],4,FALSE),0)</f>
        <v>220</v>
      </c>
      <c r="K86" s="1651">
        <f>IFERROR(VLOOKUP(Financeiros[[#This Row],[Grupo Tarifário]],RefTabGrupoTarifa[],2,FALSE),0)</f>
        <v>2</v>
      </c>
      <c r="L86" s="1651">
        <f>IFERROR(VLOOKUP(Financeiros[[#This Row],[Grupo Tarifário]],RefTabGrupoTarifa[],3,FALSE),0)</f>
        <v>24</v>
      </c>
      <c r="M86" s="1651">
        <f>IFERROR(VLOOKUP(Financeiros[[#This Row],[Grupo Tarifário]],RefTabGrupoTarifa[],4,FALSE),0)</f>
        <v>9</v>
      </c>
    </row>
    <row r="87" spans="3:13" ht="16.5">
      <c r="C87" s="1679" t="s">
        <v>2298</v>
      </c>
      <c r="D87" s="1775">
        <f ca="1">IFERROR(Energia!$K$66*H2,0)</f>
        <v>0</v>
      </c>
      <c r="E87" s="1680">
        <f t="shared" ca="1" si="1"/>
        <v>0</v>
      </c>
      <c r="F87" s="1638" t="s">
        <v>2278</v>
      </c>
      <c r="G87" s="1638" t="s">
        <v>2257</v>
      </c>
      <c r="H87" s="1651">
        <f>IFERROR(VLOOKUP(Financeiros[[#This Row],[Tipo]],RefTabTipo[],2,FALSE),0)</f>
        <v>22</v>
      </c>
      <c r="I87" s="1645">
        <f>IFERROR(VLOOKUP(Financeiros[[#This Row],[Tipo]],RefTabTipo[],3,FALSE),0)</f>
        <v>60</v>
      </c>
      <c r="J87" s="1645">
        <f>IFERROR(VLOOKUP(Financeiros[[#This Row],[Tipo]],RefTabTipo[],4,FALSE),0)</f>
        <v>220</v>
      </c>
      <c r="K87" s="1651">
        <f>IFERROR(VLOOKUP(Financeiros[[#This Row],[Grupo Tarifário]],RefTabGrupoTarifa[],2,FALSE),0)</f>
        <v>2</v>
      </c>
      <c r="L87" s="1651">
        <f>IFERROR(VLOOKUP(Financeiros[[#This Row],[Grupo Tarifário]],RefTabGrupoTarifa[],3,FALSE),0)</f>
        <v>11</v>
      </c>
      <c r="M87" s="1651">
        <f>IFERROR(VLOOKUP(Financeiros[[#This Row],[Grupo Tarifário]],RefTabGrupoTarifa[],4,FALSE),0)</f>
        <v>9</v>
      </c>
    </row>
    <row r="88" spans="3:13" ht="16.5">
      <c r="C88" s="1679" t="s">
        <v>2299</v>
      </c>
      <c r="D88" s="1775">
        <f ca="1">IFERROR(Energia!$K$66*H3,0)</f>
        <v>0</v>
      </c>
      <c r="E88" s="1680">
        <f t="shared" ca="1" si="1"/>
        <v>0</v>
      </c>
      <c r="F88" s="1638" t="s">
        <v>2278</v>
      </c>
      <c r="G88" s="1638" t="s">
        <v>2259</v>
      </c>
      <c r="H88" s="1651">
        <f>IFERROR(VLOOKUP(Financeiros[[#This Row],[Tipo]],RefTabTipo[],2,FALSE),0)</f>
        <v>22</v>
      </c>
      <c r="I88" s="1645">
        <f>IFERROR(VLOOKUP(Financeiros[[#This Row],[Tipo]],RefTabTipo[],3,FALSE),0)</f>
        <v>60</v>
      </c>
      <c r="J88" s="1645">
        <f>IFERROR(VLOOKUP(Financeiros[[#This Row],[Tipo]],RefTabTipo[],4,FALSE),0)</f>
        <v>220</v>
      </c>
      <c r="K88" s="1651">
        <f>IFERROR(VLOOKUP(Financeiros[[#This Row],[Grupo Tarifário]],RefTabGrupoTarifa[],2,FALSE),0)</f>
        <v>2</v>
      </c>
      <c r="L88" s="1651">
        <f>IFERROR(VLOOKUP(Financeiros[[#This Row],[Grupo Tarifário]],RefTabGrupoTarifa[],3,FALSE),0)</f>
        <v>9</v>
      </c>
      <c r="M88" s="1651">
        <f>IFERROR(VLOOKUP(Financeiros[[#This Row],[Grupo Tarifário]],RefTabGrupoTarifa[],4,FALSE),0)</f>
        <v>9</v>
      </c>
    </row>
    <row r="89" spans="3:13" ht="16.5">
      <c r="C89" s="1679" t="s">
        <v>2300</v>
      </c>
      <c r="D89" s="1775">
        <f ca="1">IFERROR(Energia!$K$66*H4,0)</f>
        <v>0</v>
      </c>
      <c r="E89" s="1680">
        <f t="shared" ca="1" si="1"/>
        <v>0</v>
      </c>
      <c r="F89" s="1638" t="s">
        <v>2278</v>
      </c>
      <c r="G89" s="1638" t="s">
        <v>2262</v>
      </c>
      <c r="H89" s="1651">
        <f>IFERROR(VLOOKUP(Financeiros[[#This Row],[Tipo]],RefTabTipo[],2,FALSE),0)</f>
        <v>22</v>
      </c>
      <c r="I89" s="1645">
        <f>IFERROR(VLOOKUP(Financeiros[[#This Row],[Tipo]],RefTabTipo[],3,FALSE),0)</f>
        <v>60</v>
      </c>
      <c r="J89" s="1645">
        <f>IFERROR(VLOOKUP(Financeiros[[#This Row],[Tipo]],RefTabTipo[],4,FALSE),0)</f>
        <v>220</v>
      </c>
      <c r="K89" s="1651">
        <f>IFERROR(VLOOKUP(Financeiros[[#This Row],[Grupo Tarifário]],RefTabGrupoTarifa[],2,FALSE),0)</f>
        <v>2</v>
      </c>
      <c r="L89" s="1651">
        <f>IFERROR(VLOOKUP(Financeiros[[#This Row],[Grupo Tarifário]],RefTabGrupoTarifa[],3,FALSE),0)</f>
        <v>8</v>
      </c>
      <c r="M89" s="1651">
        <f>IFERROR(VLOOKUP(Financeiros[[#This Row],[Grupo Tarifário]],RefTabGrupoTarifa[],4,FALSE),0)</f>
        <v>9</v>
      </c>
    </row>
    <row r="90" spans="3:13" ht="16.5">
      <c r="C90" s="1679" t="s">
        <v>2301</v>
      </c>
      <c r="D90" s="1775">
        <f ca="1">IFERROR(Energia!$K$66*H5,0)</f>
        <v>0</v>
      </c>
      <c r="E90" s="1680">
        <f t="shared" ca="1" si="1"/>
        <v>0</v>
      </c>
      <c r="F90" s="1638" t="s">
        <v>2278</v>
      </c>
      <c r="G90" s="1638" t="s">
        <v>2260</v>
      </c>
      <c r="H90" s="1651">
        <f>IFERROR(VLOOKUP(Financeiros[[#This Row],[Tipo]],RefTabTipo[],2,FALSE),0)</f>
        <v>22</v>
      </c>
      <c r="I90" s="1645">
        <f>IFERROR(VLOOKUP(Financeiros[[#This Row],[Tipo]],RefTabTipo[],3,FALSE),0)</f>
        <v>60</v>
      </c>
      <c r="J90" s="1645">
        <f>IFERROR(VLOOKUP(Financeiros[[#This Row],[Tipo]],RefTabTipo[],4,FALSE),0)</f>
        <v>220</v>
      </c>
      <c r="K90" s="1651">
        <f>IFERROR(VLOOKUP(Financeiros[[#This Row],[Grupo Tarifário]],RefTabGrupoTarifa[],2,FALSE),0)</f>
        <v>2</v>
      </c>
      <c r="L90" s="1651">
        <f>IFERROR(VLOOKUP(Financeiros[[#This Row],[Grupo Tarifário]],RefTabGrupoTarifa[],3,FALSE),0)</f>
        <v>10</v>
      </c>
      <c r="M90" s="1651">
        <f>IFERROR(VLOOKUP(Financeiros[[#This Row],[Grupo Tarifário]],RefTabGrupoTarifa[],4,FALSE),0)</f>
        <v>9</v>
      </c>
    </row>
    <row r="91" spans="3:13" ht="16.5">
      <c r="C91" s="1679" t="s">
        <v>2302</v>
      </c>
      <c r="D91" s="1775">
        <f ca="1">IFERROR(Energia!$K$66*H6,0)</f>
        <v>0</v>
      </c>
      <c r="E91" s="1680">
        <f t="shared" ca="1" si="1"/>
        <v>0</v>
      </c>
      <c r="F91" s="1638" t="s">
        <v>2278</v>
      </c>
      <c r="G91" s="1638" t="s">
        <v>2261</v>
      </c>
      <c r="H91" s="1651">
        <f>IFERROR(VLOOKUP(Financeiros[[#This Row],[Tipo]],RefTabTipo[],2,FALSE),0)</f>
        <v>22</v>
      </c>
      <c r="I91" s="1645">
        <f>IFERROR(VLOOKUP(Financeiros[[#This Row],[Tipo]],RefTabTipo[],3,FALSE),0)</f>
        <v>60</v>
      </c>
      <c r="J91" s="1645">
        <f>IFERROR(VLOOKUP(Financeiros[[#This Row],[Tipo]],RefTabTipo[],4,FALSE),0)</f>
        <v>220</v>
      </c>
      <c r="K91" s="1651">
        <f>IFERROR(VLOOKUP(Financeiros[[#This Row],[Grupo Tarifário]],RefTabGrupoTarifa[],2,FALSE),0)</f>
        <v>2</v>
      </c>
      <c r="L91" s="1651">
        <f>IFERROR(VLOOKUP(Financeiros[[#This Row],[Grupo Tarifário]],RefTabGrupoTarifa[],3,FALSE),0)</f>
        <v>24</v>
      </c>
      <c r="M91" s="1651">
        <f>IFERROR(VLOOKUP(Financeiros[[#This Row],[Grupo Tarifário]],RefTabGrupoTarifa[],4,FALSE),0)</f>
        <v>9</v>
      </c>
    </row>
    <row r="92" spans="3:13" ht="16.5">
      <c r="C92" s="1625" t="s">
        <v>2400</v>
      </c>
      <c r="D92" s="1450"/>
      <c r="E92" s="1627">
        <f t="shared" ca="1" si="1"/>
        <v>0</v>
      </c>
      <c r="F92" s="1673"/>
      <c r="G92" s="1673"/>
      <c r="H92" s="1675">
        <f>IFERROR(VLOOKUP(Financeiros[[#This Row],[Tipo]],RefTabTipo[],2,FALSE),0)</f>
        <v>0</v>
      </c>
      <c r="I92" s="1640">
        <f>IFERROR(VLOOKUP(Financeiros[[#This Row],[Tipo]],RefTabTipo[],3,FALSE),0)</f>
        <v>0</v>
      </c>
      <c r="J92" s="1640">
        <f>IFERROR(VLOOKUP(Financeiros[[#This Row],[Tipo]],RefTabTipo[],4,FALSE),0)</f>
        <v>0</v>
      </c>
      <c r="K92" s="1675">
        <f>IFERROR(VLOOKUP(Financeiros[[#This Row],[Grupo Tarifário]],RefTabGrupoTarifa[],2,FALSE),0)</f>
        <v>0</v>
      </c>
      <c r="L92" s="1675">
        <f>IFERROR(VLOOKUP(Financeiros[[#This Row],[Grupo Tarifário]],RefTabGrupoTarifa[],3,FALSE),0)</f>
        <v>0</v>
      </c>
      <c r="M92" s="1675">
        <f>IFERROR(VLOOKUP(Financeiros[[#This Row],[Grupo Tarifário]],RefTabGrupoTarifa[],4,FALSE),0)</f>
        <v>0</v>
      </c>
    </row>
    <row r="93" spans="3:13" ht="16.5">
      <c r="C93" s="1625" t="s">
        <v>2401</v>
      </c>
      <c r="D93" s="1450"/>
      <c r="E93" s="1627">
        <f t="shared" ca="1" si="1"/>
        <v>0</v>
      </c>
      <c r="F93" s="1673"/>
      <c r="G93" s="1673"/>
      <c r="H93" s="1675">
        <f>IFERROR(VLOOKUP(Financeiros[[#This Row],[Tipo]],RefTabTipo[],2,FALSE),0)</f>
        <v>0</v>
      </c>
      <c r="I93" s="1640">
        <f>IFERROR(VLOOKUP(Financeiros[[#This Row],[Tipo]],RefTabTipo[],3,FALSE),0)</f>
        <v>0</v>
      </c>
      <c r="J93" s="1640">
        <f>IFERROR(VLOOKUP(Financeiros[[#This Row],[Tipo]],RefTabTipo[],4,FALSE),0)</f>
        <v>0</v>
      </c>
      <c r="K93" s="1675">
        <f>IFERROR(VLOOKUP(Financeiros[[#This Row],[Grupo Tarifário]],RefTabGrupoTarifa[],2,FALSE),0)</f>
        <v>0</v>
      </c>
      <c r="L93" s="1675">
        <f>IFERROR(VLOOKUP(Financeiros[[#This Row],[Grupo Tarifário]],RefTabGrupoTarifa[],3,FALSE),0)</f>
        <v>0</v>
      </c>
      <c r="M93" s="1675">
        <f>IFERROR(VLOOKUP(Financeiros[[#This Row],[Grupo Tarifário]],RefTabGrupoTarifa[],4,FALSE),0)</f>
        <v>0</v>
      </c>
    </row>
    <row r="94" spans="3:13" ht="16.5">
      <c r="C94" s="1776" t="s">
        <v>2402</v>
      </c>
      <c r="D94" s="1450"/>
      <c r="E94" s="1627">
        <f t="shared" ca="1" si="1"/>
        <v>0</v>
      </c>
      <c r="F94" s="1673"/>
      <c r="G94" s="1682"/>
      <c r="H94" s="1675">
        <f>IFERROR(VLOOKUP(Financeiros[[#This Row],[Tipo]],RefTabTipo[],2,FALSE),0)</f>
        <v>0</v>
      </c>
      <c r="I94" s="1640">
        <f>IFERROR(VLOOKUP(Financeiros[[#This Row],[Tipo]],RefTabTipo[],3,FALSE),0)</f>
        <v>0</v>
      </c>
      <c r="J94" s="1640">
        <f>IFERROR(VLOOKUP(Financeiros[[#This Row],[Tipo]],RefTabTipo[],4,FALSE),0)</f>
        <v>0</v>
      </c>
      <c r="K94" s="1675">
        <f>IFERROR(VLOOKUP(Financeiros[[#This Row],[Grupo Tarifário]],RefTabGrupoTarifa[],2,FALSE),0)</f>
        <v>0</v>
      </c>
      <c r="L94" s="1675">
        <f>IFERROR(VLOOKUP(Financeiros[[#This Row],[Grupo Tarifário]],RefTabGrupoTarifa[],3,FALSE),0)</f>
        <v>0</v>
      </c>
      <c r="M94" s="1675">
        <f>IFERROR(VLOOKUP(Financeiros[[#This Row],[Grupo Tarifário]],RefTabGrupoTarifa[],4,FALSE),0)</f>
        <v>0</v>
      </c>
    </row>
    <row r="95" spans="3:13" ht="16.5">
      <c r="C95" s="1625" t="s">
        <v>2403</v>
      </c>
      <c r="D95" s="1450"/>
      <c r="E95" s="1627">
        <f t="shared" ca="1" si="1"/>
        <v>0</v>
      </c>
      <c r="F95" s="1673"/>
      <c r="G95" s="1673"/>
      <c r="H95" s="1675">
        <f>IFERROR(VLOOKUP(Financeiros[[#This Row],[Tipo]],RefTabTipo[],2,FALSE),0)</f>
        <v>0</v>
      </c>
      <c r="I95" s="1640">
        <f>IFERROR(VLOOKUP(Financeiros[[#This Row],[Tipo]],RefTabTipo[],3,FALSE),0)</f>
        <v>0</v>
      </c>
      <c r="J95" s="1640">
        <f>IFERROR(VLOOKUP(Financeiros[[#This Row],[Tipo]],RefTabTipo[],4,FALSE),0)</f>
        <v>0</v>
      </c>
      <c r="K95" s="1675">
        <f>IFERROR(VLOOKUP(Financeiros[[#This Row],[Grupo Tarifário]],RefTabGrupoTarifa[],2,FALSE),0)</f>
        <v>0</v>
      </c>
      <c r="L95" s="1675">
        <f>IFERROR(VLOOKUP(Financeiros[[#This Row],[Grupo Tarifário]],RefTabGrupoTarifa[],3,FALSE),0)</f>
        <v>0</v>
      </c>
      <c r="M95" s="1675">
        <f>IFERROR(VLOOKUP(Financeiros[[#This Row],[Grupo Tarifário]],RefTabGrupoTarifa[],4,FALSE),0)</f>
        <v>0</v>
      </c>
    </row>
    <row r="96" spans="3:13" ht="16.5">
      <c r="C96" s="1625" t="s">
        <v>2404</v>
      </c>
      <c r="D96" s="1450"/>
      <c r="E96" s="1627">
        <f t="shared" ca="1" si="1"/>
        <v>0</v>
      </c>
      <c r="F96" s="1673"/>
      <c r="G96" s="1673"/>
      <c r="H96" s="1675">
        <f>IFERROR(VLOOKUP(Financeiros[[#This Row],[Tipo]],RefTabTipo[],2,FALSE),0)</f>
        <v>0</v>
      </c>
      <c r="I96" s="1640">
        <f>IFERROR(VLOOKUP(Financeiros[[#This Row],[Tipo]],RefTabTipo[],3,FALSE),0)</f>
        <v>0</v>
      </c>
      <c r="J96" s="1640">
        <f>IFERROR(VLOOKUP(Financeiros[[#This Row],[Tipo]],RefTabTipo[],4,FALSE),0)</f>
        <v>0</v>
      </c>
      <c r="K96" s="1675">
        <f>IFERROR(VLOOKUP(Financeiros[[#This Row],[Grupo Tarifário]],RefTabGrupoTarifa[],2,FALSE),0)</f>
        <v>0</v>
      </c>
      <c r="L96" s="1675">
        <f>IFERROR(VLOOKUP(Financeiros[[#This Row],[Grupo Tarifário]],RefTabGrupoTarifa[],3,FALSE),0)</f>
        <v>0</v>
      </c>
      <c r="M96" s="1675">
        <f>IFERROR(VLOOKUP(Financeiros[[#This Row],[Grupo Tarifário]],RefTabGrupoTarifa[],4,FALSE),0)</f>
        <v>0</v>
      </c>
    </row>
    <row r="97" spans="3:13" ht="16.5">
      <c r="C97" s="1625" t="s">
        <v>2405</v>
      </c>
      <c r="D97" s="1450"/>
      <c r="E97" s="1627">
        <f t="shared" ca="1" si="1"/>
        <v>0</v>
      </c>
      <c r="F97" s="1673"/>
      <c r="G97" s="1673"/>
      <c r="H97" s="1675">
        <f>IFERROR(VLOOKUP(Financeiros[[#This Row],[Tipo]],RefTabTipo[],2,FALSE),0)</f>
        <v>0</v>
      </c>
      <c r="I97" s="1640">
        <f>IFERROR(VLOOKUP(Financeiros[[#This Row],[Tipo]],RefTabTipo[],3,FALSE),0)</f>
        <v>0</v>
      </c>
      <c r="J97" s="1640">
        <f>IFERROR(VLOOKUP(Financeiros[[#This Row],[Tipo]],RefTabTipo[],4,FALSE),0)</f>
        <v>0</v>
      </c>
      <c r="K97" s="1675">
        <f>IFERROR(VLOOKUP(Financeiros[[#This Row],[Grupo Tarifário]],RefTabGrupoTarifa[],2,FALSE),0)</f>
        <v>0</v>
      </c>
      <c r="L97" s="1675">
        <f>IFERROR(VLOOKUP(Financeiros[[#This Row],[Grupo Tarifário]],RefTabGrupoTarifa[],3,FALSE),0)</f>
        <v>0</v>
      </c>
      <c r="M97" s="1675">
        <f>IFERROR(VLOOKUP(Financeiros[[#This Row],[Grupo Tarifário]],RefTabGrupoTarifa[],4,FALSE),0)</f>
        <v>0</v>
      </c>
    </row>
    <row r="98" spans="3:13" ht="16.5">
      <c r="C98" s="1625"/>
      <c r="D98" s="1450"/>
      <c r="E98" s="1627">
        <f t="shared" ca="1" si="1"/>
        <v>0</v>
      </c>
      <c r="F98" s="1673"/>
      <c r="G98" s="1673"/>
      <c r="H98" s="1675">
        <f>IFERROR(VLOOKUP(Financeiros[[#This Row],[Tipo]],RefTabTipo[],2,FALSE),0)</f>
        <v>0</v>
      </c>
      <c r="I98" s="1640">
        <f>IFERROR(VLOOKUP(Financeiros[[#This Row],[Tipo]],RefTabTipo[],3,FALSE),0)</f>
        <v>0</v>
      </c>
      <c r="J98" s="1640">
        <f>IFERROR(VLOOKUP(Financeiros[[#This Row],[Tipo]],RefTabTipo[],4,FALSE),0)</f>
        <v>0</v>
      </c>
      <c r="K98" s="1675">
        <f>IFERROR(VLOOKUP(Financeiros[[#This Row],[Grupo Tarifário]],RefTabGrupoTarifa[],2,FALSE),0)</f>
        <v>0</v>
      </c>
      <c r="L98" s="1675">
        <f>IFERROR(VLOOKUP(Financeiros[[#This Row],[Grupo Tarifário]],RefTabGrupoTarifa[],3,FALSE),0)</f>
        <v>0</v>
      </c>
      <c r="M98" s="1675">
        <f>IFERROR(VLOOKUP(Financeiros[[#This Row],[Grupo Tarifário]],RefTabGrupoTarifa[],4,FALSE),0)</f>
        <v>0</v>
      </c>
    </row>
    <row r="99" spans="3:13" ht="16.5">
      <c r="C99" s="1625"/>
      <c r="D99" s="1450"/>
      <c r="E99" s="1627">
        <f t="shared" ca="1" si="1"/>
        <v>0</v>
      </c>
      <c r="F99" s="1673"/>
      <c r="G99" s="1673"/>
      <c r="H99" s="1675">
        <f>IFERROR(VLOOKUP(Financeiros[[#This Row],[Tipo]],RefTabTipo[],2,FALSE),0)</f>
        <v>0</v>
      </c>
      <c r="I99" s="1640">
        <f>IFERROR(VLOOKUP(Financeiros[[#This Row],[Tipo]],RefTabTipo[],3,FALSE),0)</f>
        <v>0</v>
      </c>
      <c r="J99" s="1640">
        <f>IFERROR(VLOOKUP(Financeiros[[#This Row],[Tipo]],RefTabTipo[],4,FALSE),0)</f>
        <v>0</v>
      </c>
      <c r="K99" s="1675">
        <f>IFERROR(VLOOKUP(Financeiros[[#This Row],[Grupo Tarifário]],RefTabGrupoTarifa[],2,FALSE),0)</f>
        <v>0</v>
      </c>
      <c r="L99" s="1675">
        <f>IFERROR(VLOOKUP(Financeiros[[#This Row],[Grupo Tarifário]],RefTabGrupoTarifa[],3,FALSE),0)</f>
        <v>0</v>
      </c>
      <c r="M99" s="1675">
        <f>IFERROR(VLOOKUP(Financeiros[[#This Row],[Grupo Tarifário]],RefTabGrupoTarifa[],4,FALSE),0)</f>
        <v>0</v>
      </c>
    </row>
    <row r="100" spans="3:13" ht="16.5">
      <c r="C100" s="1625"/>
      <c r="D100" s="1450"/>
      <c r="E100" s="1627">
        <f t="shared" ca="1" si="1"/>
        <v>0</v>
      </c>
      <c r="F100" s="1673"/>
      <c r="G100" s="1673"/>
      <c r="H100" s="1675">
        <f>IFERROR(VLOOKUP(Financeiros[[#This Row],[Tipo]],RefTabTipo[],2,FALSE),0)</f>
        <v>0</v>
      </c>
      <c r="I100" s="1640">
        <f>IFERROR(VLOOKUP(Financeiros[[#This Row],[Tipo]],RefTabTipo[],3,FALSE),0)</f>
        <v>0</v>
      </c>
      <c r="J100" s="1640">
        <f>IFERROR(VLOOKUP(Financeiros[[#This Row],[Tipo]],RefTabTipo[],4,FALSE),0)</f>
        <v>0</v>
      </c>
      <c r="K100" s="1675">
        <f>IFERROR(VLOOKUP(Financeiros[[#This Row],[Grupo Tarifário]],RefTabGrupoTarifa[],2,FALSE),0)</f>
        <v>0</v>
      </c>
      <c r="L100" s="1675">
        <f>IFERROR(VLOOKUP(Financeiros[[#This Row],[Grupo Tarifário]],RefTabGrupoTarifa[],3,FALSE),0)</f>
        <v>0</v>
      </c>
      <c r="M100" s="1675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I11" sqref="I11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2" t="s">
        <v>2284</v>
      </c>
      <c r="B1" s="1228"/>
      <c r="C1" s="1228"/>
      <c r="D1" s="1228"/>
      <c r="E1" s="933"/>
      <c r="F1" s="933"/>
      <c r="G1" s="1131" t="s">
        <v>873</v>
      </c>
      <c r="H1" s="1132">
        <f ca="1">LnkTXTIRTEco</f>
        <v>1.49E-2</v>
      </c>
    </row>
    <row r="2" spans="1:8" ht="16.5">
      <c r="A2" s="136" t="str">
        <f>CAPA!C9</f>
        <v>Coopera</v>
      </c>
      <c r="B2" s="70"/>
      <c r="C2" s="70"/>
      <c r="D2" s="70"/>
      <c r="E2" s="70"/>
      <c r="F2" s="70"/>
      <c r="G2" s="120" t="s">
        <v>877</v>
      </c>
      <c r="H2" s="121">
        <f ca="1">LnkTXTIRTTotal</f>
        <v>6.0000000000000001E-3</v>
      </c>
    </row>
    <row r="7" spans="1:8">
      <c r="A7" s="1842" t="s">
        <v>2045</v>
      </c>
      <c r="B7" s="1842"/>
      <c r="C7" s="1842"/>
      <c r="D7" s="1842"/>
      <c r="E7" s="1842"/>
      <c r="F7" s="1842"/>
      <c r="G7" s="1842"/>
      <c r="H7" s="1842"/>
    </row>
    <row r="9" spans="1:8">
      <c r="A9" s="9" t="s">
        <v>2283</v>
      </c>
    </row>
    <row r="12" spans="1:8">
      <c r="A12" s="686" t="s">
        <v>192</v>
      </c>
      <c r="B12" s="296" t="s">
        <v>2040</v>
      </c>
    </row>
    <row r="13" spans="1:8">
      <c r="A13" s="686" t="s">
        <v>952</v>
      </c>
      <c r="B13" s="1729"/>
    </row>
    <row r="14" spans="1:8">
      <c r="A14" s="686" t="s">
        <v>971</v>
      </c>
      <c r="B14" s="1729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6" t="s">
        <v>769</v>
      </c>
      <c r="B17" s="1730">
        <f>B18+B19</f>
        <v>0</v>
      </c>
      <c r="C17" s="1730">
        <f>Indexador!R49</f>
        <v>0</v>
      </c>
      <c r="D17" s="1730">
        <f>C17*85%</f>
        <v>0</v>
      </c>
      <c r="E17" s="1730">
        <f>SUM(B17:D17)</f>
        <v>0</v>
      </c>
    </row>
    <row r="18" spans="1:8">
      <c r="A18" s="686" t="s">
        <v>952</v>
      </c>
      <c r="B18" s="1730">
        <f>Indexador!V49</f>
        <v>0</v>
      </c>
      <c r="C18" s="1730">
        <f>IFERROR($C$17*C41,0)</f>
        <v>0</v>
      </c>
      <c r="D18" s="1730">
        <f t="shared" ref="D18:D19" si="0">C18*85%</f>
        <v>0</v>
      </c>
      <c r="E18" s="1730">
        <f t="shared" ref="E18:E19" si="1">SUM(B18:D18)</f>
        <v>0</v>
      </c>
    </row>
    <row r="19" spans="1:8">
      <c r="A19" s="686" t="s">
        <v>971</v>
      </c>
      <c r="B19" s="1730">
        <f>Indexador!T49</f>
        <v>0</v>
      </c>
      <c r="C19" s="1730">
        <f>IFERROR($C$17*D41,0)</f>
        <v>0</v>
      </c>
      <c r="D19" s="1730">
        <f t="shared" si="0"/>
        <v>0</v>
      </c>
      <c r="E19" s="1730">
        <f t="shared" si="1"/>
        <v>0</v>
      </c>
    </row>
    <row r="24" spans="1:8">
      <c r="A24" s="1842" t="s">
        <v>2198</v>
      </c>
      <c r="B24" s="1842"/>
      <c r="C24" s="1842"/>
      <c r="D24" s="1842"/>
      <c r="E24" s="1842"/>
      <c r="F24" s="1842"/>
      <c r="G24" s="1842"/>
      <c r="H24" s="1842"/>
    </row>
    <row r="26" spans="1:8">
      <c r="E26" s="232"/>
      <c r="F26" s="232"/>
      <c r="G26" s="232"/>
      <c r="H26" s="232"/>
    </row>
    <row r="27" spans="1:8">
      <c r="B27" s="296" t="s">
        <v>2199</v>
      </c>
      <c r="C27" s="296" t="s">
        <v>2197</v>
      </c>
      <c r="D27" s="296" t="s">
        <v>2195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0</v>
      </c>
      <c r="D28" s="232">
        <f>SUMIF(FaturasT!$I:$I,'Tributos suprimento'!$B28,FaturasT!AB:AB)</f>
        <v>3138460.6966999997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0</v>
      </c>
      <c r="D29" s="232">
        <f>SUMIF(FaturasT!$I:$I,'Tributos suprimento'!$B29,FaturasT!AB:AB)</f>
        <v>3666536.0154499994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0</v>
      </c>
      <c r="D30" s="232">
        <f>IF(SUMIF(FaturasT!$I:$I,'Tributos suprimento'!$B30,FaturasT!AB:AB)=0,D29,SUMIF(FaturasT!$I:$I,'Tributos suprimento'!$B30,FaturasT!AB:AB))</f>
        <v>3775797.7690999997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0</v>
      </c>
      <c r="D31" s="232">
        <f>IF(SUMIF(FaturasT!$I:$I,'Tributos suprimento'!$B31,FaturasT!AB:AB)=0,D30,SUMIF(FaturasT!$I:$I,'Tributos suprimento'!$B31,FaturasT!AB:AB))</f>
        <v>3721479.6037999997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0</v>
      </c>
      <c r="D32" s="232">
        <f>IF(SUMIF(FaturasT!$I:$I,'Tributos suprimento'!$B32,FaturasT!AB:AB)=0,D31,SUMIF(FaturasT!$I:$I,'Tributos suprimento'!$B32,FaturasT!AB:AB))</f>
        <v>4077464.6492999997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0</v>
      </c>
      <c r="D33" s="232">
        <f>IF(SUMIF(FaturasT!$I:$I,'Tributos suprimento'!$B33,FaturasT!AB:AB)=0,D32,SUMIF(FaturasT!$I:$I,'Tributos suprimento'!$B33,FaturasT!AB:AB))</f>
        <v>3857822.0855999999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0</v>
      </c>
      <c r="D34" s="232">
        <f>IF(SUMIF(FaturasT!$I:$I,'Tributos suprimento'!$B34,FaturasT!AB:AB)=0,D33,SUMIF(FaturasT!$I:$I,'Tributos suprimento'!$B34,FaturasT!AB:AB))</f>
        <v>4153022.5358999996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0</v>
      </c>
      <c r="D35" s="232">
        <f>IF(SUMIF(FaturasT!$I:$I,'Tributos suprimento'!$B35,FaturasT!AB:AB)=0,D34,SUMIF(FaturasT!$I:$I,'Tributos suprimento'!$B35,FaturasT!AB:AB))</f>
        <v>3628809.3512999997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0</v>
      </c>
      <c r="D36" s="232">
        <f>IF(SUMIF(FaturasT!$I:$I,'Tributos suprimento'!$B36,FaturasT!AB:AB)=0,D35,SUMIF(FaturasT!$I:$I,'Tributos suprimento'!$B36,FaturasT!AB:AB))</f>
        <v>3771882.7415499995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0</v>
      </c>
      <c r="D37" s="232">
        <f>IF(SUMIF(FaturasT!$I:$I,'Tributos suprimento'!$B37,FaturasT!AB:AB)=0,D36,SUMIF(FaturasT!$I:$I,'Tributos suprimento'!$B37,FaturasT!AB:AB))</f>
        <v>3610702.2685999996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0</v>
      </c>
      <c r="D38" s="232">
        <f>IF(SUMIF(FaturasT!$I:$I,'Tributos suprimento'!$B38,FaturasT!AB:AB)=0,D37,SUMIF(FaturasT!$I:$I,'Tributos suprimento'!$B38,FaturasT!AB:AB))</f>
        <v>3622587.6186499996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0</v>
      </c>
      <c r="D39" s="232">
        <f>IF(SUMIF(FaturasT!$I:$I,'Tributos suprimento'!$B39,FaturasT!AB:AB)=0,D38,SUMIF(FaturasT!$I:$I,'Tributos suprimento'!$B39,FaturasT!AB:AB))</f>
        <v>3622587.6186499996</v>
      </c>
    </row>
    <row r="40" spans="2:8">
      <c r="B40" s="17" t="s">
        <v>769</v>
      </c>
      <c r="C40" s="749">
        <f>SUM(C28:C39)</f>
        <v>0</v>
      </c>
      <c r="D40" s="749">
        <f>SUM(D28:D39)</f>
        <v>44647152.954599991</v>
      </c>
    </row>
    <row r="41" spans="2:8">
      <c r="B41" s="1727" t="s">
        <v>2196</v>
      </c>
      <c r="C41" s="1728">
        <f>C40/($C$40+$D$40)</f>
        <v>0</v>
      </c>
      <c r="D41" s="1728">
        <f>D40/($C$40+$D$40)</f>
        <v>1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4" customWidth="1"/>
    <col min="2" max="2" width="11.42578125" style="1524" bestFit="1" customWidth="1"/>
    <col min="3" max="3" width="19.28515625" style="1524" customWidth="1"/>
    <col min="4" max="4" width="17.7109375" style="1524" customWidth="1"/>
    <col min="5" max="5" width="13.7109375" style="1524" customWidth="1"/>
    <col min="6" max="8" width="14.7109375" style="1524" customWidth="1"/>
    <col min="9" max="9" width="16.42578125" style="1524" customWidth="1"/>
    <col min="10" max="10" width="19.5703125" style="1524" customWidth="1"/>
    <col min="11" max="18" width="15.7109375" style="1524" customWidth="1"/>
    <col min="19" max="40" width="9" style="1524" customWidth="1"/>
    <col min="41" max="16384" width="9.140625" style="1524"/>
  </cols>
  <sheetData>
    <row r="1" spans="2:24" ht="14.1" customHeight="1"/>
    <row r="2" spans="2:24" ht="14.1" customHeight="1"/>
    <row r="3" spans="2:24" ht="42" customHeight="1">
      <c r="B3" s="1525" t="s">
        <v>2134</v>
      </c>
      <c r="C3" s="1526"/>
      <c r="D3" s="1527" t="s">
        <v>2135</v>
      </c>
      <c r="E3" s="1528" t="s">
        <v>2136</v>
      </c>
      <c r="F3" s="1526"/>
      <c r="G3" s="1527" t="s">
        <v>2137</v>
      </c>
      <c r="H3" s="1527" t="s">
        <v>2138</v>
      </c>
      <c r="I3" s="1527" t="s">
        <v>2139</v>
      </c>
      <c r="J3" s="1527" t="s">
        <v>2140</v>
      </c>
      <c r="K3" s="1527" t="s">
        <v>2141</v>
      </c>
      <c r="L3" s="1527" t="s">
        <v>2142</v>
      </c>
      <c r="M3" s="1527" t="s">
        <v>2143</v>
      </c>
      <c r="N3" s="1527" t="s">
        <v>2144</v>
      </c>
      <c r="O3" s="1527" t="s">
        <v>2145</v>
      </c>
      <c r="P3" s="1527" t="s">
        <v>2146</v>
      </c>
      <c r="Q3" s="1527" t="s">
        <v>2147</v>
      </c>
      <c r="R3" s="1529" t="s">
        <v>2148</v>
      </c>
    </row>
    <row r="4" spans="2:24" ht="14.1" customHeight="1">
      <c r="B4" s="1530" t="s">
        <v>2149</v>
      </c>
      <c r="C4" s="1530"/>
      <c r="D4" s="1530"/>
      <c r="E4" s="1531" t="s">
        <v>114</v>
      </c>
      <c r="F4" s="1532"/>
      <c r="G4" s="1530">
        <v>0</v>
      </c>
      <c r="H4" s="1533">
        <f>D4+G4</f>
        <v>0</v>
      </c>
      <c r="I4" s="1534">
        <f>+D6</f>
        <v>0</v>
      </c>
      <c r="J4" s="1534">
        <f>+F27</f>
        <v>0</v>
      </c>
      <c r="K4" s="1535"/>
      <c r="L4" s="1536">
        <f>K4*VLOOKUP(SAS_RA0_DataFim,Índices!$B$6:$F$50000,5,0)/VLOOKUP(DATE(YEAR(SAS_RA0_DataFim)-2,MONTH(CAPA!C15),1),Índices!$B$6:$F$50000,5,0)</f>
        <v>0</v>
      </c>
      <c r="M4" s="1530"/>
      <c r="N4" s="1534">
        <f>M4*VLOOKUP(SAS_RA0_DataFim,Índices!$B$6:$F$50000,5,0)/VLOOKUP(DATE(YEAR(SAS_RA0_DataFim)-1,MONTH(SAS_RA0_DataFim),1),Índices!$B$6:$F$50000,5,0)</f>
        <v>0</v>
      </c>
      <c r="O4" s="1534">
        <f>G27</f>
        <v>0</v>
      </c>
      <c r="P4" s="1534">
        <f>J4+L4+N4-O4</f>
        <v>0</v>
      </c>
      <c r="Q4" s="1534">
        <f>IF(I4*12&gt;(D4+K4+M4-P4),D4+K4+M4-P4,I4*12)</f>
        <v>0</v>
      </c>
      <c r="R4" s="1537">
        <f>P4+Q4</f>
        <v>0</v>
      </c>
    </row>
    <row r="5" spans="2:24" ht="14.1" customHeight="1"/>
    <row r="6" spans="2:24" ht="14.1" customHeight="1">
      <c r="B6" s="1538" t="s">
        <v>2150</v>
      </c>
      <c r="C6" s="1539"/>
      <c r="D6" s="1540"/>
      <c r="N6" s="1541"/>
    </row>
    <row r="7" spans="2:24" ht="14.1" customHeight="1"/>
    <row r="8" spans="2:24" ht="42" customHeight="1">
      <c r="B8" s="1525" t="s">
        <v>34</v>
      </c>
      <c r="C8" s="1527" t="s">
        <v>2151</v>
      </c>
      <c r="D8" s="1527" t="s">
        <v>2152</v>
      </c>
      <c r="E8" s="1527" t="s">
        <v>2153</v>
      </c>
      <c r="F8" s="1527" t="s">
        <v>2154</v>
      </c>
      <c r="G8" s="1527" t="s">
        <v>2155</v>
      </c>
      <c r="H8" s="1527" t="s">
        <v>2156</v>
      </c>
    </row>
    <row r="9" spans="2:24" ht="14.1" customHeight="1">
      <c r="B9" s="1542">
        <v>44197</v>
      </c>
      <c r="C9" s="1543"/>
      <c r="D9" s="1544"/>
      <c r="E9" s="1545"/>
      <c r="F9" s="1546">
        <f>C9*VLOOKUP(SAS_RA0_DataFim,Índices!$B$6:$F$50000,5,0)/VLOOKUP(DATE(YEAR($B9),MONTH($B9)-1,1),Índices!$B$6:$F$50000,5,0)</f>
        <v>0</v>
      </c>
      <c r="G9" s="1546">
        <f>D9*VLOOKUP(SAS_RA0_DataFim,Índices!$B$6:$F$50000,5,0)/VLOOKUP(DATE(YEAR($B9),MONTH($B9)-1,1),Índices!$B$6:$F$50000,5,0)</f>
        <v>0</v>
      </c>
      <c r="H9" s="1546">
        <f>E9*VLOOKUP(SAS_RA0_DataFim,Índices!$B$6:$F$50000,5,0)/VLOOKUP(DATE(YEAR($B9),MONTH($B9)-1,1),Índices!$B$6:$F$50000,5,0)</f>
        <v>0</v>
      </c>
    </row>
    <row r="10" spans="2:24" ht="14.1" customHeight="1">
      <c r="B10" s="1542">
        <v>44228</v>
      </c>
      <c r="C10" s="1547"/>
      <c r="D10" s="1544"/>
      <c r="E10" s="1548"/>
      <c r="F10" s="1549">
        <f>C10*VLOOKUP(SAS_RA0_DataFim,Índices!$B$6:$F$50000,5,0)/VLOOKUP(DATE(YEAR($B10),MONTH($B10)-1,1),Índices!$B$6:$F$50000,5,0)</f>
        <v>0</v>
      </c>
      <c r="G10" s="1549">
        <f>D10*VLOOKUP(SAS_RA0_DataFim,Índices!$B$6:$F$50000,5,0)/VLOOKUP(DATE(YEAR($B10),MONTH($B10)-1,1),Índices!$B$6:$F$50000,5,0)</f>
        <v>0</v>
      </c>
      <c r="H10" s="1549">
        <f>E10*VLOOKUP(SAS_RA0_DataFim,Índices!$B$6:$F$50000,5,0)/VLOOKUP(DATE(YEAR($B10),MONTH($B10)-1,1),Índices!$B$6:$F$50000,5,0)</f>
        <v>0</v>
      </c>
      <c r="X10" s="1550"/>
    </row>
    <row r="11" spans="2:24" ht="14.1" customHeight="1">
      <c r="B11" s="1542">
        <v>44256</v>
      </c>
      <c r="C11" s="1547"/>
      <c r="D11" s="1544"/>
      <c r="E11" s="1548"/>
      <c r="F11" s="1549">
        <f>C11*VLOOKUP(SAS_RA0_DataFim,Índices!$B$6:$F$50000,5,0)/VLOOKUP(DATE(YEAR($B11),MONTH($B11)-1,1),Índices!$B$6:$F$50000,5,0)</f>
        <v>0</v>
      </c>
      <c r="G11" s="1549">
        <f>D11*VLOOKUP(SAS_RA0_DataFim,Índices!$B$6:$F$50000,5,0)/VLOOKUP(DATE(YEAR($B11),MONTH($B11)-1,1),Índices!$B$6:$F$50000,5,0)</f>
        <v>0</v>
      </c>
      <c r="H11" s="1549">
        <f>E11*VLOOKUP(SAS_RA0_DataFim,Índices!$B$6:$F$50000,5,0)/VLOOKUP(DATE(YEAR($B11),MONTH($B11)-1,1),Índices!$B$6:$F$50000,5,0)</f>
        <v>0</v>
      </c>
    </row>
    <row r="12" spans="2:24" ht="14.1" customHeight="1">
      <c r="B12" s="1542">
        <v>44287</v>
      </c>
      <c r="C12" s="1547"/>
      <c r="D12" s="1544"/>
      <c r="E12" s="1548"/>
      <c r="F12" s="1549">
        <f>C12*VLOOKUP(SAS_RA0_DataFim,Índices!$B$6:$F$50000,5,0)/VLOOKUP(DATE(YEAR($B12),MONTH($B12)-1,1),Índices!$B$6:$F$50000,5,0)</f>
        <v>0</v>
      </c>
      <c r="G12" s="1549">
        <f>D12*VLOOKUP(SAS_RA0_DataFim,Índices!$B$6:$F$50000,5,0)/VLOOKUP(DATE(YEAR($B12),MONTH($B12)-1,1),Índices!$B$6:$F$50000,5,0)</f>
        <v>0</v>
      </c>
      <c r="H12" s="1549">
        <f>E12*VLOOKUP(SAS_RA0_DataFim,Índices!$B$6:$F$50000,5,0)/VLOOKUP(DATE(YEAR($B12),MONTH($B12)-1,1),Índices!$B$6:$F$50000,5,0)</f>
        <v>0</v>
      </c>
    </row>
    <row r="13" spans="2:24" ht="14.1" customHeight="1">
      <c r="B13" s="1542">
        <v>44317</v>
      </c>
      <c r="C13" s="1548"/>
      <c r="D13" s="1551"/>
      <c r="E13" s="1548"/>
      <c r="F13" s="1549">
        <f>C13*VLOOKUP(SAS_RA0_DataFim,Índices!$B$6:$F$50000,5,0)/VLOOKUP(DATE(YEAR($B13),MONTH($B13)-1,1),Índices!$B$6:$F$50000,5,0)</f>
        <v>0</v>
      </c>
      <c r="G13" s="1549">
        <f>D13*VLOOKUP(SAS_RA0_DataFim,Índices!$B$6:$F$50000,5,0)/VLOOKUP(DATE(YEAR($B13),MONTH($B13)-1,1),Índices!$B$6:$F$50000,5,0)</f>
        <v>0</v>
      </c>
      <c r="H13" s="1549">
        <f>E13*VLOOKUP(SAS_RA0_DataFim,Índices!$B$6:$F$50000,5,0)/VLOOKUP(DATE(YEAR($B13),MONTH($B13)-1,1),Índices!$B$6:$F$50000,5,0)</f>
        <v>0</v>
      </c>
    </row>
    <row r="14" spans="2:24" ht="14.1" customHeight="1">
      <c r="B14" s="1542">
        <v>44348</v>
      </c>
      <c r="C14" s="1552"/>
      <c r="D14" s="1551"/>
      <c r="E14" s="1548"/>
      <c r="F14" s="1549">
        <f>C14*VLOOKUP(SAS_RA0_DataFim,Índices!$B$6:$F$50000,5,0)/VLOOKUP(DATE(YEAR($B14),MONTH($B14)-1,1),Índices!$B$6:$F$50000,5,0)</f>
        <v>0</v>
      </c>
      <c r="G14" s="1549">
        <f>D14*VLOOKUP(SAS_RA0_DataFim,Índices!$B$6:$F$50000,5,0)/VLOOKUP(DATE(YEAR($B14),MONTH($B14)-1,1),Índices!$B$6:$F$50000,5,0)</f>
        <v>0</v>
      </c>
      <c r="H14" s="1549">
        <f>E14*VLOOKUP(SAS_RA0_DataFim,Índices!$B$6:$F$50000,5,0)/VLOOKUP(DATE(YEAR($B14),MONTH($B14)-1,1),Índices!$B$6:$F$50000,5,0)</f>
        <v>0</v>
      </c>
    </row>
    <row r="15" spans="2:24" ht="14.1" customHeight="1">
      <c r="B15" s="1542">
        <v>44378</v>
      </c>
      <c r="C15" s="1552"/>
      <c r="D15" s="1551"/>
      <c r="E15" s="1548"/>
      <c r="F15" s="1549">
        <f>C15*VLOOKUP(SAS_RA0_DataFim,Índices!$B$6:$F$50000,5,0)/VLOOKUP(DATE(YEAR($B15),MONTH($B15)-1,1),Índices!$B$6:$F$50000,5,0)</f>
        <v>0</v>
      </c>
      <c r="G15" s="1549">
        <f>D15*VLOOKUP(SAS_RA0_DataFim,Índices!$B$6:$F$50000,5,0)/VLOOKUP(DATE(YEAR($B15),MONTH($B15)-1,1),Índices!$B$6:$F$50000,5,0)</f>
        <v>0</v>
      </c>
      <c r="H15" s="1549">
        <f>E15*VLOOKUP(SAS_RA0_DataFim,Índices!$B$6:$F$50000,5,0)/VLOOKUP(DATE(YEAR($B15),MONTH($B15)-1,1),Índices!$B$6:$F$50000,5,0)</f>
        <v>0</v>
      </c>
    </row>
    <row r="16" spans="2:24" ht="14.1" customHeight="1">
      <c r="B16" s="1542">
        <v>44409</v>
      </c>
      <c r="C16" s="1552"/>
      <c r="D16" s="1551"/>
      <c r="E16" s="1548"/>
      <c r="F16" s="1549">
        <f>C16*VLOOKUP(SAS_RA0_DataFim,Índices!$B$6:$F$50000,5,0)/VLOOKUP(DATE(YEAR($B16),MONTH($B16)-1,1),Índices!$B$6:$F$50000,5,0)</f>
        <v>0</v>
      </c>
      <c r="G16" s="1549">
        <f>D16*VLOOKUP(SAS_RA0_DataFim,Índices!$B$6:$F$50000,5,0)/VLOOKUP(DATE(YEAR($B16),MONTH($B16)-1,1),Índices!$B$6:$F$50000,5,0)</f>
        <v>0</v>
      </c>
      <c r="H16" s="1549">
        <f>E16*VLOOKUP(SAS_RA0_DataFim,Índices!$B$6:$F$50000,5,0)/VLOOKUP(DATE(YEAR($B16),MONTH($B16)-1,1),Índices!$B$6:$F$50000,5,0)</f>
        <v>0</v>
      </c>
    </row>
    <row r="17" spans="2:8" ht="14.1" customHeight="1">
      <c r="B17" s="1542">
        <v>44440</v>
      </c>
      <c r="C17" s="1552"/>
      <c r="D17" s="1551"/>
      <c r="E17" s="1548"/>
      <c r="F17" s="1549">
        <f>C17*VLOOKUP(SAS_RA0_DataFim,Índices!$B$6:$F$50000,5,0)/VLOOKUP(DATE(YEAR($B17),MONTH($B17)-1,1),Índices!$B$6:$F$50000,5,0)</f>
        <v>0</v>
      </c>
      <c r="G17" s="1549">
        <f>D17*VLOOKUP(SAS_RA0_DataFim,Índices!$B$6:$F$50000,5,0)/VLOOKUP(DATE(YEAR($B17),MONTH($B17)-1,1),Índices!$B$6:$F$50000,5,0)</f>
        <v>0</v>
      </c>
      <c r="H17" s="1549">
        <f>E17*VLOOKUP(SAS_RA0_DataFim,Índices!$B$6:$F$50000,5,0)/VLOOKUP(DATE(YEAR($B17),MONTH($B17)-1,1),Índices!$B$6:$F$50000,5,0)</f>
        <v>0</v>
      </c>
    </row>
    <row r="18" spans="2:8" ht="14.1" customHeight="1">
      <c r="B18" s="1542">
        <v>44470</v>
      </c>
      <c r="C18" s="1552"/>
      <c r="D18" s="1551"/>
      <c r="E18" s="1548"/>
      <c r="F18" s="1549">
        <f>C18*VLOOKUP(SAS_RA0_DataFim,Índices!$B$6:$F$50000,5,0)/VLOOKUP(DATE(YEAR($B18),MONTH($B18)-1,1),Índices!$B$6:$F$50000,5,0)</f>
        <v>0</v>
      </c>
      <c r="G18" s="1549">
        <f>D18*VLOOKUP(SAS_RA0_DataFim,Índices!$B$6:$F$50000,5,0)/VLOOKUP(DATE(YEAR($B18),MONTH($B18)-1,1),Índices!$B$6:$F$50000,5,0)</f>
        <v>0</v>
      </c>
      <c r="H18" s="1549">
        <f>E18*VLOOKUP(SAS_RA0_DataFim,Índices!$B$6:$F$50000,5,0)/VLOOKUP(DATE(YEAR($B18),MONTH($B18)-1,1),Índices!$B$6:$F$50000,5,0)</f>
        <v>0</v>
      </c>
    </row>
    <row r="19" spans="2:8" ht="14.1" customHeight="1">
      <c r="B19" s="1542">
        <v>44501</v>
      </c>
      <c r="C19" s="1552"/>
      <c r="D19" s="1551"/>
      <c r="E19" s="1548"/>
      <c r="F19" s="1549">
        <f>C19*VLOOKUP(SAS_RA0_DataFim,Índices!$B$6:$F$50000,5,0)/VLOOKUP(DATE(YEAR($B19),MONTH($B19)-1,1),Índices!$B$6:$F$50000,5,0)</f>
        <v>0</v>
      </c>
      <c r="G19" s="1549">
        <f>D19*VLOOKUP(SAS_RA0_DataFim,Índices!$B$6:$F$50000,5,0)/VLOOKUP(DATE(YEAR($B19),MONTH($B19)-1,1),Índices!$B$6:$F$50000,5,0)</f>
        <v>0</v>
      </c>
      <c r="H19" s="1549">
        <f>E19*VLOOKUP(SAS_RA0_DataFim,Índices!$B$6:$F$50000,5,0)/VLOOKUP(DATE(YEAR($B19),MONTH($B19)-1,1),Índices!$B$6:$F$50000,5,0)</f>
        <v>0</v>
      </c>
    </row>
    <row r="20" spans="2:8" ht="14.1" customHeight="1">
      <c r="B20" s="1542">
        <v>44531</v>
      </c>
      <c r="C20" s="1552"/>
      <c r="D20" s="1551"/>
      <c r="E20" s="1548"/>
      <c r="F20" s="1549">
        <f>C20*VLOOKUP(SAS_RA0_DataFim,Índices!$B$6:$F$50000,5,0)/VLOOKUP(DATE(YEAR($B20),MONTH($B20)-1,1),Índices!$B$6:$F$50000,5,0)</f>
        <v>0</v>
      </c>
      <c r="G20" s="1549">
        <f>D20*VLOOKUP(SAS_RA0_DataFim,Índices!$B$6:$F$50000,5,0)/VLOOKUP(DATE(YEAR($B20),MONTH($B20)-1,1),Índices!$B$6:$F$50000,5,0)</f>
        <v>0</v>
      </c>
      <c r="H20" s="1549">
        <f>E20*VLOOKUP(SAS_RA0_DataFim,Índices!$B$6:$F$50000,5,0)/VLOOKUP(DATE(YEAR($B20),MONTH($B20)-1,1),Índices!$B$6:$F$50000,5,0)</f>
        <v>0</v>
      </c>
    </row>
    <row r="21" spans="2:8" ht="14.1" customHeight="1">
      <c r="B21" s="1542">
        <v>44562</v>
      </c>
      <c r="C21" s="1552"/>
      <c r="D21" s="1551"/>
      <c r="E21" s="1548"/>
      <c r="F21" s="1549">
        <f>C21*VLOOKUP(SAS_RA0_DataFim,Índices!$B$6:$F$50000,5,0)/VLOOKUP(DATE(YEAR($B21),MONTH($B21)-1,1),Índices!$B$6:$F$50000,5,0)</f>
        <v>0</v>
      </c>
      <c r="G21" s="1549">
        <f>D21*VLOOKUP(SAS_RA0_DataFim,Índices!$B$6:$F$50000,5,0)/VLOOKUP(DATE(YEAR($B21),MONTH($B21)-1,1),Índices!$B$6:$F$50000,5,0)</f>
        <v>0</v>
      </c>
      <c r="H21" s="1549">
        <f>E21*VLOOKUP(SAS_RA0_DataFim,Índices!$B$6:$F$50000,5,0)/VLOOKUP(DATE(YEAR($B21),MONTH($B21)-1,1),Índices!$B$6:$F$50000,5,0)</f>
        <v>0</v>
      </c>
    </row>
    <row r="22" spans="2:8" ht="14.1" customHeight="1">
      <c r="B22" s="1542">
        <v>44593</v>
      </c>
      <c r="C22" s="1552"/>
      <c r="D22" s="1551"/>
      <c r="E22" s="1548"/>
      <c r="F22" s="1549">
        <f>C22*VLOOKUP(SAS_RA0_DataFim,Índices!$B$6:$F$50000,5,0)/VLOOKUP(DATE(YEAR($B22),MONTH($B22)-1,1),Índices!$B$6:$F$50000,5,0)</f>
        <v>0</v>
      </c>
      <c r="G22" s="1549">
        <f>D22*VLOOKUP(SAS_RA0_DataFim,Índices!$B$6:$F$50000,5,0)/VLOOKUP(DATE(YEAR($B22),MONTH($B22)-1,1),Índices!$B$6:$F$50000,5,0)</f>
        <v>0</v>
      </c>
      <c r="H22" s="1549">
        <f>E22*VLOOKUP(SAS_RA0_DataFim,Índices!$B$6:$F$50000,5,0)/VLOOKUP(DATE(YEAR($B22),MONTH($B22)-1,1),Índices!$B$6:$F$50000,5,0)</f>
        <v>0</v>
      </c>
    </row>
    <row r="23" spans="2:8" ht="14.1" customHeight="1">
      <c r="B23" s="1542">
        <v>44621</v>
      </c>
      <c r="C23" s="1552"/>
      <c r="D23" s="1551"/>
      <c r="E23" s="1548"/>
      <c r="F23" s="1549">
        <f>C23*VLOOKUP(SAS_RA0_DataFim,Índices!$B$6:$F$50000,5,0)/VLOOKUP(DATE(YEAR($B23),MONTH($B23)-1,1),Índices!$B$6:$F$50000,5,0)</f>
        <v>0</v>
      </c>
      <c r="G23" s="1549">
        <f>D23*VLOOKUP(SAS_RA0_DataFim,Índices!$B$6:$F$50000,5,0)/VLOOKUP(DATE(YEAR($B23),MONTH($B23)-1,1),Índices!$B$6:$F$50000,5,0)</f>
        <v>0</v>
      </c>
      <c r="H23" s="1549">
        <f>E23*VLOOKUP(SAS_RA0_DataFim,Índices!$B$6:$F$50000,5,0)/VLOOKUP(DATE(YEAR($B23),MONTH($B23)-1,1),Índices!$B$6:$F$50000,5,0)</f>
        <v>0</v>
      </c>
    </row>
    <row r="24" spans="2:8" ht="14.1" customHeight="1">
      <c r="B24" s="1542">
        <v>44652</v>
      </c>
      <c r="C24" s="1552"/>
      <c r="D24" s="1551"/>
      <c r="E24" s="1548"/>
      <c r="F24" s="1549">
        <f>C24*VLOOKUP(SAS_RA0_DataFim,Índices!$B$6:$F$50000,5,0)/VLOOKUP(DATE(YEAR($B24),MONTH($B24)-1,1),Índices!$B$6:$F$50000,5,0)</f>
        <v>0</v>
      </c>
      <c r="G24" s="1549">
        <f>D24*VLOOKUP(SAS_RA0_DataFim,Índices!$B$6:$F$50000,5,0)/VLOOKUP(DATE(YEAR($B24),MONTH($B24)-1,1),Índices!$B$6:$F$50000,5,0)</f>
        <v>0</v>
      </c>
      <c r="H24" s="1549">
        <f>E24*VLOOKUP(SAS_RA0_DataFim,Índices!$B$6:$F$50000,5,0)/VLOOKUP(DATE(YEAR($B24),MONTH($B24)-1,1),Índices!$B$6:$F$50000,5,0)</f>
        <v>0</v>
      </c>
    </row>
    <row r="25" spans="2:8" ht="14.1" customHeight="1">
      <c r="B25" s="1542">
        <v>44682</v>
      </c>
      <c r="C25" s="1552"/>
      <c r="D25" s="1551"/>
      <c r="E25" s="1548"/>
      <c r="F25" s="1549">
        <f>C25*VLOOKUP(SAS_RA0_DataFim,Índices!$B$6:$F$50000,5,0)/VLOOKUP(DATE(YEAR($B25),MONTH($B25)-1,1),Índices!$B$6:$F$50000,5,0)</f>
        <v>0</v>
      </c>
      <c r="G25" s="1549">
        <f>D25*VLOOKUP(SAS_RA0_DataFim,Índices!$B$6:$F$50000,5,0)/VLOOKUP(DATE(YEAR($B25),MONTH($B25)-1,1),Índices!$B$6:$F$50000,5,0)</f>
        <v>0</v>
      </c>
      <c r="H25" s="1549">
        <f>E25*VLOOKUP(SAS_RA0_DataFim,Índices!$B$6:$F$50000,5,0)/VLOOKUP(DATE(YEAR($B25),MONTH($B25)-1,1),Índices!$B$6:$F$50000,5,0)</f>
        <v>0</v>
      </c>
    </row>
    <row r="26" spans="2:8" ht="14.1" customHeight="1">
      <c r="B26" s="1542">
        <v>44713</v>
      </c>
      <c r="C26" s="1552"/>
      <c r="D26" s="1551"/>
      <c r="E26" s="1548"/>
      <c r="F26" s="1549">
        <f>C26*VLOOKUP(SAS_RA0_DataFim,Índices!$B$6:$F$50000,5,0)/VLOOKUP(DATE(YEAR($B26),MONTH($B26)-1,1),Índices!$B$6:$F$50000,5,0)</f>
        <v>0</v>
      </c>
      <c r="G26" s="1549">
        <f>D26*VLOOKUP(SAS_RA0_DataFim,Índices!$B$6:$F$50000,5,0)/VLOOKUP(DATE(YEAR($B26),MONTH($B26)-1,1),Índices!$B$6:$F$50000,5,0)</f>
        <v>0</v>
      </c>
      <c r="H26" s="1549">
        <f>E26*VLOOKUP(SAS_RA0_DataFim,Índices!$B$6:$F$50000,5,0)/VLOOKUP(DATE(YEAR($B26),MONTH($B26)-1,1),Índices!$B$6:$F$50000,5,0)</f>
        <v>0</v>
      </c>
    </row>
    <row r="27" spans="2:8" ht="14.1" customHeight="1">
      <c r="B27" s="1553" t="s">
        <v>760</v>
      </c>
      <c r="C27" s="1554">
        <f>SUM(C9:C26)</f>
        <v>0</v>
      </c>
      <c r="D27" s="1554">
        <f t="shared" ref="D27:E27" si="0">SUM(D9:D26)</f>
        <v>0</v>
      </c>
      <c r="E27" s="1554">
        <f t="shared" si="0"/>
        <v>0</v>
      </c>
      <c r="F27" s="1554">
        <f>SUM(F9:F26)</f>
        <v>0</v>
      </c>
      <c r="G27" s="1554">
        <f t="shared" ref="G27:H27" si="1">SUM(G9:G26)</f>
        <v>0</v>
      </c>
      <c r="H27" s="1554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E22" sqref="E22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0" t="s">
        <v>2131</v>
      </c>
    </row>
    <row r="4" spans="1:15">
      <c r="B4" s="1482" t="s">
        <v>2120</v>
      </c>
      <c r="C4" s="1484" t="s">
        <v>2121</v>
      </c>
      <c r="D4" s="1483" t="s">
        <v>2122</v>
      </c>
      <c r="E4" s="1488"/>
      <c r="F4" s="1488"/>
      <c r="G4" s="1488"/>
      <c r="N4" t="s">
        <v>34</v>
      </c>
      <c r="O4" t="s">
        <v>2123</v>
      </c>
    </row>
    <row r="5" spans="1:15">
      <c r="A5" s="797" t="s">
        <v>2073</v>
      </c>
      <c r="B5" s="846" t="s">
        <v>2129</v>
      </c>
      <c r="C5" s="1491">
        <f>IFERROR(VLOOKUP(A5,Escassez[#All],2,FALSE),0)</f>
        <v>0</v>
      </c>
      <c r="D5" s="1491" t="e">
        <f>C5/$C$8*$D$8</f>
        <v>#DIV/0!</v>
      </c>
      <c r="E5" s="1489"/>
      <c r="F5" s="1487"/>
      <c r="G5" s="1478"/>
      <c r="N5" s="8">
        <v>44690</v>
      </c>
      <c r="O5" s="232">
        <f>C8</f>
        <v>0</v>
      </c>
    </row>
    <row r="6" spans="1:15">
      <c r="A6" s="1466" t="s">
        <v>2074</v>
      </c>
      <c r="B6" s="846" t="s">
        <v>2130</v>
      </c>
      <c r="C6" s="1491">
        <f>IFERROR(VLOOKUP(A6,Escassez[#All],2,FALSE),0)</f>
        <v>0</v>
      </c>
      <c r="D6" s="1491" t="e">
        <f>C6/$C$8*$D$8</f>
        <v>#DIV/0!</v>
      </c>
      <c r="E6" s="1489"/>
      <c r="F6" s="1487"/>
      <c r="G6" s="1478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6" t="s">
        <v>2075</v>
      </c>
      <c r="B7" s="846" t="s">
        <v>105</v>
      </c>
      <c r="C7" s="1491">
        <f>IFERROR(VLOOKUP(A7,Escassez[#All],2,FALSE),0)</f>
        <v>0</v>
      </c>
      <c r="D7" s="1491" t="e">
        <f>C7/$C$8*$D$8</f>
        <v>#DIV/0!</v>
      </c>
      <c r="E7" s="1489"/>
      <c r="F7" s="1487"/>
      <c r="G7" s="1478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5"/>
      <c r="C8" s="1492">
        <f>SUM(C5:C7)</f>
        <v>0</v>
      </c>
      <c r="D8" s="1492">
        <f>VLOOKUP(DataRevRea,'Financeiros Mitigação'!N4:O241,2,FALSE)</f>
        <v>0</v>
      </c>
      <c r="E8" s="846"/>
      <c r="F8" s="1479"/>
      <c r="G8" s="1479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7"/>
      <c r="C10" s="1497"/>
      <c r="D10" s="1497"/>
      <c r="E10" s="1497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3" t="s">
        <v>1306</v>
      </c>
      <c r="C12" s="1486">
        <v>44561</v>
      </c>
      <c r="D12" s="1494">
        <v>-301.06</v>
      </c>
      <c r="E12" s="1476"/>
      <c r="F12" s="1476"/>
      <c r="G12" s="1476"/>
      <c r="H12" s="1476"/>
      <c r="I12" s="1476"/>
      <c r="J12" s="1476"/>
      <c r="K12" s="1476"/>
      <c r="L12" s="1476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5"/>
      <c r="C13" s="1477"/>
      <c r="D13" s="1477"/>
      <c r="E13" s="1477"/>
      <c r="F13" s="1477"/>
      <c r="G13" s="1477"/>
      <c r="H13" s="1477"/>
      <c r="I13" s="1477"/>
      <c r="J13" s="1477"/>
      <c r="K13" s="1477"/>
      <c r="L13" s="1477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6"/>
      <c r="C14" s="1497"/>
      <c r="D14" s="1497"/>
      <c r="E14" s="1498"/>
      <c r="F14" s="1499"/>
      <c r="G14" s="1478"/>
      <c r="H14" s="1478"/>
      <c r="I14" s="1478"/>
      <c r="J14" s="1478"/>
      <c r="K14" s="1478"/>
      <c r="L14" s="1478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6"/>
      <c r="C15" s="1497"/>
      <c r="D15" s="1497"/>
      <c r="E15" s="1498"/>
      <c r="F15" s="1499"/>
      <c r="G15" s="1478"/>
      <c r="H15" s="1478"/>
      <c r="I15" s="1478"/>
      <c r="J15" s="1478"/>
      <c r="K15" s="1478"/>
      <c r="L15" s="1478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6"/>
      <c r="C16" s="1497"/>
      <c r="D16" s="1497"/>
      <c r="E16" s="1498"/>
      <c r="F16" s="1499"/>
      <c r="G16" s="1478"/>
      <c r="H16" s="1478"/>
      <c r="I16" s="1478"/>
      <c r="J16" s="1478"/>
      <c r="K16" s="1478"/>
      <c r="L16" s="1478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6"/>
      <c r="C17" s="1497"/>
      <c r="D17" s="1497"/>
      <c r="E17" s="1498"/>
      <c r="F17" s="1499"/>
      <c r="G17" s="1478"/>
      <c r="H17" s="1478"/>
      <c r="I17" s="1478"/>
      <c r="J17" s="1478"/>
      <c r="K17" s="1478"/>
      <c r="L17" s="1478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6"/>
      <c r="C18" s="1497"/>
      <c r="D18" s="1497"/>
      <c r="E18" s="1498"/>
      <c r="F18" s="1499"/>
      <c r="G18" s="1478"/>
      <c r="H18" s="1478"/>
      <c r="I18" s="1478"/>
      <c r="J18" s="1478"/>
      <c r="K18" s="1478"/>
      <c r="L18" s="1478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6"/>
      <c r="C19" s="1497"/>
      <c r="D19" s="1497"/>
      <c r="E19" s="1497"/>
      <c r="F19" s="1499"/>
      <c r="G19" s="1478"/>
      <c r="H19" s="1478"/>
      <c r="I19" s="1478"/>
      <c r="J19" s="1478"/>
      <c r="K19" s="1478"/>
      <c r="L19" s="1478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6"/>
      <c r="C20" s="1497"/>
      <c r="D20" s="1497"/>
      <c r="E20" s="1497"/>
      <c r="F20" s="1499"/>
      <c r="G20" s="1478"/>
      <c r="H20" s="1478"/>
      <c r="I20" s="1478"/>
      <c r="J20" s="1478"/>
      <c r="K20" s="1478"/>
      <c r="L20" s="1478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6"/>
      <c r="C21" s="1497"/>
      <c r="D21" s="1497"/>
      <c r="E21" s="1497"/>
      <c r="F21" s="1499"/>
      <c r="G21" s="1478"/>
      <c r="H21" s="1478"/>
      <c r="I21" s="1478"/>
      <c r="J21" s="1478"/>
      <c r="K21" s="1478"/>
      <c r="L21" s="1478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6"/>
      <c r="C22" s="1497"/>
      <c r="D22" s="1497"/>
      <c r="E22" s="1497"/>
      <c r="F22" s="1499"/>
      <c r="G22" s="1478"/>
      <c r="H22" s="1478"/>
      <c r="I22" s="1478"/>
      <c r="J22" s="1478"/>
      <c r="K22" s="1478"/>
      <c r="L22" s="1478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6"/>
      <c r="C23" s="1497"/>
      <c r="D23" s="1497"/>
      <c r="E23" s="1497"/>
      <c r="F23" s="1499"/>
      <c r="G23" s="1478"/>
      <c r="H23" s="1478"/>
      <c r="I23" s="1478"/>
      <c r="J23" s="1478"/>
      <c r="K23" s="1478"/>
      <c r="L23" s="1478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6"/>
      <c r="C24" s="1497"/>
      <c r="D24" s="1497"/>
      <c r="E24" s="1497"/>
      <c r="F24" s="1499"/>
      <c r="G24" s="1478"/>
      <c r="H24" s="1478"/>
      <c r="I24" s="1478"/>
      <c r="J24" s="1478"/>
      <c r="K24" s="1478"/>
      <c r="L24" s="1478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500"/>
      <c r="C25" s="1497"/>
      <c r="D25" s="1497"/>
      <c r="E25" s="1501"/>
      <c r="F25" s="1499"/>
      <c r="G25" s="1478"/>
      <c r="H25" s="1478"/>
      <c r="I25" s="1478"/>
      <c r="J25" s="1478"/>
      <c r="K25" s="1478"/>
      <c r="L25" s="1478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2"/>
      <c r="C26" s="846"/>
      <c r="D26" s="846"/>
      <c r="E26" s="846"/>
      <c r="F26" s="1479"/>
      <c r="G26" s="1479"/>
      <c r="H26" s="1479"/>
      <c r="I26" s="1479"/>
      <c r="J26" s="1479"/>
      <c r="K26" s="1479"/>
      <c r="L26" s="1479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Normal="100" workbookViewId="0"/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1308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8" t="s">
        <v>874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2133</v>
      </c>
      <c r="C7" s="871"/>
      <c r="D7" s="874"/>
      <c r="E7" s="874"/>
      <c r="F7" s="875"/>
      <c r="G7" s="870"/>
      <c r="H7" s="870"/>
      <c r="I7" s="870"/>
      <c r="J7" s="870"/>
      <c r="K7" s="870"/>
      <c r="R7" s="1318" t="s">
        <v>874</v>
      </c>
    </row>
    <row r="8" spans="1:18" ht="27.95" customHeight="1">
      <c r="B8" s="876" t="s">
        <v>778</v>
      </c>
      <c r="C8" s="876" t="s">
        <v>1309</v>
      </c>
      <c r="D8" s="876" t="s">
        <v>1310</v>
      </c>
      <c r="E8" s="1515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9" t="s">
        <v>1311</v>
      </c>
      <c r="C9" s="1320"/>
      <c r="D9" s="1320"/>
      <c r="E9" s="1522"/>
      <c r="F9" s="862"/>
      <c r="G9" s="436"/>
      <c r="H9" s="1321" t="s">
        <v>1312</v>
      </c>
      <c r="I9" s="1565"/>
      <c r="R9" s="1318" t="s">
        <v>874</v>
      </c>
    </row>
    <row r="10" spans="1:18" ht="14.45" customHeight="1">
      <c r="B10" s="878" t="s">
        <v>41</v>
      </c>
      <c r="C10" s="879"/>
      <c r="D10" s="879"/>
      <c r="E10" s="1522"/>
      <c r="F10" s="862"/>
      <c r="G10" s="436"/>
      <c r="H10" s="880" t="s">
        <v>1313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1314</v>
      </c>
      <c r="C11" s="879"/>
      <c r="D11" s="879"/>
      <c r="E11" s="1522"/>
      <c r="F11" s="862"/>
      <c r="G11" s="862"/>
      <c r="H11" s="880" t="s">
        <v>1315</v>
      </c>
      <c r="I11" s="1564"/>
      <c r="R11" s="1318" t="s">
        <v>874</v>
      </c>
    </row>
    <row r="12" spans="1:18" ht="14.45" customHeight="1">
      <c r="B12" s="878" t="s">
        <v>635</v>
      </c>
      <c r="C12" s="879"/>
      <c r="D12" s="879"/>
      <c r="E12" s="1522"/>
      <c r="F12" s="862"/>
      <c r="G12" s="436"/>
      <c r="H12" s="880" t="s">
        <v>1316</v>
      </c>
      <c r="I12" s="1564"/>
      <c r="R12" s="890" t="e">
        <f>DATE(YEAR(R14),MONTH(R14)-1,1)</f>
        <v>#NUM!</v>
      </c>
    </row>
    <row r="13" spans="1:18" ht="14.45" customHeight="1">
      <c r="B13" s="878" t="s">
        <v>1317</v>
      </c>
      <c r="C13" s="879"/>
      <c r="D13" s="879"/>
      <c r="E13" s="1522"/>
      <c r="F13" s="862"/>
      <c r="G13" s="436"/>
      <c r="H13" s="880" t="s">
        <v>1318</v>
      </c>
      <c r="I13" s="1322"/>
      <c r="R13" s="1318" t="s">
        <v>874</v>
      </c>
    </row>
    <row r="14" spans="1:18" ht="14.45" customHeight="1">
      <c r="B14" s="878" t="s">
        <v>112</v>
      </c>
      <c r="C14" s="879"/>
      <c r="D14" s="879"/>
      <c r="E14" s="1522"/>
      <c r="F14" s="862"/>
      <c r="G14" s="436"/>
      <c r="H14" s="1321" t="s">
        <v>1319</v>
      </c>
      <c r="I14" s="1566">
        <v>0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1320</v>
      </c>
      <c r="C15" s="879"/>
      <c r="D15" s="879"/>
      <c r="E15" s="1522"/>
      <c r="F15" s="862"/>
      <c r="G15" s="436"/>
      <c r="H15" s="1323" t="s">
        <v>1321</v>
      </c>
      <c r="I15" s="1324">
        <f>-Indexador!$N$49</f>
        <v>0</v>
      </c>
      <c r="J15" s="862"/>
      <c r="K15" s="862"/>
      <c r="R15" s="1318" t="s">
        <v>874</v>
      </c>
    </row>
    <row r="16" spans="1:18" ht="14.45" customHeight="1">
      <c r="B16" s="878" t="s">
        <v>109</v>
      </c>
      <c r="C16" s="879"/>
      <c r="D16" s="879"/>
      <c r="E16" s="1522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/>
      <c r="D17" s="879"/>
      <c r="E17" s="1522"/>
      <c r="F17" s="862"/>
      <c r="G17" s="436"/>
      <c r="H17" s="862"/>
      <c r="I17" s="862"/>
      <c r="J17" s="862"/>
      <c r="K17" s="862"/>
      <c r="R17" s="1318" t="s">
        <v>874</v>
      </c>
    </row>
    <row r="18" spans="1:18" ht="14.45" customHeight="1">
      <c r="B18" s="882" t="s">
        <v>769</v>
      </c>
      <c r="C18" s="883">
        <f>SUM(C9:C17)</f>
        <v>0</v>
      </c>
      <c r="D18" s="883">
        <f t="shared" ref="D18" si="0">SUM(D9:D17)</f>
        <v>0</v>
      </c>
      <c r="E18" s="1523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8" t="s">
        <v>874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07"/>
      <c r="B21" s="1508"/>
      <c r="C21" s="1509"/>
      <c r="D21" s="1509"/>
      <c r="E21" s="1509"/>
      <c r="F21" s="1508"/>
      <c r="G21" s="1508"/>
      <c r="H21" s="1510"/>
      <c r="R21" s="1318" t="s">
        <v>874</v>
      </c>
    </row>
    <row r="22" spans="1:18" ht="14.45" customHeight="1">
      <c r="A22" s="1511"/>
      <c r="B22" s="1512"/>
      <c r="C22" s="1513"/>
      <c r="D22" s="1513"/>
      <c r="E22" s="1513"/>
      <c r="F22" s="1514"/>
      <c r="G22" s="1514"/>
      <c r="H22" s="1511"/>
      <c r="R22" s="890" t="e">
        <f>DATE(YEAR(R24),MONTH(R24)-1,1)</f>
        <v>#NUM!</v>
      </c>
    </row>
    <row r="23" spans="1:18" ht="42" customHeight="1">
      <c r="A23" s="1511"/>
      <c r="B23" s="1515"/>
      <c r="C23" s="1515"/>
      <c r="D23" s="1515"/>
      <c r="E23" s="1515"/>
      <c r="F23" s="1515"/>
      <c r="G23" s="1515"/>
      <c r="H23" s="1511"/>
      <c r="R23" s="1318" t="s">
        <v>874</v>
      </c>
    </row>
    <row r="24" spans="1:18" ht="14.45" customHeight="1">
      <c r="A24" s="1511"/>
      <c r="B24" s="878"/>
      <c r="C24" s="885"/>
      <c r="D24" s="1503"/>
      <c r="E24" s="885"/>
      <c r="F24" s="886"/>
      <c r="G24" s="886"/>
      <c r="H24" s="1516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1"/>
      <c r="B25" s="878"/>
      <c r="C25" s="885"/>
      <c r="D25" s="1504"/>
      <c r="E25" s="885"/>
      <c r="F25" s="886"/>
      <c r="G25" s="893"/>
      <c r="H25" s="1516"/>
      <c r="I25" s="884"/>
      <c r="J25" s="884"/>
      <c r="K25" s="877"/>
      <c r="R25" s="1318" t="s">
        <v>874</v>
      </c>
    </row>
    <row r="26" spans="1:18" ht="14.45" customHeight="1">
      <c r="A26" s="1511"/>
      <c r="B26" s="878"/>
      <c r="C26" s="885"/>
      <c r="D26" s="1504"/>
      <c r="E26" s="885"/>
      <c r="F26" s="886"/>
      <c r="G26" s="893"/>
      <c r="H26" s="1516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1"/>
      <c r="B27" s="878"/>
      <c r="C27" s="885"/>
      <c r="D27" s="1504"/>
      <c r="E27" s="885"/>
      <c r="F27" s="886"/>
      <c r="G27" s="893"/>
      <c r="H27" s="1516"/>
      <c r="I27" s="886"/>
      <c r="J27" s="886"/>
      <c r="K27" s="877"/>
      <c r="R27" s="1318" t="s">
        <v>874</v>
      </c>
    </row>
    <row r="28" spans="1:18" ht="14.45" customHeight="1">
      <c r="A28" s="1511"/>
      <c r="B28" s="878"/>
      <c r="C28" s="885"/>
      <c r="D28" s="1504"/>
      <c r="E28" s="885"/>
      <c r="F28" s="886"/>
      <c r="G28" s="893"/>
      <c r="H28" s="1516"/>
      <c r="I28" s="886"/>
      <c r="J28" s="886"/>
      <c r="K28" s="877"/>
      <c r="R28" s="890">
        <f>B65</f>
        <v>0</v>
      </c>
    </row>
    <row r="29" spans="1:18" ht="14.45" customHeight="1">
      <c r="A29" s="1511"/>
      <c r="B29" s="878"/>
      <c r="C29" s="885"/>
      <c r="D29" s="1504"/>
      <c r="E29" s="885"/>
      <c r="F29" s="886"/>
      <c r="G29" s="893"/>
      <c r="H29" s="1516"/>
      <c r="I29" s="886"/>
      <c r="J29" s="886"/>
      <c r="K29" s="877"/>
    </row>
    <row r="30" spans="1:18" ht="14.45" customHeight="1">
      <c r="A30" s="1511"/>
      <c r="B30" s="878"/>
      <c r="C30" s="885"/>
      <c r="D30" s="1504"/>
      <c r="E30" s="885"/>
      <c r="F30" s="886"/>
      <c r="G30" s="893"/>
      <c r="H30" s="1514"/>
      <c r="I30" s="886"/>
      <c r="J30" s="886"/>
      <c r="K30" s="877"/>
    </row>
    <row r="31" spans="1:18" ht="14.45" customHeight="1">
      <c r="A31" s="1511"/>
      <c r="B31" s="878"/>
      <c r="C31" s="885"/>
      <c r="D31" s="1504"/>
      <c r="E31" s="885"/>
      <c r="F31" s="886"/>
      <c r="G31" s="893"/>
      <c r="H31" s="1511"/>
      <c r="I31" s="886"/>
      <c r="J31" s="886"/>
      <c r="K31" s="862"/>
    </row>
    <row r="32" spans="1:18" ht="14.45" customHeight="1">
      <c r="A32" s="1511"/>
      <c r="B32" s="878"/>
      <c r="C32" s="885"/>
      <c r="D32" s="1504"/>
      <c r="E32" s="885"/>
      <c r="F32" s="886"/>
      <c r="G32" s="893"/>
      <c r="H32" s="1511"/>
      <c r="I32" s="886"/>
      <c r="J32" s="886"/>
      <c r="K32" s="862"/>
    </row>
    <row r="33" spans="1:11" ht="14.45" customHeight="1">
      <c r="A33" s="1511"/>
      <c r="B33" s="1517"/>
      <c r="C33" s="1518"/>
      <c r="D33" s="1518"/>
      <c r="E33" s="1518"/>
      <c r="F33" s="1519"/>
      <c r="G33" s="1519"/>
      <c r="H33" s="1511"/>
      <c r="I33" s="891"/>
      <c r="J33" s="891"/>
      <c r="K33" s="862"/>
    </row>
    <row r="34" spans="1:11" ht="14.45" customHeight="1">
      <c r="A34" s="1511"/>
      <c r="B34" s="1514"/>
      <c r="C34" s="1520"/>
      <c r="D34" s="1513"/>
      <c r="E34" s="1513"/>
      <c r="F34" s="1514"/>
      <c r="G34" s="1514"/>
      <c r="H34" s="1511"/>
      <c r="K34" s="862"/>
    </row>
    <row r="35" spans="1:11" ht="14.45" customHeight="1">
      <c r="A35" s="1511"/>
      <c r="B35" s="1514"/>
      <c r="C35" s="1513"/>
      <c r="D35" s="1513"/>
      <c r="E35" s="1513"/>
      <c r="F35" s="436"/>
      <c r="G35" s="1514"/>
      <c r="H35" s="1511"/>
      <c r="K35" s="862"/>
    </row>
    <row r="36" spans="1:11" ht="14.45" customHeight="1">
      <c r="A36" s="1511"/>
      <c r="B36" s="1512"/>
      <c r="C36" s="1520"/>
      <c r="D36" s="1513"/>
      <c r="E36" s="1513"/>
      <c r="F36" s="1514"/>
      <c r="G36" s="1521"/>
      <c r="H36" s="1511"/>
      <c r="K36" s="862"/>
    </row>
    <row r="37" spans="1:11" ht="43.5" customHeight="1">
      <c r="A37" s="1511"/>
      <c r="B37" s="1515"/>
      <c r="C37" s="1515"/>
      <c r="D37" s="1515"/>
      <c r="E37" s="887"/>
      <c r="F37" s="436"/>
      <c r="G37" s="1514"/>
      <c r="H37" s="1514"/>
      <c r="I37" s="862"/>
      <c r="J37" s="862"/>
      <c r="K37" s="862"/>
    </row>
    <row r="38" spans="1:11" ht="14.45" customHeight="1">
      <c r="A38" s="1511"/>
      <c r="B38" s="878"/>
      <c r="C38" s="1513"/>
      <c r="D38" s="887"/>
      <c r="E38" s="887"/>
      <c r="F38" s="436"/>
      <c r="G38" s="1514"/>
      <c r="H38" s="1514"/>
      <c r="I38" s="862"/>
      <c r="J38" s="862"/>
      <c r="K38" s="862"/>
    </row>
    <row r="39" spans="1:11" ht="14.45" customHeight="1">
      <c r="A39" s="1511"/>
      <c r="B39" s="878"/>
      <c r="C39" s="1513"/>
      <c r="D39" s="1505"/>
      <c r="E39" s="887"/>
      <c r="F39" s="436"/>
      <c r="G39" s="436"/>
      <c r="H39" s="1514"/>
      <c r="I39" s="862"/>
      <c r="J39" s="862"/>
      <c r="K39" s="862"/>
    </row>
    <row r="40" spans="1:11" ht="14.45" customHeight="1">
      <c r="A40" s="1511"/>
      <c r="B40" s="878"/>
      <c r="C40" s="887"/>
      <c r="D40" s="1505"/>
      <c r="E40" s="887"/>
      <c r="F40" s="436"/>
      <c r="G40" s="1514"/>
      <c r="H40" s="1514"/>
      <c r="I40" s="862"/>
      <c r="J40" s="862"/>
      <c r="K40" s="862"/>
    </row>
    <row r="41" spans="1:11" ht="14.45" customHeight="1">
      <c r="A41" s="1511"/>
      <c r="B41" s="878"/>
      <c r="C41" s="887"/>
      <c r="D41" s="1505"/>
      <c r="E41" s="887"/>
      <c r="F41" s="436"/>
      <c r="G41" s="1514"/>
      <c r="H41" s="1514"/>
      <c r="I41" s="862"/>
      <c r="J41" s="862"/>
      <c r="K41" s="862"/>
    </row>
    <row r="42" spans="1:11" ht="14.45" customHeight="1">
      <c r="A42" s="1511"/>
      <c r="B42" s="878"/>
      <c r="C42" s="1506"/>
      <c r="D42" s="1505"/>
      <c r="E42" s="887"/>
      <c r="F42" s="436"/>
      <c r="G42" s="1514"/>
      <c r="H42" s="1514"/>
      <c r="I42" s="862"/>
      <c r="J42" s="862"/>
      <c r="K42" s="862"/>
    </row>
    <row r="43" spans="1:11" ht="14.45" customHeight="1">
      <c r="A43" s="1511"/>
      <c r="B43" s="878"/>
      <c r="C43" s="887"/>
      <c r="D43" s="887"/>
      <c r="E43" s="887"/>
      <c r="F43" s="436"/>
      <c r="G43" s="1514"/>
      <c r="H43" s="1514"/>
      <c r="I43" s="862"/>
      <c r="J43" s="862"/>
      <c r="K43" s="862"/>
    </row>
    <row r="44" spans="1:11" ht="14.45" customHeight="1">
      <c r="A44" s="1511"/>
      <c r="B44" s="878"/>
      <c r="C44" s="887"/>
      <c r="D44" s="887"/>
      <c r="E44" s="887"/>
      <c r="F44" s="436"/>
      <c r="G44" s="1514"/>
      <c r="H44" s="1514"/>
      <c r="I44" s="862"/>
      <c r="J44" s="862"/>
      <c r="K44" s="862"/>
    </row>
    <row r="45" spans="1:11" ht="14.45" customHeight="1">
      <c r="A45" s="1511"/>
      <c r="B45" s="878"/>
      <c r="C45" s="887"/>
      <c r="D45" s="887"/>
      <c r="E45" s="887"/>
      <c r="F45" s="436"/>
      <c r="G45" s="1514"/>
      <c r="H45" s="1514"/>
      <c r="I45" s="862"/>
      <c r="J45" s="862"/>
      <c r="K45" s="862"/>
    </row>
    <row r="46" spans="1:11" ht="14.45" customHeight="1">
      <c r="A46" s="1511"/>
      <c r="B46" s="878"/>
      <c r="C46" s="887"/>
      <c r="D46" s="887"/>
      <c r="E46" s="887"/>
      <c r="F46" s="436"/>
      <c r="G46" s="1514"/>
      <c r="H46" s="1514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1"/>
      <c r="AD52" s="1511"/>
    </row>
    <row r="53" spans="2:30" ht="15" customHeight="1">
      <c r="B53" s="1568"/>
      <c r="C53" s="1568"/>
      <c r="D53" s="1568"/>
      <c r="E53" s="1568"/>
      <c r="F53" s="1568"/>
      <c r="G53" s="1568"/>
      <c r="H53" s="1568"/>
      <c r="I53" s="1568"/>
      <c r="J53" s="1568"/>
      <c r="K53" s="1568"/>
      <c r="L53" s="1568"/>
      <c r="M53" s="1568"/>
      <c r="N53" s="1568"/>
      <c r="O53" s="1568"/>
      <c r="P53" s="1568"/>
      <c r="Q53" s="1568"/>
      <c r="R53" s="1568"/>
      <c r="S53" s="1568"/>
      <c r="T53" s="1568"/>
      <c r="U53" s="1568"/>
      <c r="V53" s="1568"/>
      <c r="W53" s="1568"/>
      <c r="X53" s="1568"/>
      <c r="Y53" s="1568"/>
      <c r="Z53" s="1568"/>
      <c r="AA53" s="1568"/>
      <c r="AB53" s="1568"/>
      <c r="AC53" s="1511"/>
      <c r="AD53" s="1511"/>
    </row>
    <row r="54" spans="2:30" ht="15" customHeight="1">
      <c r="B54" s="1569"/>
      <c r="C54" s="1567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70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1"/>
      <c r="AD54" s="1511"/>
    </row>
    <row r="55" spans="2:30" ht="15" customHeight="1">
      <c r="B55" s="1569"/>
      <c r="C55" s="1567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70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1"/>
      <c r="AD55" s="1511"/>
    </row>
    <row r="56" spans="2:30" ht="15" customHeight="1">
      <c r="B56" s="1569"/>
      <c r="C56" s="1567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70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1"/>
      <c r="AD56" s="1511"/>
    </row>
    <row r="57" spans="2:30" ht="15" customHeight="1">
      <c r="B57" s="1569"/>
      <c r="C57" s="1567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70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1"/>
      <c r="AD57" s="1511"/>
    </row>
    <row r="58" spans="2:30" ht="15" customHeight="1">
      <c r="B58" s="1569"/>
      <c r="C58" s="1567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70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1"/>
      <c r="AD58" s="1511"/>
    </row>
    <row r="59" spans="2:30" ht="15" customHeight="1">
      <c r="B59" s="1569"/>
      <c r="C59" s="1567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70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1"/>
      <c r="AD59" s="1511"/>
    </row>
    <row r="60" spans="2:30" ht="15" customHeight="1">
      <c r="B60" s="1569"/>
      <c r="C60" s="1567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70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1"/>
      <c r="AD60" s="1511"/>
    </row>
    <row r="61" spans="2:30" ht="15" customHeight="1">
      <c r="B61" s="1569"/>
      <c r="C61" s="1567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70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1"/>
      <c r="AD61" s="1511"/>
    </row>
    <row r="62" spans="2:30" ht="15" customHeight="1">
      <c r="B62" s="1569"/>
      <c r="C62" s="1567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70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1"/>
      <c r="AD62" s="1511"/>
    </row>
    <row r="63" spans="2:30" ht="15" customHeight="1">
      <c r="B63" s="1569"/>
      <c r="C63" s="1567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70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1"/>
      <c r="AD63" s="1511"/>
    </row>
    <row r="64" spans="2:30" ht="15" customHeight="1">
      <c r="B64" s="1569"/>
      <c r="C64" s="1567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70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1"/>
      <c r="AD64" s="1511"/>
    </row>
    <row r="65" spans="2:30" ht="15" customHeight="1">
      <c r="B65" s="1569"/>
      <c r="C65" s="1567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70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1"/>
      <c r="AD65" s="1511"/>
    </row>
    <row r="66" spans="2:30" ht="15" customHeight="1">
      <c r="B66" s="1459"/>
      <c r="C66" s="1571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1"/>
      <c r="AD66" s="1511"/>
    </row>
    <row r="67" spans="2:30" ht="15" customHeight="1">
      <c r="B67" s="1572"/>
      <c r="C67" s="1572"/>
      <c r="D67" s="1519"/>
      <c r="E67" s="1519"/>
      <c r="F67" s="1519"/>
      <c r="G67" s="1519"/>
      <c r="H67" s="1519"/>
      <c r="I67" s="1519"/>
      <c r="J67" s="1519"/>
      <c r="K67" s="1519"/>
      <c r="L67" s="1519"/>
      <c r="M67" s="1519"/>
      <c r="N67" s="1519"/>
      <c r="O67" s="1519"/>
      <c r="P67" s="1519"/>
      <c r="Q67" s="1519"/>
      <c r="R67" s="1519"/>
      <c r="S67" s="1519"/>
      <c r="T67" s="1519"/>
      <c r="U67" s="1519"/>
      <c r="V67" s="1519"/>
      <c r="W67" s="1519"/>
      <c r="X67" s="1519"/>
      <c r="Y67" s="1519"/>
      <c r="Z67" s="1519"/>
      <c r="AA67" s="1519"/>
      <c r="AB67" s="1519"/>
      <c r="AC67" s="1511"/>
      <c r="AD67" s="1511"/>
    </row>
    <row r="68" spans="2:30" ht="15" customHeight="1">
      <c r="B68" s="1511"/>
      <c r="C68" s="1573"/>
      <c r="D68" s="1573"/>
      <c r="E68" s="1573"/>
      <c r="F68" s="1511"/>
      <c r="G68" s="1511"/>
      <c r="H68" s="1511"/>
      <c r="I68" s="1511"/>
      <c r="J68" s="1511"/>
      <c r="K68" s="1511"/>
      <c r="L68" s="1511"/>
      <c r="M68" s="1511"/>
      <c r="N68" s="1511"/>
      <c r="O68" s="1511"/>
      <c r="P68" s="1511"/>
      <c r="Q68" s="1511"/>
      <c r="R68" s="1511"/>
      <c r="S68" s="1511"/>
      <c r="T68" s="1511"/>
      <c r="U68" s="1511"/>
      <c r="V68" s="1511"/>
      <c r="W68" s="1511"/>
      <c r="X68" s="1511"/>
      <c r="Y68" s="1511"/>
      <c r="Z68" s="1511"/>
      <c r="AA68" s="1511"/>
      <c r="AB68" s="1511"/>
      <c r="AC68" s="1511"/>
      <c r="AD68" s="1511"/>
    </row>
    <row r="69" spans="2:30" ht="15" customHeight="1">
      <c r="B69" s="1511"/>
      <c r="C69" s="1573"/>
      <c r="D69" s="1573"/>
      <c r="E69" s="1573"/>
      <c r="F69" s="1511"/>
      <c r="G69" s="1511"/>
      <c r="H69" s="1511"/>
      <c r="I69" s="1511"/>
      <c r="J69" s="1511"/>
      <c r="K69" s="1511"/>
      <c r="L69" s="1511"/>
      <c r="M69" s="1511"/>
      <c r="N69" s="1511"/>
      <c r="O69" s="1511"/>
      <c r="P69" s="1511"/>
      <c r="Q69" s="1511"/>
      <c r="R69" s="1511"/>
      <c r="S69" s="1511"/>
      <c r="T69" s="1511"/>
      <c r="U69" s="1511"/>
      <c r="V69" s="1511"/>
      <c r="W69" s="1511"/>
      <c r="X69" s="1511"/>
      <c r="Y69" s="1511"/>
      <c r="Z69" s="1511"/>
      <c r="AA69" s="1511"/>
      <c r="AB69" s="1511"/>
      <c r="AC69" s="1511"/>
      <c r="AD69" s="1511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4" t="s">
        <v>1323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353"/>
      <c r="P2" s="353"/>
      <c r="Q2" s="353"/>
      <c r="R2" s="9"/>
      <c r="S2" s="9"/>
      <c r="T2" s="9"/>
      <c r="U2" s="9"/>
      <c r="V2" s="9"/>
    </row>
    <row r="3" spans="1:22">
      <c r="A3" s="665" t="s">
        <v>1324</v>
      </c>
      <c r="B3" s="65"/>
      <c r="C3" s="65"/>
      <c r="D3" s="65"/>
      <c r="E3" s="65"/>
      <c r="F3" s="663"/>
      <c r="G3" s="353"/>
      <c r="H3" s="353"/>
      <c r="I3" s="665" t="s">
        <v>1325</v>
      </c>
      <c r="J3" s="353"/>
      <c r="K3" s="666"/>
      <c r="L3" s="9"/>
      <c r="M3" s="9"/>
      <c r="N3" s="663"/>
      <c r="O3" s="353"/>
      <c r="P3" s="353"/>
      <c r="Q3" s="353"/>
      <c r="R3" s="9"/>
      <c r="S3" s="9"/>
      <c r="T3" s="9"/>
      <c r="U3" s="9"/>
      <c r="V3" s="9"/>
    </row>
    <row r="4" spans="1:22" ht="25.5">
      <c r="A4" s="1326" t="s">
        <v>22</v>
      </c>
      <c r="B4" s="1327"/>
      <c r="C4" s="667" t="s">
        <v>850</v>
      </c>
      <c r="D4" s="667" t="s">
        <v>1326</v>
      </c>
      <c r="E4" s="667" t="s">
        <v>1327</v>
      </c>
      <c r="F4" s="667" t="s">
        <v>8</v>
      </c>
      <c r="G4" s="668" t="s">
        <v>1328</v>
      </c>
      <c r="H4" s="353"/>
      <c r="I4" s="1326" t="s">
        <v>22</v>
      </c>
      <c r="J4" s="1326"/>
      <c r="K4" s="1326"/>
      <c r="L4" s="667" t="s">
        <v>1327</v>
      </c>
      <c r="M4" s="667" t="s">
        <v>8</v>
      </c>
      <c r="N4" s="668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8" t="s">
        <v>697</v>
      </c>
      <c r="B5" s="1329"/>
      <c r="C5" s="1330">
        <f>SUMPRODUCT(C16:Q16,$C$22:$Q$22)</f>
        <v>0</v>
      </c>
      <c r="D5" s="672">
        <f>SUMPRODUCT(C28:Q28,$C$34:$Q$34)</f>
        <v>0</v>
      </c>
      <c r="E5" s="1331">
        <f>C5-D5</f>
        <v>0</v>
      </c>
      <c r="F5" s="1332">
        <f>Resultado!M9</f>
        <v>0</v>
      </c>
      <c r="G5" s="669">
        <f>F5+E5</f>
        <v>0</v>
      </c>
      <c r="H5" s="353"/>
      <c r="I5" s="1328" t="s">
        <v>697</v>
      </c>
      <c r="J5" s="1328"/>
      <c r="K5" s="1328"/>
      <c r="L5" s="1332">
        <f t="shared" ref="L5:N10" si="0">E5/12</f>
        <v>0</v>
      </c>
      <c r="M5" s="1332">
        <f t="shared" si="0"/>
        <v>0</v>
      </c>
      <c r="N5" s="1330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0"/>
      <c r="C6" s="671">
        <f t="shared" ref="C6:C10" si="1">SUMPRODUCT(C17:Q17,$C$22:$Q$22)</f>
        <v>0</v>
      </c>
      <c r="D6" s="672">
        <f t="shared" ref="D6:D10" si="2">SUMPRODUCT(C29:Q29,$C$34:$Q$34)</f>
        <v>0</v>
      </c>
      <c r="E6" s="690">
        <f t="shared" ref="E6:E10" si="3">C6-D6</f>
        <v>0</v>
      </c>
      <c r="F6" s="672">
        <f>Resultado!M10</f>
        <v>0</v>
      </c>
      <c r="G6" s="669">
        <f t="shared" ref="G6:G10" si="4">F6+E6</f>
        <v>0</v>
      </c>
      <c r="H6" s="353"/>
      <c r="I6" s="65" t="s">
        <v>699</v>
      </c>
      <c r="J6" s="65"/>
      <c r="K6" s="65"/>
      <c r="L6" s="672">
        <f t="shared" si="0"/>
        <v>0</v>
      </c>
      <c r="M6" s="672">
        <f t="shared" si="0"/>
        <v>0</v>
      </c>
      <c r="N6" s="671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0"/>
      <c r="C7" s="671">
        <f t="shared" si="1"/>
        <v>0</v>
      </c>
      <c r="D7" s="672">
        <f t="shared" si="2"/>
        <v>0</v>
      </c>
      <c r="E7" s="690">
        <f t="shared" si="3"/>
        <v>0</v>
      </c>
      <c r="F7" s="672">
        <f>-Financeiros!D34+Resultado!M11</f>
        <v>0</v>
      </c>
      <c r="G7" s="669">
        <f t="shared" si="4"/>
        <v>0</v>
      </c>
      <c r="H7" s="353"/>
      <c r="I7" s="65" t="s">
        <v>701</v>
      </c>
      <c r="J7" s="65"/>
      <c r="K7" s="65"/>
      <c r="L7" s="672">
        <f t="shared" si="0"/>
        <v>0</v>
      </c>
      <c r="M7" s="672">
        <f t="shared" si="0"/>
        <v>0</v>
      </c>
      <c r="N7" s="671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0"/>
      <c r="C8" s="671">
        <f t="shared" si="1"/>
        <v>68254.585704624013</v>
      </c>
      <c r="D8" s="672">
        <f t="shared" si="2"/>
        <v>73929.764897822126</v>
      </c>
      <c r="E8" s="690">
        <f t="shared" si="3"/>
        <v>-5675.1791931981134</v>
      </c>
      <c r="F8" s="672">
        <f>Resultado!M12</f>
        <v>36946.96028925664</v>
      </c>
      <c r="G8" s="669">
        <f t="shared" si="4"/>
        <v>31271.781096058527</v>
      </c>
      <c r="H8" s="353"/>
      <c r="I8" s="65" t="s">
        <v>702</v>
      </c>
      <c r="J8" s="65"/>
      <c r="K8" s="65"/>
      <c r="L8" s="672">
        <f t="shared" si="0"/>
        <v>-472.93159943317613</v>
      </c>
      <c r="M8" s="672">
        <f t="shared" si="0"/>
        <v>3078.9133574380535</v>
      </c>
      <c r="N8" s="671">
        <f t="shared" si="0"/>
        <v>2605.9817580048771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0"/>
      <c r="C9" s="671">
        <f t="shared" si="1"/>
        <v>779772.02347174159</v>
      </c>
      <c r="D9" s="672">
        <f t="shared" si="2"/>
        <v>792386.76378535118</v>
      </c>
      <c r="E9" s="690">
        <f>C9-D9</f>
        <v>-12614.740313609596</v>
      </c>
      <c r="F9" s="672">
        <f>Resultado!M13</f>
        <v>422262.8049658672</v>
      </c>
      <c r="G9" s="669">
        <f t="shared" si="4"/>
        <v>409648.0646522576</v>
      </c>
      <c r="H9" s="353"/>
      <c r="I9" s="65" t="s">
        <v>705</v>
      </c>
      <c r="J9" s="65"/>
      <c r="K9" s="65"/>
      <c r="L9" s="672">
        <f t="shared" si="0"/>
        <v>-1051.2283594674664</v>
      </c>
      <c r="M9" s="672">
        <f t="shared" si="0"/>
        <v>35188.567080488931</v>
      </c>
      <c r="N9" s="671">
        <f t="shared" si="0"/>
        <v>34137.338721021464</v>
      </c>
      <c r="P9" s="353"/>
      <c r="Q9" s="353"/>
      <c r="R9" s="9"/>
      <c r="S9" s="9"/>
      <c r="T9" s="9"/>
      <c r="U9" s="9"/>
      <c r="V9" s="9"/>
    </row>
    <row r="10" spans="1:22">
      <c r="A10" s="1066" t="s">
        <v>707</v>
      </c>
      <c r="B10" s="673"/>
      <c r="C10" s="671">
        <f t="shared" si="1"/>
        <v>181969.60875091964</v>
      </c>
      <c r="D10" s="672">
        <f t="shared" si="2"/>
        <v>166685.0818065097</v>
      </c>
      <c r="E10" s="1333">
        <f t="shared" si="3"/>
        <v>15284.526944409939</v>
      </c>
      <c r="F10" s="1334">
        <f>Resultado!M14</f>
        <v>184756.70617069083</v>
      </c>
      <c r="G10" s="669">
        <f t="shared" si="4"/>
        <v>200041.23311510077</v>
      </c>
      <c r="H10" s="353"/>
      <c r="I10" s="1066" t="s">
        <v>707</v>
      </c>
      <c r="J10" s="1066"/>
      <c r="K10" s="1066"/>
      <c r="L10" s="1334">
        <f t="shared" si="0"/>
        <v>1273.7105787008284</v>
      </c>
      <c r="M10" s="1334">
        <f t="shared" si="0"/>
        <v>15396.392180890902</v>
      </c>
      <c r="N10" s="674">
        <f t="shared" si="0"/>
        <v>16670.102759591729</v>
      </c>
      <c r="P10" s="353"/>
      <c r="Q10" s="353"/>
      <c r="R10" s="9"/>
      <c r="S10" s="9"/>
      <c r="T10" s="9"/>
      <c r="U10" s="9"/>
      <c r="V10" s="9"/>
    </row>
    <row r="11" spans="1:22">
      <c r="A11" s="1335" t="s">
        <v>769</v>
      </c>
      <c r="B11" s="1335"/>
      <c r="C11" s="1336">
        <f>SUM(C5:C10)</f>
        <v>1029996.2179272852</v>
      </c>
      <c r="D11" s="1336">
        <f>SUM(D5:D10)</f>
        <v>1033001.610489683</v>
      </c>
      <c r="E11" s="1336">
        <f t="shared" ref="E11" si="5">SUM(E5:E10)</f>
        <v>-3005.3925623977702</v>
      </c>
      <c r="F11" s="1336">
        <f>SUM(F5:F10)</f>
        <v>643966.47142581467</v>
      </c>
      <c r="G11" s="1337">
        <f>SUM(G5:G10)</f>
        <v>640961.07886341691</v>
      </c>
      <c r="H11" s="353"/>
      <c r="I11" s="1335" t="s">
        <v>769</v>
      </c>
      <c r="J11" s="1335"/>
      <c r="K11" s="1335"/>
      <c r="L11" s="1336">
        <f>SUM(L5:L10)</f>
        <v>-250.44938019981419</v>
      </c>
      <c r="M11" s="1336">
        <f>SUM(M5:M10)</f>
        <v>53663.872618817884</v>
      </c>
      <c r="N11" s="1337">
        <f>SUM(N5:N10)</f>
        <v>53413.423238618067</v>
      </c>
      <c r="P11" s="353"/>
      <c r="Q11" s="353"/>
      <c r="R11" s="9"/>
      <c r="S11" s="9"/>
      <c r="T11" s="9"/>
      <c r="U11" s="9"/>
      <c r="V11" s="9"/>
    </row>
    <row r="12" spans="1:22">
      <c r="A12" s="663"/>
      <c r="B12" s="663"/>
      <c r="C12" s="663"/>
      <c r="D12" s="663"/>
      <c r="E12" s="663"/>
      <c r="F12" s="663"/>
      <c r="G12" s="663"/>
      <c r="H12" s="663"/>
      <c r="I12" s="9"/>
      <c r="J12" s="663"/>
      <c r="K12" s="663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5" t="s">
        <v>1329</v>
      </c>
      <c r="B13" s="663"/>
      <c r="C13" s="353"/>
      <c r="D13" s="353"/>
      <c r="E13" s="353"/>
      <c r="F13" s="663"/>
      <c r="G13" s="663"/>
      <c r="H13" s="663"/>
      <c r="I13" s="663"/>
      <c r="J13" s="663"/>
      <c r="K13" s="663"/>
      <c r="L13" s="663"/>
      <c r="M13" s="663"/>
      <c r="N13" s="663"/>
      <c r="O13" s="353"/>
      <c r="P13" s="353"/>
      <c r="Q13" s="353"/>
      <c r="R13" s="9"/>
      <c r="S13" s="9"/>
      <c r="T13" s="9"/>
      <c r="U13" s="9"/>
      <c r="V13" s="9"/>
    </row>
    <row r="14" spans="1:22">
      <c r="A14" s="1843" t="s">
        <v>22</v>
      </c>
      <c r="B14" s="1844" t="s">
        <v>1330</v>
      </c>
      <c r="C14" s="353"/>
      <c r="D14" s="353"/>
      <c r="E14" s="353"/>
      <c r="F14" s="675" t="s">
        <v>874</v>
      </c>
      <c r="G14" s="675" t="s">
        <v>874</v>
      </c>
      <c r="H14" s="675" t="s">
        <v>874</v>
      </c>
      <c r="I14" s="675" t="s">
        <v>874</v>
      </c>
      <c r="J14" s="675" t="s">
        <v>874</v>
      </c>
      <c r="K14" s="675" t="s">
        <v>874</v>
      </c>
      <c r="L14" s="675" t="s">
        <v>874</v>
      </c>
      <c r="M14" s="675" t="s">
        <v>874</v>
      </c>
      <c r="N14" s="675" t="s">
        <v>874</v>
      </c>
      <c r="O14" s="675" t="s">
        <v>874</v>
      </c>
      <c r="P14" s="675" t="s">
        <v>874</v>
      </c>
      <c r="Q14" s="675" t="s">
        <v>874</v>
      </c>
      <c r="R14" s="9"/>
      <c r="S14" s="9"/>
      <c r="T14" s="9"/>
      <c r="U14" s="9"/>
      <c r="V14" s="9"/>
    </row>
    <row r="15" spans="1:22">
      <c r="A15" s="1843"/>
      <c r="B15" s="1844"/>
      <c r="C15" s="676">
        <f t="shared" ref="C15:P15" si="6">EDATE(D15,-1)</f>
        <v>44348</v>
      </c>
      <c r="D15" s="676">
        <f>EDATE(E15,-1)</f>
        <v>44378</v>
      </c>
      <c r="E15" s="676">
        <f>EDATE(F15,-1)</f>
        <v>44409</v>
      </c>
      <c r="F15" s="677">
        <f>EDATE(G15,-1)</f>
        <v>44440</v>
      </c>
      <c r="G15" s="677">
        <f t="shared" si="6"/>
        <v>44470</v>
      </c>
      <c r="H15" s="677">
        <f t="shared" si="6"/>
        <v>44501</v>
      </c>
      <c r="I15" s="677">
        <f t="shared" si="6"/>
        <v>44531</v>
      </c>
      <c r="J15" s="677">
        <f t="shared" si="6"/>
        <v>44562</v>
      </c>
      <c r="K15" s="677">
        <f t="shared" si="6"/>
        <v>44593</v>
      </c>
      <c r="L15" s="677">
        <f t="shared" si="6"/>
        <v>44621</v>
      </c>
      <c r="M15" s="677">
        <f t="shared" si="6"/>
        <v>44652</v>
      </c>
      <c r="N15" s="677">
        <f t="shared" si="6"/>
        <v>44682</v>
      </c>
      <c r="O15" s="677">
        <f t="shared" si="6"/>
        <v>44713</v>
      </c>
      <c r="P15" s="677">
        <f t="shared" si="6"/>
        <v>44743</v>
      </c>
      <c r="Q15" s="677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8" t="s">
        <v>1331</v>
      </c>
      <c r="B16" s="679" t="s">
        <v>926</v>
      </c>
      <c r="C16" s="680">
        <f>C40</f>
        <v>0</v>
      </c>
      <c r="D16" s="680">
        <f t="shared" ref="D16:E16" si="7">D40</f>
        <v>0</v>
      </c>
      <c r="E16" s="680">
        <f t="shared" si="7"/>
        <v>0</v>
      </c>
      <c r="F16" s="680">
        <f t="shared" ref="F16:Q21" si="8">DSUM(MercadoBase,$B16,F$14:F$15)</f>
        <v>0</v>
      </c>
      <c r="G16" s="680">
        <f t="shared" si="8"/>
        <v>0</v>
      </c>
      <c r="H16" s="680">
        <f t="shared" si="8"/>
        <v>0</v>
      </c>
      <c r="I16" s="680">
        <f t="shared" si="8"/>
        <v>0</v>
      </c>
      <c r="J16" s="680">
        <f t="shared" si="8"/>
        <v>0</v>
      </c>
      <c r="K16" s="680">
        <f t="shared" si="8"/>
        <v>0</v>
      </c>
      <c r="L16" s="680">
        <f t="shared" si="8"/>
        <v>0</v>
      </c>
      <c r="M16" s="680">
        <f t="shared" si="8"/>
        <v>0</v>
      </c>
      <c r="N16" s="680">
        <f t="shared" si="8"/>
        <v>0</v>
      </c>
      <c r="O16" s="680">
        <f t="shared" si="8"/>
        <v>0</v>
      </c>
      <c r="P16" s="680">
        <f t="shared" si="8"/>
        <v>0</v>
      </c>
      <c r="Q16" s="680">
        <f t="shared" si="8"/>
        <v>0</v>
      </c>
      <c r="R16" s="9"/>
      <c r="S16" s="9"/>
      <c r="T16" s="9"/>
      <c r="U16" s="9"/>
      <c r="V16" s="9"/>
    </row>
    <row r="17" spans="1:22">
      <c r="A17" s="678" t="s">
        <v>1332</v>
      </c>
      <c r="B17" s="679" t="s">
        <v>927</v>
      </c>
      <c r="C17" s="680">
        <f t="shared" ref="C17:E21" si="9">C41</f>
        <v>0</v>
      </c>
      <c r="D17" s="680">
        <f t="shared" si="9"/>
        <v>0</v>
      </c>
      <c r="E17" s="680">
        <f t="shared" si="9"/>
        <v>0</v>
      </c>
      <c r="F17" s="680">
        <f t="shared" si="8"/>
        <v>0</v>
      </c>
      <c r="G17" s="680">
        <f t="shared" si="8"/>
        <v>0</v>
      </c>
      <c r="H17" s="680">
        <f t="shared" si="8"/>
        <v>0</v>
      </c>
      <c r="I17" s="680">
        <f t="shared" si="8"/>
        <v>0</v>
      </c>
      <c r="J17" s="680">
        <f t="shared" si="8"/>
        <v>0</v>
      </c>
      <c r="K17" s="680">
        <f t="shared" si="8"/>
        <v>0</v>
      </c>
      <c r="L17" s="680">
        <f t="shared" si="8"/>
        <v>0</v>
      </c>
      <c r="M17" s="680">
        <f t="shared" si="8"/>
        <v>0</v>
      </c>
      <c r="N17" s="680">
        <f t="shared" si="8"/>
        <v>0</v>
      </c>
      <c r="O17" s="680">
        <f t="shared" si="8"/>
        <v>0</v>
      </c>
      <c r="P17" s="680">
        <f t="shared" si="8"/>
        <v>0</v>
      </c>
      <c r="Q17" s="680">
        <f t="shared" si="8"/>
        <v>0</v>
      </c>
      <c r="R17" s="9"/>
      <c r="S17" s="9"/>
      <c r="T17" s="9"/>
      <c r="U17" s="9"/>
      <c r="V17" s="9"/>
    </row>
    <row r="18" spans="1:22">
      <c r="A18" s="678" t="s">
        <v>1333</v>
      </c>
      <c r="B18" s="679" t="s">
        <v>928</v>
      </c>
      <c r="C18" s="680">
        <f t="shared" si="9"/>
        <v>0</v>
      </c>
      <c r="D18" s="680">
        <f t="shared" si="9"/>
        <v>0</v>
      </c>
      <c r="E18" s="680">
        <f t="shared" si="9"/>
        <v>0</v>
      </c>
      <c r="F18" s="680">
        <f t="shared" si="8"/>
        <v>0</v>
      </c>
      <c r="G18" s="680">
        <f t="shared" si="8"/>
        <v>0</v>
      </c>
      <c r="H18" s="680">
        <f t="shared" si="8"/>
        <v>0</v>
      </c>
      <c r="I18" s="680">
        <f t="shared" si="8"/>
        <v>0</v>
      </c>
      <c r="J18" s="680">
        <f t="shared" si="8"/>
        <v>0</v>
      </c>
      <c r="K18" s="680">
        <f t="shared" si="8"/>
        <v>0</v>
      </c>
      <c r="L18" s="680">
        <f t="shared" si="8"/>
        <v>0</v>
      </c>
      <c r="M18" s="680">
        <f t="shared" si="8"/>
        <v>0</v>
      </c>
      <c r="N18" s="680">
        <f t="shared" si="8"/>
        <v>0</v>
      </c>
      <c r="O18" s="680">
        <f t="shared" si="8"/>
        <v>0</v>
      </c>
      <c r="P18" s="680">
        <f t="shared" si="8"/>
        <v>0</v>
      </c>
      <c r="Q18" s="680">
        <f t="shared" si="8"/>
        <v>0</v>
      </c>
      <c r="R18" s="9"/>
      <c r="S18" s="9"/>
      <c r="T18" s="9"/>
      <c r="U18" s="9"/>
      <c r="V18" s="9"/>
    </row>
    <row r="19" spans="1:22">
      <c r="A19" s="678" t="s">
        <v>1334</v>
      </c>
      <c r="B19" s="679" t="s">
        <v>929</v>
      </c>
      <c r="C19" s="680">
        <f t="shared" si="9"/>
        <v>0</v>
      </c>
      <c r="D19" s="680">
        <f t="shared" si="9"/>
        <v>0</v>
      </c>
      <c r="E19" s="680">
        <f t="shared" si="9"/>
        <v>0</v>
      </c>
      <c r="F19" s="680">
        <f t="shared" si="8"/>
        <v>5658.6478410000082</v>
      </c>
      <c r="G19" s="680">
        <f t="shared" si="8"/>
        <v>5394.247179</v>
      </c>
      <c r="H19" s="680">
        <f t="shared" si="8"/>
        <v>5311.6919964000026</v>
      </c>
      <c r="I19" s="680">
        <f t="shared" si="8"/>
        <v>5290.8127140000051</v>
      </c>
      <c r="J19" s="680">
        <f t="shared" si="8"/>
        <v>5421.1422125999998</v>
      </c>
      <c r="K19" s="680">
        <f t="shared" si="8"/>
        <v>5257.2582042000004</v>
      </c>
      <c r="L19" s="680">
        <f t="shared" si="8"/>
        <v>5570.4291563999959</v>
      </c>
      <c r="M19" s="680">
        <f t="shared" si="8"/>
        <v>5178.7169477999969</v>
      </c>
      <c r="N19" s="680">
        <f t="shared" si="8"/>
        <v>5286.5733545999965</v>
      </c>
      <c r="O19" s="680">
        <f t="shared" si="8"/>
        <v>5454.1795121999976</v>
      </c>
      <c r="P19" s="680">
        <f t="shared" si="8"/>
        <v>5767.5203495999958</v>
      </c>
      <c r="Q19" s="680">
        <f t="shared" si="8"/>
        <v>5767.5203495999958</v>
      </c>
      <c r="R19" s="9"/>
      <c r="S19" s="9"/>
      <c r="T19" s="9"/>
      <c r="U19" s="9"/>
      <c r="V19" s="9"/>
    </row>
    <row r="20" spans="1:22">
      <c r="A20" s="678" t="s">
        <v>1335</v>
      </c>
      <c r="B20" s="679" t="s">
        <v>930</v>
      </c>
      <c r="C20" s="680">
        <f t="shared" si="9"/>
        <v>0</v>
      </c>
      <c r="D20" s="680">
        <f t="shared" si="9"/>
        <v>0</v>
      </c>
      <c r="E20" s="680">
        <f t="shared" si="9"/>
        <v>0</v>
      </c>
      <c r="F20" s="680">
        <f t="shared" si="8"/>
        <v>66176.302989999982</v>
      </c>
      <c r="G20" s="680">
        <f t="shared" si="8"/>
        <v>63517.887789999986</v>
      </c>
      <c r="H20" s="680">
        <f t="shared" si="8"/>
        <v>69026.069909999991</v>
      </c>
      <c r="I20" s="680">
        <f t="shared" si="8"/>
        <v>68519.200679999994</v>
      </c>
      <c r="J20" s="680">
        <f t="shared" si="8"/>
        <v>82053.948969999983</v>
      </c>
      <c r="K20" s="680">
        <f t="shared" si="8"/>
        <v>72306.233089999994</v>
      </c>
      <c r="L20" s="680">
        <f t="shared" si="8"/>
        <v>71836.560389999984</v>
      </c>
      <c r="M20" s="680">
        <f t="shared" si="8"/>
        <v>57948.372509999987</v>
      </c>
      <c r="N20" s="680">
        <f t="shared" si="8"/>
        <v>48318.631059999985</v>
      </c>
      <c r="O20" s="680">
        <f t="shared" si="8"/>
        <v>47116.684929999996</v>
      </c>
      <c r="P20" s="680">
        <f t="shared" si="8"/>
        <v>47751.25095999999</v>
      </c>
      <c r="Q20" s="680">
        <f t="shared" si="8"/>
        <v>47751.25095999999</v>
      </c>
      <c r="R20" s="9"/>
      <c r="S20" s="9"/>
      <c r="T20" s="9"/>
      <c r="U20" s="9"/>
      <c r="V20" s="9"/>
    </row>
    <row r="21" spans="1:22">
      <c r="A21" s="678" t="s">
        <v>1336</v>
      </c>
      <c r="B21" s="679" t="s">
        <v>931</v>
      </c>
      <c r="C21" s="680">
        <f t="shared" si="9"/>
        <v>0</v>
      </c>
      <c r="D21" s="680">
        <f t="shared" si="9"/>
        <v>0</v>
      </c>
      <c r="E21" s="680">
        <f t="shared" si="9"/>
        <v>0</v>
      </c>
      <c r="F21" s="680">
        <f t="shared" si="8"/>
        <v>26948.936041999994</v>
      </c>
      <c r="G21" s="680">
        <f t="shared" si="8"/>
        <v>20784.896110000001</v>
      </c>
      <c r="H21" s="680">
        <f t="shared" si="8"/>
        <v>28403.108330000003</v>
      </c>
      <c r="I21" s="680">
        <f t="shared" si="8"/>
        <v>33652.806096000008</v>
      </c>
      <c r="J21" s="680">
        <f t="shared" si="8"/>
        <v>38459.305159999996</v>
      </c>
      <c r="K21" s="680">
        <f t="shared" si="8"/>
        <v>11404.858054</v>
      </c>
      <c r="L21" s="680">
        <f t="shared" si="8"/>
        <v>4585.5526279999995</v>
      </c>
      <c r="M21" s="680">
        <f t="shared" si="8"/>
        <v>1199.2742720000001</v>
      </c>
      <c r="N21" s="680">
        <f t="shared" si="8"/>
        <v>851.9234919999999</v>
      </c>
      <c r="O21" s="680">
        <f t="shared" si="8"/>
        <v>457.30166600000007</v>
      </c>
      <c r="P21" s="680">
        <f>DSUM(MercadoBase,$B21,P$14:P$15)</f>
        <v>937.58593999999982</v>
      </c>
      <c r="Q21" s="680">
        <f t="shared" si="8"/>
        <v>937.58593999999982</v>
      </c>
      <c r="R21" s="9"/>
      <c r="S21" s="9"/>
      <c r="T21" s="9"/>
      <c r="U21" s="9"/>
      <c r="V21" s="9"/>
    </row>
    <row r="22" spans="1:22">
      <c r="A22" s="1338" t="s">
        <v>1337</v>
      </c>
      <c r="B22" s="1339" t="s">
        <v>1194</v>
      </c>
      <c r="C22" s="1340">
        <f>VLOOKUP($Q$15,Índices!$B:$F,2,FALSE)/VLOOKUP(EDATE(C15,-1),Índices!$B:$F,2,FALSE)</f>
        <v>1.1082167683385875</v>
      </c>
      <c r="D22" s="1340">
        <f>VLOOKUP($Q$15,Índices!$B:$F,2,FALSE)/VLOOKUP(EDATE(D15,-1),Índices!$B:$F,2,FALSE)</f>
        <v>1.1015781797155986</v>
      </c>
      <c r="E22" s="1340">
        <f>VLOOKUP($Q$15,Índices!$B:$F,2,FALSE)/VLOOKUP(EDATE(E15,-1),Índices!$B:$F,2,FALSE)</f>
        <v>1.0930813258985603</v>
      </c>
      <c r="F22" s="1340">
        <f>VLOOKUP($Q$15,Índices!$B:$F,2,FALSE)/VLOOKUP(EDATE(F15,-1),Índices!$B:$F,2,FALSE)</f>
        <v>1.0858745154816776</v>
      </c>
      <c r="G22" s="1340">
        <f>VLOOKUP($Q$15,Índices!$B:$F,2,FALSE)/VLOOKUP(EDATE(G15,-1),Índices!$B:$F,2,FALSE)</f>
        <v>1.0928625709205468</v>
      </c>
      <c r="H22" s="1340">
        <f>VLOOKUP($Q$15,Índices!$B:$F,2,FALSE)/VLOOKUP(EDATE(H15,-1),Índices!$B:$F,2,FALSE)</f>
        <v>1.0858814807891262</v>
      </c>
      <c r="I22" s="1340">
        <f>VLOOKUP($Q$15,Índices!$B:$F,2,FALSE)/VLOOKUP(EDATE(I15,-1),Índices!$B:$F,2,FALSE)</f>
        <v>1.0856825071943401</v>
      </c>
      <c r="J22" s="1340">
        <f>VLOOKUP($Q$15,Índices!$B:$F,2,FALSE)/VLOOKUP(EDATE(J15,-1),Índices!$B:$F,2,FALSE)</f>
        <v>1.0763096418852884</v>
      </c>
      <c r="K22" s="1340">
        <f>VLOOKUP($Q$15,Índices!$B:$F,2,FALSE)/VLOOKUP(EDATE(K15,-1),Índices!$B:$F,2,FALSE)</f>
        <v>1.0570963934847399</v>
      </c>
      <c r="L22" s="1340">
        <f>VLOOKUP($Q$15,Índices!$B:$F,2,FALSE)/VLOOKUP(EDATE(L15,-1),Índices!$B:$F,2,FALSE)</f>
        <v>1.0380694251480009</v>
      </c>
      <c r="M22" s="1340">
        <f>VLOOKUP($Q$15,Índices!$B:$F,2,FALSE)/VLOOKUP(EDATE(M15,-1),Índices!$B:$F,2,FALSE)</f>
        <v>1.0203079339221537</v>
      </c>
      <c r="N22" s="1340">
        <f>VLOOKUP($Q$15,Índices!$B:$F,2,FALSE)/VLOOKUP(EDATE(N15,-1),Índices!$B:$F,2,FALSE)</f>
        <v>1.0061088003233121</v>
      </c>
      <c r="O22" s="1340">
        <f>VLOOKUP($Q$15,Índices!$B:$F,2,FALSE)/VLOOKUP(EDATE(O15,-1),Índices!$B:$F,2,FALSE)</f>
        <v>1.0008877041571751</v>
      </c>
      <c r="P22" s="1340">
        <f>VLOOKUP($Q$15,Índices!$B:$F,2,FALSE)/VLOOKUP(EDATE(P15,-1),Índices!$B:$F,2,FALSE)</f>
        <v>0.99506416252827723</v>
      </c>
      <c r="Q22" s="1340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1" t="s">
        <v>1338</v>
      </c>
      <c r="B23" s="1342"/>
      <c r="C23" s="1343">
        <f t="shared" ref="C23:Q23" si="10">SUM(C16:C21)*C22</f>
        <v>0</v>
      </c>
      <c r="D23" s="1343">
        <f t="shared" si="10"/>
        <v>0</v>
      </c>
      <c r="E23" s="1343">
        <f t="shared" si="10"/>
        <v>0</v>
      </c>
      <c r="F23" s="1344">
        <f>SUM(F16:F21)*F22</f>
        <v>107266.90529561571</v>
      </c>
      <c r="G23" s="1344">
        <f t="shared" si="10"/>
        <v>98026.527988936126</v>
      </c>
      <c r="H23" s="1344">
        <f t="shared" si="10"/>
        <v>111564.40830986548</v>
      </c>
      <c r="I23" s="1344">
        <f t="shared" si="10"/>
        <v>116670.503294076</v>
      </c>
      <c r="J23" s="1344">
        <f t="shared" si="10"/>
        <v>135544.40502854376</v>
      </c>
      <c r="K23" s="1344">
        <f t="shared" si="10"/>
        <v>94048.12123027262</v>
      </c>
      <c r="L23" s="1344">
        <f t="shared" si="10"/>
        <v>85113.951121402628</v>
      </c>
      <c r="M23" s="1344">
        <f t="shared" si="10"/>
        <v>65632.699273877195</v>
      </c>
      <c r="N23" s="1344">
        <f t="shared" si="10"/>
        <v>54789.795627162472</v>
      </c>
      <c r="O23" s="1344">
        <f t="shared" si="10"/>
        <v>53075.239431701615</v>
      </c>
      <c r="P23" s="1344">
        <f t="shared" si="10"/>
        <v>54187.569520913887</v>
      </c>
      <c r="Q23" s="1344">
        <f t="shared" si="10"/>
        <v>54076.091804917618</v>
      </c>
      <c r="R23" s="9"/>
      <c r="S23" s="9"/>
      <c r="T23" s="9"/>
      <c r="U23" s="9"/>
      <c r="V23" s="9"/>
    </row>
    <row r="24" spans="1:22">
      <c r="A24" s="9"/>
      <c r="B24" s="9"/>
      <c r="C24" s="9" t="s">
        <v>1339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5" t="s">
        <v>1340</v>
      </c>
      <c r="B25" s="663"/>
      <c r="C25" s="663"/>
      <c r="D25" s="663"/>
      <c r="E25" s="663"/>
      <c r="F25" s="663"/>
      <c r="G25" s="663"/>
      <c r="H25" s="663"/>
      <c r="I25" s="663"/>
      <c r="J25" s="663"/>
      <c r="K25" s="663"/>
      <c r="L25" s="663"/>
      <c r="M25" s="663"/>
      <c r="N25" s="663"/>
      <c r="O25" s="353"/>
      <c r="P25" s="353"/>
      <c r="Q25" s="353"/>
      <c r="R25" s="9"/>
      <c r="S25" s="9"/>
      <c r="T25" s="9"/>
      <c r="U25" s="9"/>
      <c r="V25" s="9"/>
    </row>
    <row r="26" spans="1:22">
      <c r="A26" s="1843" t="s">
        <v>22</v>
      </c>
      <c r="B26" s="1844" t="s">
        <v>1330</v>
      </c>
      <c r="C26" s="675" t="s">
        <v>874</v>
      </c>
      <c r="D26" s="675" t="s">
        <v>874</v>
      </c>
      <c r="E26" s="675" t="s">
        <v>874</v>
      </c>
      <c r="F26" s="675" t="s">
        <v>874</v>
      </c>
      <c r="G26" s="675" t="s">
        <v>874</v>
      </c>
      <c r="H26" s="675" t="s">
        <v>874</v>
      </c>
      <c r="I26" s="675" t="s">
        <v>874</v>
      </c>
      <c r="J26" s="675" t="s">
        <v>874</v>
      </c>
      <c r="K26" s="675" t="s">
        <v>874</v>
      </c>
      <c r="L26" s="675" t="s">
        <v>874</v>
      </c>
      <c r="M26" s="675" t="s">
        <v>874</v>
      </c>
      <c r="N26" s="675" t="s">
        <v>874</v>
      </c>
      <c r="O26" s="675" t="s">
        <v>874</v>
      </c>
      <c r="P26" s="675" t="s">
        <v>874</v>
      </c>
      <c r="Q26" s="675" t="s">
        <v>874</v>
      </c>
      <c r="R26" s="9"/>
      <c r="S26" s="9"/>
      <c r="T26" s="9"/>
      <c r="U26" s="9"/>
      <c r="V26" s="9"/>
    </row>
    <row r="27" spans="1:22">
      <c r="A27" s="1843"/>
      <c r="B27" s="1844"/>
      <c r="C27" s="676">
        <f t="shared" ref="C27:Q27" si="11">C15</f>
        <v>44348</v>
      </c>
      <c r="D27" s="676">
        <f t="shared" si="11"/>
        <v>44378</v>
      </c>
      <c r="E27" s="676">
        <f t="shared" si="11"/>
        <v>44409</v>
      </c>
      <c r="F27" s="677">
        <f>F15</f>
        <v>44440</v>
      </c>
      <c r="G27" s="677">
        <f t="shared" si="11"/>
        <v>44470</v>
      </c>
      <c r="H27" s="677">
        <f t="shared" si="11"/>
        <v>44501</v>
      </c>
      <c r="I27" s="677">
        <f t="shared" si="11"/>
        <v>44531</v>
      </c>
      <c r="J27" s="677">
        <f t="shared" si="11"/>
        <v>44562</v>
      </c>
      <c r="K27" s="677">
        <f t="shared" si="11"/>
        <v>44593</v>
      </c>
      <c r="L27" s="677">
        <f t="shared" si="11"/>
        <v>44621</v>
      </c>
      <c r="M27" s="677">
        <f t="shared" si="11"/>
        <v>44652</v>
      </c>
      <c r="N27" s="677">
        <f t="shared" si="11"/>
        <v>44682</v>
      </c>
      <c r="O27" s="677">
        <f t="shared" si="11"/>
        <v>44713</v>
      </c>
      <c r="P27" s="677">
        <f t="shared" si="11"/>
        <v>44743</v>
      </c>
      <c r="Q27" s="677">
        <f t="shared" si="11"/>
        <v>44774</v>
      </c>
      <c r="S27" s="9"/>
      <c r="T27" s="9"/>
      <c r="U27" s="9"/>
      <c r="V27" s="9"/>
    </row>
    <row r="28" spans="1:22">
      <c r="A28" s="678" t="s">
        <v>1331</v>
      </c>
      <c r="B28" s="679" t="s">
        <v>697</v>
      </c>
      <c r="C28" s="680">
        <f>IF(C40=0,0,VLOOKUP($B28,BD!$B$61:$C$66,2,FALSE))</f>
        <v>0</v>
      </c>
      <c r="D28" s="680">
        <f>IF(D40=0,0,VLOOKUP($B28,BD!$B$61:$C$66,2,FALSE))</f>
        <v>0</v>
      </c>
      <c r="E28" s="680">
        <f>IF(E40=0,0,VLOOKUP($B28,BD!$B$61:$C$66,2,FALSE))</f>
        <v>0</v>
      </c>
      <c r="F28" s="680">
        <f>VLOOKUP($B28,BD!$B$61:$C$66,2,FALSE)</f>
        <v>0</v>
      </c>
      <c r="G28" s="680">
        <f>VLOOKUP($B28,BD!$B$61:$C$66,2,FALSE)</f>
        <v>0</v>
      </c>
      <c r="H28" s="680">
        <f>VLOOKUP($B28,BD!$B$61:$C$66,2,FALSE)</f>
        <v>0</v>
      </c>
      <c r="I28" s="680">
        <f>VLOOKUP($B28,BD!$B$61:$C$66,2,FALSE)</f>
        <v>0</v>
      </c>
      <c r="J28" s="680">
        <f>VLOOKUP($B28,BD!$B$61:$C$66,2,FALSE)</f>
        <v>0</v>
      </c>
      <c r="K28" s="680">
        <f>VLOOKUP($B28,BD!$B$61:$C$66,2,FALSE)</f>
        <v>0</v>
      </c>
      <c r="L28" s="680">
        <f>VLOOKUP($B28,BD!$B$61:$C$66,2,FALSE)</f>
        <v>0</v>
      </c>
      <c r="M28" s="680">
        <f>VLOOKUP($B28,BD!$B$61:$C$66,2,FALSE)</f>
        <v>0</v>
      </c>
      <c r="N28" s="680">
        <f>VLOOKUP($B28,BD!$B$61:$C$66,2,FALSE)</f>
        <v>0</v>
      </c>
      <c r="O28" s="680">
        <f>VLOOKUP($B28,BD!$B$61:$C$66,2,FALSE)</f>
        <v>0</v>
      </c>
      <c r="P28" s="680">
        <f>VLOOKUP($B28,BD!$B$61:$C$66,2,FALSE)</f>
        <v>0</v>
      </c>
      <c r="Q28" s="680">
        <f>VLOOKUP($B28,BD!$B$61:$C$66,2,FALSE)</f>
        <v>0</v>
      </c>
      <c r="S28" s="9"/>
      <c r="T28" s="9"/>
      <c r="U28" s="9"/>
      <c r="V28" s="9"/>
    </row>
    <row r="29" spans="1:22">
      <c r="A29" s="678" t="s">
        <v>1332</v>
      </c>
      <c r="B29" s="679" t="s">
        <v>699</v>
      </c>
      <c r="C29" s="680">
        <f>IF(C41=0,0,VLOOKUP($B29,BD!$B$61:$C$66,2,FALSE))</f>
        <v>0</v>
      </c>
      <c r="D29" s="680">
        <f>IF(D41=0,0,VLOOKUP($B29,BD!$B$61:$C$66,2,FALSE))</f>
        <v>0</v>
      </c>
      <c r="E29" s="680">
        <f>IF(E41=0,0,VLOOKUP($B29,BD!$B$61:$C$66,2,FALSE))</f>
        <v>0</v>
      </c>
      <c r="F29" s="680">
        <f>VLOOKUP($B29,BD!$B$61:$C$66,2,FALSE)</f>
        <v>0</v>
      </c>
      <c r="G29" s="680">
        <f>VLOOKUP($B29,BD!$B$61:$C$66,2,FALSE)</f>
        <v>0</v>
      </c>
      <c r="H29" s="680">
        <f>VLOOKUP($B29,BD!$B$61:$C$66,2,FALSE)</f>
        <v>0</v>
      </c>
      <c r="I29" s="680">
        <f>VLOOKUP($B29,BD!$B$61:$C$66,2,FALSE)</f>
        <v>0</v>
      </c>
      <c r="J29" s="680">
        <f>VLOOKUP($B29,BD!$B$61:$C$66,2,FALSE)</f>
        <v>0</v>
      </c>
      <c r="K29" s="680">
        <f>VLOOKUP($B29,BD!$B$61:$C$66,2,FALSE)</f>
        <v>0</v>
      </c>
      <c r="L29" s="680">
        <f>VLOOKUP($B29,BD!$B$61:$C$66,2,FALSE)</f>
        <v>0</v>
      </c>
      <c r="M29" s="680">
        <f>VLOOKUP($B29,BD!$B$61:$C$66,2,FALSE)</f>
        <v>0</v>
      </c>
      <c r="N29" s="680">
        <f>VLOOKUP($B29,BD!$B$61:$C$66,2,FALSE)</f>
        <v>0</v>
      </c>
      <c r="O29" s="680">
        <f>VLOOKUP($B29,BD!$B$61:$C$66,2,FALSE)</f>
        <v>0</v>
      </c>
      <c r="P29" s="680">
        <f>VLOOKUP($B29,BD!$B$61:$C$66,2,FALSE)</f>
        <v>0</v>
      </c>
      <c r="Q29" s="680">
        <f>VLOOKUP($B29,BD!$B$61:$C$66,2,FALSE)</f>
        <v>0</v>
      </c>
      <c r="S29" s="9"/>
      <c r="T29" s="9"/>
      <c r="U29" s="9"/>
      <c r="V29" s="9"/>
    </row>
    <row r="30" spans="1:22">
      <c r="A30" s="678" t="s">
        <v>1333</v>
      </c>
      <c r="B30" s="679" t="s">
        <v>701</v>
      </c>
      <c r="C30" s="680">
        <f>IF(C42=0,0,VLOOKUP($B30,BD!$B$61:$C$66,2,FALSE))</f>
        <v>0</v>
      </c>
      <c r="D30" s="680">
        <f>IF(D42=0,0,VLOOKUP($B30,BD!$B$61:$C$66,2,FALSE))</f>
        <v>0</v>
      </c>
      <c r="E30" s="680">
        <f>IF(E42=0,0,VLOOKUP($B30,BD!$B$61:$C$66,2,FALSE))</f>
        <v>0</v>
      </c>
      <c r="F30" s="680">
        <f>VLOOKUP($B30,BD!$B$61:$C$66,2,FALSE)</f>
        <v>0</v>
      </c>
      <c r="G30" s="680">
        <f>VLOOKUP($B30,BD!$B$61:$C$66,2,FALSE)</f>
        <v>0</v>
      </c>
      <c r="H30" s="680">
        <f>VLOOKUP($B30,BD!$B$61:$C$66,2,FALSE)</f>
        <v>0</v>
      </c>
      <c r="I30" s="680">
        <f>VLOOKUP($B30,BD!$B$61:$C$66,2,FALSE)</f>
        <v>0</v>
      </c>
      <c r="J30" s="680">
        <f>VLOOKUP($B30,BD!$B$61:$C$66,2,FALSE)</f>
        <v>0</v>
      </c>
      <c r="K30" s="680">
        <f>VLOOKUP($B30,BD!$B$61:$C$66,2,FALSE)</f>
        <v>0</v>
      </c>
      <c r="L30" s="680">
        <f>VLOOKUP($B30,BD!$B$61:$C$66,2,FALSE)</f>
        <v>0</v>
      </c>
      <c r="M30" s="680">
        <f>VLOOKUP($B30,BD!$B$61:$C$66,2,FALSE)</f>
        <v>0</v>
      </c>
      <c r="N30" s="680">
        <f>VLOOKUP($B30,BD!$B$61:$C$66,2,FALSE)</f>
        <v>0</v>
      </c>
      <c r="O30" s="680">
        <f>VLOOKUP($B30,BD!$B$61:$C$66,2,FALSE)</f>
        <v>0</v>
      </c>
      <c r="P30" s="680">
        <f>VLOOKUP($B30,BD!$B$61:$C$66,2,FALSE)</f>
        <v>0</v>
      </c>
      <c r="Q30" s="680">
        <f>VLOOKUP($B30,BD!$B$61:$C$66,2,FALSE)</f>
        <v>0</v>
      </c>
      <c r="S30" s="9"/>
      <c r="T30" s="9"/>
      <c r="U30" s="9"/>
      <c r="V30" s="9"/>
    </row>
    <row r="31" spans="1:22">
      <c r="A31" s="678" t="s">
        <v>1334</v>
      </c>
      <c r="B31" s="679" t="s">
        <v>702</v>
      </c>
      <c r="C31" s="680">
        <f>IF(C43=0,0,VLOOKUP($B31,BD!$B$61:$C$66,2,FALSE))</f>
        <v>0</v>
      </c>
      <c r="D31" s="680">
        <f>IF(D43=0,0,VLOOKUP($B31,BD!$B$61:$C$66,2,FALSE))</f>
        <v>0</v>
      </c>
      <c r="E31" s="680">
        <f>IF(E43=0,0,VLOOKUP($B31,BD!$B$61:$C$66,2,FALSE))</f>
        <v>0</v>
      </c>
      <c r="F31" s="680">
        <f>VLOOKUP($B31,BD!$B$61:$C$66,2,FALSE)</f>
        <v>5896.85</v>
      </c>
      <c r="G31" s="680">
        <f>VLOOKUP($B31,BD!$B$61:$C$66,2,FALSE)</f>
        <v>5896.85</v>
      </c>
      <c r="H31" s="680">
        <f>VLOOKUP($B31,BD!$B$61:$C$66,2,FALSE)</f>
        <v>5896.85</v>
      </c>
      <c r="I31" s="680">
        <f>VLOOKUP($B31,BD!$B$61:$C$66,2,FALSE)</f>
        <v>5896.85</v>
      </c>
      <c r="J31" s="680">
        <f>VLOOKUP($B31,BD!$B$61:$C$66,2,FALSE)</f>
        <v>5896.85</v>
      </c>
      <c r="K31" s="680">
        <f>VLOOKUP($B31,BD!$B$61:$C$66,2,FALSE)</f>
        <v>5896.85</v>
      </c>
      <c r="L31" s="680">
        <f>VLOOKUP($B31,BD!$B$61:$C$66,2,FALSE)</f>
        <v>5896.85</v>
      </c>
      <c r="M31" s="680">
        <f>VLOOKUP($B31,BD!$B$61:$C$66,2,FALSE)</f>
        <v>5896.85</v>
      </c>
      <c r="N31" s="680">
        <f>VLOOKUP($B31,BD!$B$61:$C$66,2,FALSE)</f>
        <v>5896.85</v>
      </c>
      <c r="O31" s="680">
        <f>VLOOKUP($B31,BD!$B$61:$C$66,2,FALSE)</f>
        <v>5896.85</v>
      </c>
      <c r="P31" s="680">
        <f>VLOOKUP($B31,BD!$B$61:$C$66,2,FALSE)</f>
        <v>5896.85</v>
      </c>
      <c r="Q31" s="680">
        <f>VLOOKUP($B31,BD!$B$61:$C$66,2,FALSE)</f>
        <v>5896.85</v>
      </c>
      <c r="S31" s="9"/>
      <c r="T31" s="9"/>
      <c r="U31" s="9"/>
      <c r="V31" s="9"/>
    </row>
    <row r="32" spans="1:22">
      <c r="A32" s="678" t="s">
        <v>1335</v>
      </c>
      <c r="B32" s="679" t="s">
        <v>705</v>
      </c>
      <c r="C32" s="680">
        <f>IF(C44=0,0,VLOOKUP($B32,BD!$B$61:$C$66,2,FALSE))</f>
        <v>0</v>
      </c>
      <c r="D32" s="680">
        <f>IF(D44=0,0,VLOOKUP($B32,BD!$B$61:$C$66,2,FALSE))</f>
        <v>0</v>
      </c>
      <c r="E32" s="680">
        <f>IF(E44=0,0,VLOOKUP($B32,BD!$B$61:$C$66,2,FALSE))</f>
        <v>0</v>
      </c>
      <c r="F32" s="680">
        <f>VLOOKUP($B32,BD!$B$61:$C$66,2,FALSE)</f>
        <v>63203.040000000001</v>
      </c>
      <c r="G32" s="680">
        <f>VLOOKUP($B32,BD!$B$61:$C$66,2,FALSE)</f>
        <v>63203.040000000001</v>
      </c>
      <c r="H32" s="680">
        <f>VLOOKUP($B32,BD!$B$61:$C$66,2,FALSE)</f>
        <v>63203.040000000001</v>
      </c>
      <c r="I32" s="680">
        <f>VLOOKUP($B32,BD!$B$61:$C$66,2,FALSE)</f>
        <v>63203.040000000001</v>
      </c>
      <c r="J32" s="680">
        <f>VLOOKUP($B32,BD!$B$61:$C$66,2,FALSE)</f>
        <v>63203.040000000001</v>
      </c>
      <c r="K32" s="680">
        <f>VLOOKUP($B32,BD!$B$61:$C$66,2,FALSE)</f>
        <v>63203.040000000001</v>
      </c>
      <c r="L32" s="680">
        <f>VLOOKUP($B32,BD!$B$61:$C$66,2,FALSE)</f>
        <v>63203.040000000001</v>
      </c>
      <c r="M32" s="680">
        <f>VLOOKUP($B32,BD!$B$61:$C$66,2,FALSE)</f>
        <v>63203.040000000001</v>
      </c>
      <c r="N32" s="680">
        <f>VLOOKUP($B32,BD!$B$61:$C$66,2,FALSE)</f>
        <v>63203.040000000001</v>
      </c>
      <c r="O32" s="680">
        <f>VLOOKUP($B32,BD!$B$61:$C$66,2,FALSE)</f>
        <v>63203.040000000001</v>
      </c>
      <c r="P32" s="680">
        <f>VLOOKUP($B32,BD!$B$61:$C$66,2,FALSE)</f>
        <v>63203.040000000001</v>
      </c>
      <c r="Q32" s="680">
        <f>VLOOKUP($B32,BD!$B$61:$C$66,2,FALSE)</f>
        <v>63203.040000000001</v>
      </c>
      <c r="S32" s="9"/>
      <c r="T32" s="9"/>
      <c r="U32" s="9"/>
      <c r="V32" s="9"/>
    </row>
    <row r="33" spans="1:22">
      <c r="A33" s="681" t="s">
        <v>1336</v>
      </c>
      <c r="B33" s="679" t="s">
        <v>707</v>
      </c>
      <c r="C33" s="680">
        <f>IF(C45=0,0,VLOOKUP($B33,BD!$B$61:$C$66,2,FALSE))</f>
        <v>0</v>
      </c>
      <c r="D33" s="680">
        <f>IF(D45=0,0,VLOOKUP($B33,BD!$B$61:$C$66,2,FALSE))</f>
        <v>0</v>
      </c>
      <c r="E33" s="680">
        <f>IF(E45=0,0,VLOOKUP($B33,BD!$B$61:$C$66,2,FALSE))</f>
        <v>0</v>
      </c>
      <c r="F33" s="680">
        <f>VLOOKUP($B33,BD!$B$61:$C$66,2,FALSE)</f>
        <v>13295.28</v>
      </c>
      <c r="G33" s="680">
        <f>VLOOKUP($B33,BD!$B$61:$C$66,2,FALSE)</f>
        <v>13295.28</v>
      </c>
      <c r="H33" s="680">
        <f>VLOOKUP($B33,BD!$B$61:$C$66,2,FALSE)</f>
        <v>13295.28</v>
      </c>
      <c r="I33" s="680">
        <f>VLOOKUP($B33,BD!$B$61:$C$66,2,FALSE)</f>
        <v>13295.28</v>
      </c>
      <c r="J33" s="680">
        <f>VLOOKUP($B33,BD!$B$61:$C$66,2,FALSE)</f>
        <v>13295.28</v>
      </c>
      <c r="K33" s="680">
        <f>VLOOKUP($B33,BD!$B$61:$C$66,2,FALSE)</f>
        <v>13295.28</v>
      </c>
      <c r="L33" s="680">
        <f>VLOOKUP($B33,BD!$B$61:$C$66,2,FALSE)</f>
        <v>13295.28</v>
      </c>
      <c r="M33" s="680">
        <f>VLOOKUP($B33,BD!$B$61:$C$66,2,FALSE)</f>
        <v>13295.28</v>
      </c>
      <c r="N33" s="680">
        <f>VLOOKUP($B33,BD!$B$61:$C$66,2,FALSE)</f>
        <v>13295.28</v>
      </c>
      <c r="O33" s="680">
        <f>VLOOKUP($B33,BD!$B$61:$C$66,2,FALSE)</f>
        <v>13295.28</v>
      </c>
      <c r="P33" s="680">
        <f>VLOOKUP($B33,BD!$B$61:$C$66,2,FALSE)</f>
        <v>13295.28</v>
      </c>
      <c r="Q33" s="680">
        <f>VLOOKUP($B33,BD!$B$61:$C$66,2,FALSE)</f>
        <v>13295.28</v>
      </c>
      <c r="S33" s="9"/>
      <c r="T33" s="9"/>
      <c r="U33" s="9"/>
      <c r="V33" s="9"/>
    </row>
    <row r="34" spans="1:22">
      <c r="A34" s="1338" t="s">
        <v>1337</v>
      </c>
      <c r="B34" s="1339" t="s">
        <v>1194</v>
      </c>
      <c r="C34" s="1345">
        <f t="shared" ref="C34:Q34" si="12">C22</f>
        <v>1.1082167683385875</v>
      </c>
      <c r="D34" s="1345">
        <f t="shared" si="12"/>
        <v>1.1015781797155986</v>
      </c>
      <c r="E34" s="1345">
        <f t="shared" si="12"/>
        <v>1.0930813258985603</v>
      </c>
      <c r="F34" s="1340">
        <f t="shared" si="12"/>
        <v>1.0858745154816776</v>
      </c>
      <c r="G34" s="1340">
        <f t="shared" si="12"/>
        <v>1.0928625709205468</v>
      </c>
      <c r="H34" s="1340">
        <f t="shared" si="12"/>
        <v>1.0858814807891262</v>
      </c>
      <c r="I34" s="1340">
        <f t="shared" si="12"/>
        <v>1.0856825071943401</v>
      </c>
      <c r="J34" s="1340">
        <f t="shared" si="12"/>
        <v>1.0763096418852884</v>
      </c>
      <c r="K34" s="1340">
        <f t="shared" si="12"/>
        <v>1.0570963934847399</v>
      </c>
      <c r="L34" s="1340">
        <f t="shared" si="12"/>
        <v>1.0380694251480009</v>
      </c>
      <c r="M34" s="1340">
        <f t="shared" si="12"/>
        <v>1.0203079339221537</v>
      </c>
      <c r="N34" s="1340">
        <f t="shared" si="12"/>
        <v>1.0061088003233121</v>
      </c>
      <c r="O34" s="1340">
        <f t="shared" si="12"/>
        <v>1.0008877041571751</v>
      </c>
      <c r="P34" s="1340">
        <f t="shared" si="12"/>
        <v>0.99506416252827723</v>
      </c>
      <c r="Q34" s="1340">
        <f t="shared" si="12"/>
        <v>0.99301706056210437</v>
      </c>
      <c r="S34" s="9"/>
      <c r="T34" s="9"/>
      <c r="U34" s="9"/>
      <c r="V34" s="9"/>
    </row>
    <row r="35" spans="1:22">
      <c r="A35" s="1341" t="s">
        <v>1338</v>
      </c>
      <c r="B35" s="1342"/>
      <c r="C35" s="1343">
        <f>SUM(C28:C33)*C34</f>
        <v>0</v>
      </c>
      <c r="D35" s="1343">
        <f t="shared" ref="D35:Q35" si="13">SUM(D28:D33)*D34</f>
        <v>0</v>
      </c>
      <c r="E35" s="1343">
        <f t="shared" si="13"/>
        <v>0</v>
      </c>
      <c r="F35" s="1344">
        <f t="shared" si="13"/>
        <v>89470.815301780458</v>
      </c>
      <c r="G35" s="1344">
        <f t="shared" si="13"/>
        <v>90046.597317635518</v>
      </c>
      <c r="H35" s="1344">
        <f t="shared" si="13"/>
        <v>89471.389209471788</v>
      </c>
      <c r="I35" s="1344">
        <f t="shared" si="13"/>
        <v>89454.99474630387</v>
      </c>
      <c r="J35" s="1344">
        <f t="shared" si="13"/>
        <v>88682.715915777459</v>
      </c>
      <c r="K35" s="1344">
        <f t="shared" si="13"/>
        <v>87099.637047562035</v>
      </c>
      <c r="L35" s="1344">
        <f t="shared" si="13"/>
        <v>85531.906756871816</v>
      </c>
      <c r="M35" s="1344">
        <f t="shared" si="13"/>
        <v>84068.445667864624</v>
      </c>
      <c r="N35" s="1344">
        <f t="shared" si="13"/>
        <v>82898.505641135358</v>
      </c>
      <c r="O35" s="1344">
        <f t="shared" si="13"/>
        <v>82468.312534940153</v>
      </c>
      <c r="P35" s="1344">
        <f t="shared" si="13"/>
        <v>81988.480832425033</v>
      </c>
      <c r="Q35" s="1344">
        <f t="shared" si="13"/>
        <v>81819.80951791488</v>
      </c>
      <c r="R35" s="9"/>
      <c r="S35" s="9"/>
      <c r="T35" s="9"/>
      <c r="U35" s="9"/>
      <c r="V35" s="9"/>
    </row>
    <row r="36" spans="1:22">
      <c r="A36" s="1346"/>
      <c r="B36" s="1328"/>
      <c r="C36" s="1346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5" t="s">
        <v>1341</v>
      </c>
      <c r="B37" s="679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3" t="s">
        <v>22</v>
      </c>
      <c r="B38" s="1844" t="s">
        <v>1330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3"/>
      <c r="B39" s="1845"/>
      <c r="C39" s="1347">
        <f>C27</f>
        <v>44348</v>
      </c>
      <c r="D39" s="1347">
        <f t="shared" ref="D39:E39" si="14">D27</f>
        <v>44378</v>
      </c>
      <c r="E39" s="1347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8" t="s">
        <v>1331</v>
      </c>
      <c r="B40" s="682"/>
      <c r="C40" s="683"/>
      <c r="D40" s="684"/>
      <c r="E40" s="684"/>
      <c r="F40" s="65"/>
      <c r="G40" s="842"/>
      <c r="H40" s="680"/>
      <c r="I40" s="680"/>
      <c r="J40" s="680"/>
      <c r="K40" s="680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8" t="s">
        <v>1332</v>
      </c>
      <c r="B41" s="682"/>
      <c r="C41" s="683"/>
      <c r="D41" s="684"/>
      <c r="E41" s="684"/>
      <c r="F41" s="65"/>
      <c r="G41" s="842"/>
      <c r="H41" s="680"/>
      <c r="I41" s="680"/>
      <c r="J41" s="680"/>
      <c r="K41" s="680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8" t="s">
        <v>1333</v>
      </c>
      <c r="B42" s="682"/>
      <c r="C42" s="683"/>
      <c r="D42" s="684"/>
      <c r="E42" s="684"/>
      <c r="F42" s="65"/>
      <c r="G42" s="842"/>
      <c r="H42" s="680"/>
      <c r="I42" s="680"/>
      <c r="J42" s="680"/>
      <c r="K42" s="680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8" t="s">
        <v>1334</v>
      </c>
      <c r="B43" s="682"/>
      <c r="C43" s="683"/>
      <c r="D43" s="684"/>
      <c r="E43" s="684"/>
      <c r="F43" s="65"/>
      <c r="G43" s="842"/>
      <c r="H43" s="680"/>
      <c r="I43" s="680"/>
      <c r="J43" s="680"/>
      <c r="K43" s="680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8" t="s">
        <v>1335</v>
      </c>
      <c r="B44" s="682"/>
      <c r="C44" s="683"/>
      <c r="D44" s="684"/>
      <c r="E44" s="684"/>
      <c r="F44" s="65"/>
      <c r="G44" s="842"/>
      <c r="H44" s="680"/>
      <c r="I44" s="680"/>
      <c r="J44" s="680"/>
      <c r="K44" s="680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1" t="s">
        <v>1336</v>
      </c>
      <c r="B45" s="682"/>
      <c r="C45" s="685"/>
      <c r="D45" s="840"/>
      <c r="E45" s="840"/>
      <c r="F45" s="65"/>
      <c r="G45" s="842"/>
      <c r="H45" s="680"/>
      <c r="I45" s="680"/>
      <c r="J45" s="680"/>
      <c r="K45" s="680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8" t="s">
        <v>8</v>
      </c>
      <c r="B49" s="1349"/>
      <c r="C49" s="1348"/>
      <c r="D49" s="9"/>
    </row>
    <row r="50" spans="1:10">
      <c r="A50" s="1349" t="s">
        <v>2</v>
      </c>
      <c r="B50" s="1349"/>
      <c r="C50" s="1325"/>
    </row>
    <row r="51" spans="1:10">
      <c r="A51" s="1349" t="s">
        <v>3</v>
      </c>
      <c r="B51" s="1349"/>
      <c r="C51" s="1325"/>
      <c r="D51" s="232"/>
    </row>
    <row r="52" spans="1:10">
      <c r="A52" s="1349" t="s">
        <v>4</v>
      </c>
      <c r="B52" s="1349"/>
      <c r="C52" s="1325"/>
      <c r="D52" s="232"/>
    </row>
    <row r="53" spans="1:10">
      <c r="A53" s="1349" t="s">
        <v>5</v>
      </c>
      <c r="B53" s="1349"/>
      <c r="C53" s="1325"/>
      <c r="D53" s="232"/>
    </row>
    <row r="54" spans="1:10">
      <c r="A54" s="1349" t="s">
        <v>6</v>
      </c>
      <c r="B54" s="1349"/>
      <c r="C54" s="1325"/>
      <c r="D54" s="232"/>
      <c r="H54" s="1350"/>
      <c r="I54" s="1351"/>
      <c r="J54" s="1352"/>
    </row>
    <row r="55" spans="1:10">
      <c r="A55" s="1349" t="s">
        <v>7</v>
      </c>
      <c r="B55" s="1349"/>
      <c r="C55" s="1325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Normal="100" workbookViewId="0">
      <pane ySplit="3" topLeftCell="A4" activePane="bottomLeft" state="frozen"/>
      <selection activeCell="D36" sqref="D36"/>
      <selection pane="bottomLeft" activeCell="A4" sqref="A4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2" t="s">
        <v>1342</v>
      </c>
      <c r="C1" s="258"/>
      <c r="D1" s="258"/>
      <c r="E1" s="204"/>
      <c r="F1" s="1353"/>
      <c r="G1" s="1131" t="s">
        <v>873</v>
      </c>
      <c r="H1" s="1132">
        <f ca="1">LnkTXTIRTEco</f>
        <v>1.49E-2</v>
      </c>
    </row>
    <row r="2" spans="2:26" ht="14.25">
      <c r="B2" s="136" t="str">
        <f>CAPA!C9</f>
        <v>Coopera</v>
      </c>
      <c r="C2" s="1354"/>
      <c r="D2" s="1354"/>
      <c r="E2" s="1354"/>
      <c r="F2" s="1355"/>
      <c r="G2" s="120" t="s">
        <v>877</v>
      </c>
      <c r="H2" s="121">
        <f ca="1">LnkTXTIRTTotal</f>
        <v>6.0000000000000001E-3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6"/>
      <c r="P4" s="1846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6" t="s">
        <v>1343</v>
      </c>
      <c r="M6" s="1357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1344</v>
      </c>
      <c r="D9" s="289" t="s">
        <v>1345</v>
      </c>
      <c r="L9" s="212" t="s">
        <v>1346</v>
      </c>
      <c r="M9" s="213">
        <v>4</v>
      </c>
      <c r="O9" s="267"/>
      <c r="P9" s="287"/>
      <c r="Z9" s="68"/>
    </row>
    <row r="10" spans="2:26" ht="14.25">
      <c r="L10" s="212" t="s">
        <v>1347</v>
      </c>
      <c r="M10" s="214">
        <f>CAPA!K16</f>
        <v>8.5874515481677571E-2</v>
      </c>
      <c r="O10" s="267"/>
      <c r="P10" s="287"/>
      <c r="Z10" s="68"/>
    </row>
    <row r="11" spans="2:26" ht="14.25">
      <c r="B11" s="1849" t="s">
        <v>1348</v>
      </c>
      <c r="C11" s="1850"/>
      <c r="D11" s="1358" t="s">
        <v>1349</v>
      </c>
      <c r="E11" s="1359" t="s">
        <v>1350</v>
      </c>
      <c r="F11" s="1360" t="s">
        <v>1351</v>
      </c>
      <c r="G11" s="1359"/>
      <c r="H11" s="1359"/>
      <c r="I11" s="1359"/>
      <c r="J11" s="1359"/>
      <c r="L11" s="212" t="s">
        <v>1352</v>
      </c>
      <c r="M11" s="214">
        <f>CAPA!K17</f>
        <v>8.727291292620043E-2</v>
      </c>
      <c r="O11" s="267"/>
      <c r="P11" s="287"/>
      <c r="Z11" s="68"/>
    </row>
    <row r="12" spans="2:26" ht="14.25">
      <c r="B12" s="1855" t="s">
        <v>1353</v>
      </c>
      <c r="C12" s="1850"/>
      <c r="D12" s="1361" t="s">
        <v>1346</v>
      </c>
      <c r="E12" s="1361" t="s">
        <v>772</v>
      </c>
      <c r="F12" s="1361" t="s">
        <v>772</v>
      </c>
      <c r="G12" s="1361" t="s">
        <v>772</v>
      </c>
      <c r="H12" s="1361" t="s">
        <v>772</v>
      </c>
      <c r="I12" s="1361" t="s">
        <v>772</v>
      </c>
      <c r="J12" s="1361" t="s">
        <v>772</v>
      </c>
      <c r="L12" s="1362" t="s">
        <v>1354</v>
      </c>
      <c r="M12" s="1363">
        <v>41275</v>
      </c>
      <c r="O12" s="267"/>
      <c r="P12" s="287"/>
      <c r="Z12" s="68"/>
    </row>
    <row r="13" spans="2:26" ht="14.25">
      <c r="B13" s="1856" t="s">
        <v>1355</v>
      </c>
      <c r="C13" s="1857"/>
      <c r="D13" s="1364">
        <v>43617</v>
      </c>
      <c r="E13" s="1364">
        <v>43617</v>
      </c>
      <c r="F13" s="1364">
        <v>43617</v>
      </c>
      <c r="G13" s="1364">
        <f t="shared" ref="G13:J14" si="0">F13</f>
        <v>43617</v>
      </c>
      <c r="H13" s="1364">
        <f t="shared" si="0"/>
        <v>43617</v>
      </c>
      <c r="I13" s="1364">
        <f t="shared" si="0"/>
        <v>43617</v>
      </c>
      <c r="J13" s="1364">
        <f t="shared" si="0"/>
        <v>43617</v>
      </c>
      <c r="L13" s="197"/>
      <c r="M13" s="215">
        <v>41306</v>
      </c>
      <c r="O13" s="267"/>
      <c r="P13" s="287"/>
      <c r="Z13" s="68"/>
    </row>
    <row r="14" spans="2:26" ht="14.25">
      <c r="B14" s="1847" t="s">
        <v>1356</v>
      </c>
      <c r="C14" s="1848"/>
      <c r="D14" s="1364">
        <v>42887</v>
      </c>
      <c r="E14" s="1364">
        <v>43252</v>
      </c>
      <c r="F14" s="1364">
        <v>43252</v>
      </c>
      <c r="G14" s="1364">
        <f t="shared" si="0"/>
        <v>43252</v>
      </c>
      <c r="H14" s="1364">
        <f t="shared" si="0"/>
        <v>43252</v>
      </c>
      <c r="I14" s="1364">
        <f t="shared" si="0"/>
        <v>43252</v>
      </c>
      <c r="J14" s="1364">
        <f t="shared" si="0"/>
        <v>43252</v>
      </c>
      <c r="L14" s="1365"/>
      <c r="M14" s="1366">
        <v>41334</v>
      </c>
      <c r="O14" s="267"/>
      <c r="P14" s="287"/>
      <c r="Z14" s="68"/>
    </row>
    <row r="15" spans="2:26" ht="14.25">
      <c r="B15" s="1847" t="s">
        <v>1357</v>
      </c>
      <c r="C15" s="1848"/>
      <c r="D15" s="1367">
        <f>VLOOKUP(D13,Índices!$B$6:$F$500,VLOOKUP(D12,$L$7:$M$9,2,FALSE)+1,FALSE)/VLOOKUP(D14,Índices!$B$6:$F$500,VLOOKUP(D12,$L$7:$M$9,2,FALSE)+1,FALSE)</f>
        <v>1.1414978440075982</v>
      </c>
      <c r="E15" s="1367">
        <f>VLOOKUP(E13,Índices!$B$6:$F$500,VLOOKUP(E12,$L$7:$M$9,2,FALSE)+1,FALSE)/VLOOKUP(E14,Índices!$B$6:$F$500,VLOOKUP(E12,$L$7:$M$9,2,FALSE)+1,FALSE)</f>
        <v>1.0336626715248016</v>
      </c>
      <c r="F15" s="1367">
        <f>VLOOKUP(F13,Índices!$B$6:$F$500,VLOOKUP(F12,$L$7:$M$9,2,FALSE)+1,FALSE)/VLOOKUP(F14,Índices!$B$6:$F$500,VLOOKUP(F12,$L$7:$M$9,2,FALSE)+1,FALSE)</f>
        <v>1.0336626715248016</v>
      </c>
      <c r="G15" s="1367">
        <f>VLOOKUP(G13,Índices!$B$6:$F$500,VLOOKUP(G12,$L$7:$M$9,2,FALSE)+1,FALSE)/VLOOKUP(G14,Índices!$B$6:$F$500,VLOOKUP(G12,$L$7:$M$9,2,FALSE)+1,FALSE)</f>
        <v>1.0336626715248016</v>
      </c>
      <c r="H15" s="1367">
        <f>VLOOKUP(H13,Índices!$B$6:$F$500,VLOOKUP(H12,$L$7:$M$9,2,FALSE)+1,FALSE)/VLOOKUP(H14,Índices!$B$6:$F$500,VLOOKUP(H12,$L$7:$M$9,2,FALSE)+1,FALSE)</f>
        <v>1.0336626715248016</v>
      </c>
      <c r="I15" s="1367">
        <f>VLOOKUP(I13,Índices!$B$6:$F$500,VLOOKUP(I12,$L$7:$M$9,2,FALSE)+1,FALSE)/VLOOKUP(I14,Índices!$B$6:$F$500,VLOOKUP(I12,$L$7:$M$9,2,FALSE)+1,FALSE)</f>
        <v>1.0336626715248016</v>
      </c>
      <c r="J15" s="1367">
        <f>VLOOKUP(J13,Índices!$B$6:$F$500,VLOOKUP(J12,$L$7:$M$9,2,FALSE)+1,FALSE)/VLOOKUP(J14,Índices!$B$6:$F$500,VLOOKUP(J12,$L$7:$M$9,2,FALSE)+1,FALSE)</f>
        <v>1.0336626715248016</v>
      </c>
      <c r="O15" s="267"/>
      <c r="P15" s="287"/>
      <c r="Z15" s="68"/>
    </row>
    <row r="16" spans="2:26" ht="14.25">
      <c r="B16" s="1847" t="s">
        <v>1358</v>
      </c>
      <c r="C16" s="1848"/>
      <c r="D16" s="1368"/>
      <c r="E16" s="1368"/>
      <c r="F16" s="1368"/>
      <c r="G16" s="1368"/>
      <c r="H16" s="1368"/>
      <c r="I16" s="1368"/>
      <c r="J16" s="1368"/>
      <c r="O16" s="267"/>
      <c r="P16" s="287"/>
      <c r="Z16" s="68"/>
    </row>
    <row r="17" spans="1:26" ht="14.25">
      <c r="B17" s="1853" t="s">
        <v>1359</v>
      </c>
      <c r="C17" s="1854"/>
      <c r="D17" s="1369">
        <f t="shared" ref="D17:E17" si="1">D16*D15</f>
        <v>0</v>
      </c>
      <c r="E17" s="1369">
        <f t="shared" si="1"/>
        <v>0</v>
      </c>
      <c r="F17" s="1369">
        <f>F16*F15</f>
        <v>0</v>
      </c>
      <c r="G17" s="1369">
        <f>G16*G15</f>
        <v>0</v>
      </c>
      <c r="H17" s="1369">
        <f>H16*H15</f>
        <v>0</v>
      </c>
      <c r="I17" s="1369">
        <f>I16*I15</f>
        <v>0</v>
      </c>
      <c r="J17" s="1369">
        <f>J16*J15</f>
        <v>0</v>
      </c>
      <c r="O17" s="267"/>
      <c r="P17" s="92"/>
      <c r="Z17" s="68"/>
    </row>
    <row r="18" spans="1:26" ht="14.25">
      <c r="E18" s="290" t="s">
        <v>1360</v>
      </c>
      <c r="F18" s="491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1361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1362</v>
      </c>
      <c r="E20" s="291" t="s">
        <v>1363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0" t="s">
        <v>1348</v>
      </c>
      <c r="C22" s="1851" t="s">
        <v>2280</v>
      </c>
      <c r="D22" s="1852"/>
      <c r="E22" s="1864" t="s">
        <v>1364</v>
      </c>
      <c r="F22" s="1865"/>
      <c r="G22" s="1864" t="str">
        <f>Financeiros!C25</f>
        <v>Ajuste CUST RB Fronteira + PIS Cofins RB Fronteira</v>
      </c>
      <c r="H22" s="1865"/>
      <c r="I22" s="1868" t="s">
        <v>1176</v>
      </c>
      <c r="J22" s="1869"/>
      <c r="K22" s="1858" t="s">
        <v>1365</v>
      </c>
      <c r="L22" s="1859"/>
      <c r="M22" s="1860" t="s">
        <v>2157</v>
      </c>
      <c r="N22" s="1861"/>
      <c r="O22" s="1862" t="s">
        <v>1366</v>
      </c>
      <c r="P22" s="1863"/>
      <c r="Q22" s="1862" t="s">
        <v>192</v>
      </c>
      <c r="R22" s="1863"/>
      <c r="S22" s="1862" t="s">
        <v>2043</v>
      </c>
      <c r="T22" s="1863"/>
      <c r="U22" s="1862" t="s">
        <v>2044</v>
      </c>
      <c r="V22" s="1863"/>
      <c r="Z22" s="68"/>
    </row>
    <row r="23" spans="1:26" ht="14.25">
      <c r="B23" s="1371" t="s">
        <v>925</v>
      </c>
      <c r="C23" s="1372" t="s">
        <v>1367</v>
      </c>
      <c r="D23" s="1373" t="s">
        <v>772</v>
      </c>
      <c r="E23" s="1372" t="s">
        <v>1367</v>
      </c>
      <c r="F23" s="1373" t="s">
        <v>772</v>
      </c>
      <c r="G23" s="1372" t="s">
        <v>1367</v>
      </c>
      <c r="H23" s="1373" t="s">
        <v>772</v>
      </c>
      <c r="I23" s="1372" t="s">
        <v>1367</v>
      </c>
      <c r="J23" s="1373" t="s">
        <v>772</v>
      </c>
      <c r="K23" s="1372" t="s">
        <v>1367</v>
      </c>
      <c r="L23" s="1373" t="s">
        <v>1346</v>
      </c>
      <c r="M23" s="1374" t="s">
        <v>1367</v>
      </c>
      <c r="N23" s="1375" t="s">
        <v>1346</v>
      </c>
      <c r="O23" s="1374" t="s">
        <v>1367</v>
      </c>
      <c r="P23" s="1375" t="s">
        <v>772</v>
      </c>
      <c r="Q23" s="1374" t="s">
        <v>1367</v>
      </c>
      <c r="R23" s="1375" t="s">
        <v>772</v>
      </c>
      <c r="S23" s="1374" t="s">
        <v>1367</v>
      </c>
      <c r="T23" s="1375" t="s">
        <v>772</v>
      </c>
      <c r="U23" s="1374" t="s">
        <v>1367</v>
      </c>
      <c r="V23" s="1375" t="s">
        <v>772</v>
      </c>
      <c r="Z23" s="68"/>
    </row>
    <row r="24" spans="1:26" ht="14.25">
      <c r="B24" s="1376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13265.79</v>
      </c>
      <c r="D36" s="225">
        <f>VLOOKUP($B$48,Índices!$B$6:$F$500,VLOOKUP(D$23,$L$7:$M$9,2,FALSE)+1,FALSE)/VLOOKUP(DATE(YEAR($B36),MONTH($B36)-1,1),Índices!$B$6:$F$500,VLOOKUP(D$23,$L$7:$M$9,2,FALSE)+1,FALSE)*C36</f>
        <v>14549.017102312817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43923.360000000001</v>
      </c>
      <c r="P36" s="99">
        <f>VLOOKUP($B$48,Índices!$B$6:$F$500,VLOOKUP(P$23,$L$7:$M$9,2,FALSE)+1,FALSE)/VLOOKUP(DATE(YEAR($B36),MONTH($B36)-1,1),Índices!$B$6:$F$500,VLOOKUP(P$23,$L$7:$M$9,2,FALSE)+1,FALSE)*O36</f>
        <v>48172.156790590132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84442.25</v>
      </c>
      <c r="D37" s="830">
        <f>VLOOKUP($B$48,Índices!$B$6:$F$500,VLOOKUP(D$23,$L$7:$M$9,2,FALSE)+1,FALSE)/VLOOKUP(DATE(YEAR($B37),MONTH($B37)-1,1),Índices!$B$6:$F$500,VLOOKUP(D$23,$L$7:$M$9,2,FALSE)+1,FALSE)*C37</f>
        <v>91811.771131542453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0</v>
      </c>
      <c r="N37" s="830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44812.639999999999</v>
      </c>
      <c r="P37" s="830">
        <f>VLOOKUP($B$48,Índices!$B$6:$F$500,VLOOKUP(P$23,$L$7:$M$9,2,FALSE)+1,FALSE)/VLOOKUP(DATE(YEAR($B37),MONTH($B37)-1,1),Índices!$B$6:$F$500,VLOOKUP(P$23,$L$7:$M$9,2,FALSE)+1,FALSE)*O37</f>
        <v>48723.569628713165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134952.85</v>
      </c>
      <c r="D38" s="225">
        <f>VLOOKUP($B$48,Índices!$B$6:$F$500,VLOOKUP(D$23,$L$7:$M$9,2,FALSE)+1,FALSE)/VLOOKUP(DATE(YEAR($B38),MONTH($B38)-1,1),Índices!$B$6:$F$500,VLOOKUP(D$23,$L$7:$M$9,2,FALSE)+1,FALSE)*C38</f>
        <v>145048.07447575036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45910.92</v>
      </c>
      <c r="P38" s="99">
        <f>VLOOKUP($B$48,Índices!$B$6:$F$500,VLOOKUP(P$23,$L$7:$M$9,2,FALSE)+1,FALSE)/VLOOKUP(DATE(YEAR($B38),MONTH($B38)-1,1),Índices!$B$6:$F$500,VLOOKUP(P$23,$L$7:$M$9,2,FALSE)+1,FALSE)*O38</f>
        <v>49345.31240659397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146701.48000000001</v>
      </c>
      <c r="D39" s="225">
        <f>VLOOKUP($B$48,Índices!$B$6:$F$500,VLOOKUP(D$23,$L$7:$M$9,2,FALSE)+1,FALSE)/VLOOKUP(DATE(YEAR($B39),MONTH($B39)-1,1),Índices!$B$6:$F$500,VLOOKUP(D$23,$L$7:$M$9,2,FALSE)+1,FALSE)*C39</f>
        <v>155729.02338412663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49169.13</v>
      </c>
      <c r="P39" s="99">
        <f>VLOOKUP($B$48,Índices!$B$6:$F$500,VLOOKUP(P$23,$L$7:$M$9,2,FALSE)+1,FALSE)/VLOOKUP(DATE(YEAR($B39),MONTH($B39)-1,1),Índices!$B$6:$F$500,VLOOKUP(P$23,$L$7:$M$9,2,FALSE)+1,FALSE)*O39</f>
        <v>52194.842175737838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144591.04999999999</v>
      </c>
      <c r="D40" s="225">
        <f>VLOOKUP($B$48,Índices!$B$6:$F$500,VLOOKUP(D$23,$L$7:$M$9,2,FALSE)+1,FALSE)/VLOOKUP(DATE(YEAR($B40),MONTH($B40)-1,1),Índices!$B$6:$F$500,VLOOKUP(D$23,$L$7:$M$9,2,FALSE)+1,FALSE)*C40</f>
        <v>152044.19936064875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54526.85</v>
      </c>
      <c r="P40" s="99">
        <f>VLOOKUP($B$48,Índices!$B$6:$F$500,VLOOKUP(P$23,$L$7:$M$9,2,FALSE)+1,FALSE)/VLOOKUP(DATE(YEAR($B40),MONTH($B40)-1,1),Índices!$B$6:$F$500,VLOOKUP(P$23,$L$7:$M$9,2,FALSE)+1,FALSE)*O40</f>
        <v>57337.513296349884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202439.47</v>
      </c>
      <c r="D41" s="225">
        <f>VLOOKUP($B$48,Índices!$B$6:$F$500,VLOOKUP(D$23,$L$7:$M$9,2,FALSE)+1,FALSE)/VLOOKUP(DATE(YEAR($B41),MONTH($B41)-1,1),Índices!$B$6:$F$500,VLOOKUP(D$23,$L$7:$M$9,2,FALSE)+1,FALSE)*C41</f>
        <v>211331.86330463528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50385.03</v>
      </c>
      <c r="P41" s="99">
        <f>VLOOKUP($B$48,Índices!$B$6:$F$500,VLOOKUP(P$23,$L$7:$M$9,2,FALSE)+1,FALSE)/VLOOKUP(DATE(YEAR($B41),MONTH($B41)-1,1),Índices!$B$6:$F$500,VLOOKUP(P$23,$L$7:$M$9,2,FALSE)+1,FALSE)*O41</f>
        <v>52598.252072878604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113582.16</v>
      </c>
      <c r="D42" s="225">
        <f>VLOOKUP($B$48,Índices!$B$6:$F$500,VLOOKUP(D$23,$L$7:$M$9,2,FALSE)+1,FALSE)/VLOOKUP(DATE(YEAR($B42),MONTH($B42)-1,1),Índices!$B$6:$F$500,VLOOKUP(D$23,$L$7:$M$9,2,FALSE)+1,FALSE)*C42</f>
        <v>117934.5100687947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50097.7</v>
      </c>
      <c r="P42" s="99">
        <f>VLOOKUP($B$48,Índices!$B$6:$F$500,VLOOKUP(P$23,$L$7:$M$9,2,FALSE)+1,FALSE)/VLOOKUP(DATE(YEAR($B42),MONTH($B42)-1,1),Índices!$B$6:$F$500,VLOOKUP(P$23,$L$7:$M$9,2,FALSE)+1,FALSE)*O42</f>
        <v>52017.391684340706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140838.64000000001</v>
      </c>
      <c r="D43" s="225">
        <f>VLOOKUP($B$48,Índices!$B$6:$F$500,VLOOKUP(D$23,$L$7:$M$9,2,FALSE)+1,FALSE)/VLOOKUP(DATE(YEAR($B43),MONTH($B43)-1,1),Índices!$B$6:$F$500,VLOOKUP(D$23,$L$7:$M$9,2,FALSE)+1,FALSE)*C43</f>
        <v>144773.13216171862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56236.11</v>
      </c>
      <c r="P43" s="99">
        <f>VLOOKUP($B$48,Índices!$B$6:$F$500,VLOOKUP(P$23,$L$7:$M$9,2,FALSE)+1,FALSE)/VLOOKUP(DATE(YEAR($B43),MONTH($B43)-1,1),Índices!$B$6:$F$500,VLOOKUP(P$23,$L$7:$M$9,2,FALSE)+1,FALSE)*O43</f>
        <v>57807.131517962298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79354.710000000006</v>
      </c>
      <c r="D44" s="225">
        <f>VLOOKUP($B$48,Índices!$B$6:$F$500,VLOOKUP(D$23,$L$7:$M$9,2,FALSE)+1,FALSE)/VLOOKUP(DATE(YEAR($B44),MONTH($B44)-1,1),Índices!$B$6:$F$500,VLOOKUP(D$23,$L$7:$M$9,2,FALSE)+1,FALSE)*C44</f>
        <v>80271.143929350073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52062.39</v>
      </c>
      <c r="P44" s="99">
        <f>VLOOKUP($B$48,Índices!$B$6:$F$500,VLOOKUP(P$23,$L$7:$M$9,2,FALSE)+1,FALSE)/VLOOKUP(DATE(YEAR($B44),MONTH($B44)-1,1),Índices!$B$6:$F$500,VLOOKUP(P$23,$L$7:$M$9,2,FALSE)+1,FALSE)*O44</f>
        <v>52663.636487310658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122678.69</v>
      </c>
      <c r="D45" s="225">
        <f>VLOOKUP($B$48,Índices!$B$6:$F$500,VLOOKUP(D$23,$L$7:$M$9,2,FALSE)+1,FALSE)/VLOOKUP(DATE(YEAR($B45),MONTH($B45)-1,1),Índices!$B$6:$F$500,VLOOKUP(D$23,$L$7:$M$9,2,FALSE)+1,FALSE)*C45</f>
        <v>122793.81755262513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51659.69</v>
      </c>
      <c r="P45" s="99">
        <f>VLOOKUP($B$48,Índices!$B$6:$F$500,VLOOKUP(P$23,$L$7:$M$9,2,FALSE)+1,FALSE)/VLOOKUP(DATE(YEAR($B45),MONTH($B45)-1,1),Índices!$B$6:$F$500,VLOOKUP(P$23,$L$7:$M$9,2,FALSE)+1,FALSE)*O45</f>
        <v>51708.1699249085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148488.01</v>
      </c>
      <c r="D46" s="225">
        <f>VLOOKUP($B$48,Índices!$B$6:$F$500,VLOOKUP(D$23,$L$7:$M$9,2,FALSE)+1,FALSE)/VLOOKUP(DATE(YEAR($B46),MONTH($B46)-1,1),Índices!$B$6:$F$500,VLOOKUP(D$23,$L$7:$M$9,2,FALSE)+1,FALSE)*C46</f>
        <v>147932.06678570315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2044629.5844000001</v>
      </c>
      <c r="L46" s="225">
        <f>VLOOKUP($B$48,Índices!$B$6:$F$500,VLOOKUP(L$23,$L$7:$M$9,2,FALSE)+1,FALSE)/VLOOKUP(DATE(YEAR($B46),MONTH($B46)-1,1),Índices!$B$6:$F$500,VLOOKUP(L$23,$L$7:$M$9,2,FALSE)+1,FALSE)*K46</f>
        <v>2111164.3430838003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50988.82</v>
      </c>
      <c r="P46" s="99">
        <f>VLOOKUP($B$48,Índices!$B$6:$F$500,VLOOKUP(P$23,$L$7:$M$9,2,FALSE)+1,FALSE)/VLOOKUP(DATE(YEAR($B46),MONTH($B46)-1,1),Índices!$B$6:$F$500,VLOOKUP(P$23,$L$7:$M$9,2,FALSE)+1,FALSE)*O46</f>
        <v>50797.916448366406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191063.95</v>
      </c>
      <c r="D47" s="225">
        <f>VLOOKUP($B$48,Índices!$B$6:$F$500,VLOOKUP(D$23,$L$7:$M$9,2,FALSE)+1,FALSE)/VLOOKUP(DATE(YEAR($B47),MONTH($B47)-1,1),Índices!$B$6:$F$500,VLOOKUP(D$23,$L$7:$M$9,2,FALSE)+1,FALSE)*C47</f>
        <v>189081.6450562668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212822</v>
      </c>
      <c r="J47" s="80">
        <f>VLOOKUP($B$48,Índices!$B$6:$F$500,VLOOKUP(J$23,$L$7:$M$9,2,FALSE)+1,FALSE)/VLOOKUP(DATE(YEAR($B47),MONTH($B47)-1,1),Índices!$B$6:$F$500,VLOOKUP(J$23,$L$7:$M$9,2,FALSE)+1,FALSE)*I47</f>
        <v>210613.95341279614</v>
      </c>
      <c r="K47" s="224">
        <f>CAPA!H76</f>
        <v>102698.4669</v>
      </c>
      <c r="L47" s="225">
        <f>VLOOKUP($B$48,Índices!$B$6:$F$500,VLOOKUP(L$23,$L$7:$M$9,2,FALSE)+1,FALSE)/VLOOKUP(DATE(YEAR($B47),MONTH($B47)-1,1),Índices!$B$6:$F$500,VLOOKUP(L$23,$L$7:$M$9,2,FALSE)+1,FALSE)*K47</f>
        <v>104974.57791207569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59605.5</v>
      </c>
      <c r="P47" s="99">
        <f>VLOOKUP($B$48,Índices!$B$6:$F$500,VLOOKUP(P$23,$L$7:$M$9,2,FALSE)+1,FALSE)/VLOOKUP(DATE(YEAR($B47),MONTH($B47)-1,1),Índices!$B$6:$F$500,VLOOKUP(P$23,$L$7:$M$9,2,FALSE)+1,FALSE)*O47</f>
        <v>58987.08780176119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7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212822</v>
      </c>
      <c r="J48" s="80">
        <f>VLOOKUP($B$48,Índices!$B$6:$F$500,VLOOKUP(J$23,$L$7:$M$9,2,FALSE)+1,FALSE)/VLOOKUP(DATE(YEAR($B48),MONTH($B48)-1,1),Índices!$B$6:$F$500,VLOOKUP(J$23,$L$7:$M$9,2,FALSE)+1,FALSE)*I48</f>
        <v>212055.94103821769</v>
      </c>
      <c r="K48" s="224">
        <f>CAPA!H77</f>
        <v>-11.36</v>
      </c>
      <c r="L48" s="225">
        <f>VLOOKUP($B$48,Índices!$B$6:$F$500,VLOOKUP(L$23,$L$7:$M$9,2,FALSE)+1,FALSE)/VLOOKUP(DATE(YEAR($B48),MONTH($B48)-1,1),Índices!$B$6:$F$500,VLOOKUP(L$23,$L$7:$M$9,2,FALSE)+1,FALSE)*K48</f>
        <v>-11.492839441408716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59489.75</v>
      </c>
      <c r="P48" s="99">
        <f>VLOOKUP($B$48,Índices!$B$6:$F$500,VLOOKUP(P$23,$L$7:$M$9,2,FALSE)+1,FALSE)/VLOOKUP(DATE(YEAR($B48),MONTH($B48)-1,1),Índices!$B$6:$F$500,VLOOKUP(P$23,$L$7:$M$9,2,FALSE)+1,FALSE)*O48</f>
        <v>59275.61491940829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8">
        <f t="shared" ref="C49:P49" si="3">SUM(C25:C48)</f>
        <v>1522399.05</v>
      </c>
      <c r="D49" s="1379">
        <f t="shared" si="3"/>
        <v>1573300.264313475</v>
      </c>
      <c r="E49" s="1378">
        <f t="shared" si="3"/>
        <v>0</v>
      </c>
      <c r="F49" s="1379">
        <f t="shared" si="3"/>
        <v>0</v>
      </c>
      <c r="G49" s="1378">
        <f t="shared" si="3"/>
        <v>0</v>
      </c>
      <c r="H49" s="1379">
        <f t="shared" si="3"/>
        <v>0</v>
      </c>
      <c r="I49" s="1380">
        <f>SUM(I24:I48)</f>
        <v>425644</v>
      </c>
      <c r="J49" s="1380">
        <f>SUM(J24:J48)</f>
        <v>422669.89445101382</v>
      </c>
      <c r="K49" s="1381">
        <f t="shared" si="3"/>
        <v>2147316.6913000001</v>
      </c>
      <c r="L49" s="1382">
        <f t="shared" si="3"/>
        <v>2216127.4281564346</v>
      </c>
      <c r="M49" s="1383">
        <f t="shared" si="3"/>
        <v>0</v>
      </c>
      <c r="N49" s="1384">
        <f t="shared" si="3"/>
        <v>0</v>
      </c>
      <c r="O49" s="1383">
        <f t="shared" si="3"/>
        <v>668867.89</v>
      </c>
      <c r="P49" s="1384">
        <f t="shared" si="3"/>
        <v>691628.59515492176</v>
      </c>
      <c r="Q49" s="1383">
        <f t="shared" ref="Q49:R49" si="4">SUM(Q25:Q48)</f>
        <v>0</v>
      </c>
      <c r="R49" s="1384">
        <f t="shared" si="4"/>
        <v>0</v>
      </c>
      <c r="S49" s="1383">
        <f>-S51</f>
        <v>0</v>
      </c>
      <c r="T49" s="1384">
        <f t="shared" ref="T49:V49" si="5">SUM(T25:T48)</f>
        <v>0</v>
      </c>
      <c r="U49" s="1383">
        <f>-S52</f>
        <v>0</v>
      </c>
      <c r="V49" s="1384">
        <f t="shared" si="5"/>
        <v>0</v>
      </c>
      <c r="Z49" s="68"/>
    </row>
    <row r="50" spans="2:30" ht="14.25">
      <c r="J50" s="68" t="s">
        <v>848</v>
      </c>
      <c r="M50" s="198"/>
      <c r="N50" s="107"/>
      <c r="S50" s="1317"/>
      <c r="T50" s="68" t="s">
        <v>1368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6" t="s">
        <v>2085</v>
      </c>
      <c r="D53" s="1867"/>
      <c r="E53" s="1866" t="s">
        <v>1369</v>
      </c>
      <c r="F53" s="1867"/>
      <c r="G53" s="1866" t="s">
        <v>1370</v>
      </c>
      <c r="H53" s="1867"/>
      <c r="I53" s="1866" t="s">
        <v>1371</v>
      </c>
      <c r="J53" s="1867"/>
      <c r="K53" s="1864" t="s">
        <v>1372</v>
      </c>
      <c r="L53" s="1865"/>
      <c r="M53" s="1866" t="s">
        <v>1373</v>
      </c>
      <c r="N53" s="1867"/>
      <c r="O53" s="1866" t="s">
        <v>2087</v>
      </c>
      <c r="P53" s="1867"/>
      <c r="Q53" s="1866" t="s">
        <v>2088</v>
      </c>
      <c r="R53" s="1867"/>
      <c r="S53" s="1866" t="s">
        <v>1374</v>
      </c>
      <c r="T53" s="1867"/>
      <c r="U53" s="1866" t="s">
        <v>1375</v>
      </c>
      <c r="V53" s="1867"/>
      <c r="W53" s="1866" t="s">
        <v>36</v>
      </c>
      <c r="X53" s="1867"/>
      <c r="Z53" s="68"/>
    </row>
    <row r="54" spans="2:30" ht="14.25">
      <c r="C54" s="1374" t="s">
        <v>1367</v>
      </c>
      <c r="D54" s="1375" t="s">
        <v>772</v>
      </c>
      <c r="E54" s="1374" t="s">
        <v>1367</v>
      </c>
      <c r="F54" s="1375" t="s">
        <v>772</v>
      </c>
      <c r="G54" s="1374" t="s">
        <v>1367</v>
      </c>
      <c r="H54" s="1375" t="s">
        <v>772</v>
      </c>
      <c r="I54" s="1374" t="s">
        <v>1367</v>
      </c>
      <c r="J54" s="1375" t="s">
        <v>772</v>
      </c>
      <c r="K54" s="1372" t="s">
        <v>1367</v>
      </c>
      <c r="L54" s="1373" t="s">
        <v>772</v>
      </c>
      <c r="M54" s="1374" t="s">
        <v>1367</v>
      </c>
      <c r="N54" s="1375" t="s">
        <v>772</v>
      </c>
      <c r="O54" s="1374" t="s">
        <v>1367</v>
      </c>
      <c r="P54" s="1375" t="s">
        <v>772</v>
      </c>
      <c r="Q54" s="1374" t="s">
        <v>1367</v>
      </c>
      <c r="R54" s="1375" t="s">
        <v>772</v>
      </c>
      <c r="S54" s="1374" t="s">
        <v>1367</v>
      </c>
      <c r="T54" s="1375" t="s">
        <v>772</v>
      </c>
      <c r="U54" s="1374" t="s">
        <v>1367</v>
      </c>
      <c r="V54" s="1375" t="s">
        <v>772</v>
      </c>
      <c r="W54" s="1374" t="s">
        <v>1367</v>
      </c>
      <c r="X54" s="1385" t="s">
        <v>1346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6669.0938262662385</v>
      </c>
      <c r="D68" s="99">
        <f ca="1">VLOOKUP($B$79,Índices!$B$6:$F$500,VLOOKUP(D$54,$L$7:$M$9,2,FALSE)+1,FALSE)/VLOOKUP(DATE(YEAR($B68),MONTH($B68)-1,1),Índices!$B$6:$F$500,VLOOKUP(D$54,$L$7:$M$9,2,FALSE)+1,FALSE)*C68</f>
        <v>7251.1250710626327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114.65230294998764</v>
      </c>
      <c r="H68" s="225">
        <f ca="1">VLOOKUP($B$48,Índices!$B$6:$F$500,VLOOKUP(H$54,$L$7:$M$9,2,FALSE)+1,FALSE)/VLOOKUP(DATE(YEAR($B68),MONTH($B68)-1,1),Índices!$B$6:$F$500,VLOOKUP(H$54,$L$7:$M$9,2,FALSE)+1,FALSE)*G68</f>
        <v>124.65834340213027</v>
      </c>
      <c r="I68" s="207">
        <f ca="1">Encargos!F31</f>
        <v>12758.579142073635</v>
      </c>
      <c r="J68" s="225">
        <f ca="1">VLOOKUP($B$48,Índices!$B$6:$F$500,VLOOKUP(J$54,$L$7:$M$9,2,FALSE)+1,FALSE)/VLOOKUP(DATE(YEAR($B68),MONTH($B68)-1,1),Índices!$B$6:$F$500,VLOOKUP(J$54,$L$7:$M$9,2,FALSE)+1,FALSE)*I68</f>
        <v>13872.057508601863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2406.669496439863</v>
      </c>
      <c r="N68" s="225">
        <f ca="1">VLOOKUP($B$48,Índices!$B$6:$F$500,VLOOKUP(N$54,$L$7:$M$9,2,FALSE)+1,FALSE)/VLOOKUP(DATE(YEAR($B68),MONTH($B68)-1,1),Índices!$B$6:$F$500,VLOOKUP(N$54,$L$7:$M$9,2,FALSE)+1,FALSE)*M68</f>
        <v>2616.7065538448019</v>
      </c>
      <c r="O68" s="207">
        <f ca="1">Encargos!H31</f>
        <v>13885.195533871651</v>
      </c>
      <c r="P68" s="225">
        <f ca="1">VLOOKUP($B$48,Índices!$B$6:$F$500,VLOOKUP(P$54,$L$7:$M$9,2,FALSE)+1,FALSE)/VLOOKUP(DATE(YEAR($B68),MONTH($B68)-1,1),Índices!$B$6:$F$500,VLOOKUP(P$54,$L$7:$M$9,2,FALSE)+1,FALSE)*O68</f>
        <v>15096.996994662499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7265.4178289837437</v>
      </c>
      <c r="D69" s="99">
        <f ca="1">VLOOKUP($B$79,Índices!$B$6:$F$500,VLOOKUP(D$54,$L$7:$M$9,2,FALSE)+1,FALSE)/VLOOKUP(DATE(YEAR($B69),MONTH($B69)-1,1),Índices!$B$6:$F$500,VLOOKUP(D$54,$L$7:$M$9,2,FALSE)+1,FALSE)*C69</f>
        <v>7808.9115298852776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182.3540665141827</v>
      </c>
      <c r="H69" s="225">
        <f ca="1">VLOOKUP($B$48,Índices!$B$6:$F$500,VLOOKUP(H$54,$L$7:$M$9,2,FALSE)+1,FALSE)/VLOOKUP(DATE(YEAR($B69),MONTH($B69)-1,1),Índices!$B$6:$F$500,VLOOKUP(H$54,$L$7:$M$9,2,FALSE)+1,FALSE)*G69</f>
        <v>195.99516587241473</v>
      </c>
      <c r="I69" s="207">
        <f ca="1">Encargos!F32</f>
        <v>13899.40084606898</v>
      </c>
      <c r="J69" s="225">
        <f ca="1">VLOOKUP($B$48,Índices!$B$6:$F$500,VLOOKUP(J$54,$L$7:$M$9,2,FALSE)+1,FALSE)/VLOOKUP(DATE(YEAR($B69),MONTH($B69)-1,1),Índices!$B$6:$F$500,VLOOKUP(J$54,$L$7:$M$9,2,FALSE)+1,FALSE)*I69</f>
        <v>14939.15340868252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2353.8248360929138</v>
      </c>
      <c r="N69" s="225">
        <f ca="1">VLOOKUP($B$48,Índices!$B$6:$F$500,VLOOKUP(N$54,$L$7:$M$9,2,FALSE)+1,FALSE)/VLOOKUP(DATE(YEAR($B69),MONTH($B69)-1,1),Índices!$B$6:$F$500,VLOOKUP(N$54,$L$7:$M$9,2,FALSE)+1,FALSE)*M69</f>
        <v>2529.9040378063582</v>
      </c>
      <c r="O69" s="207">
        <f ca="1">Encargos!H32</f>
        <v>-5222.9396835830994</v>
      </c>
      <c r="P69" s="225">
        <f ca="1">VLOOKUP($B$48,Índices!$B$6:$F$500,VLOOKUP(P$54,$L$7:$M$9,2,FALSE)+1,FALSE)/VLOOKUP(DATE(YEAR($B69),MONTH($B69)-1,1),Índices!$B$6:$F$500,VLOOKUP(P$54,$L$7:$M$9,2,FALSE)+1,FALSE)*O69</f>
        <v>-5613.6446485325305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-2545.5879312136676</v>
      </c>
      <c r="D70" s="99">
        <f ca="1">VLOOKUP($B$79,Índices!$B$6:$F$500,VLOOKUP(D$54,$L$7:$M$9,2,FALSE)+1,FALSE)/VLOOKUP(DATE(YEAR($B70),MONTH($B70)-1,1),Índices!$B$6:$F$500,VLOOKUP(D$54,$L$7:$M$9,2,FALSE)+1,FALSE)*C70</f>
        <v>-2702.2353316839321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21.05986999095694</v>
      </c>
      <c r="H70" s="225">
        <f ca="1">VLOOKUP($B$48,Índices!$B$6:$F$500,VLOOKUP(H$54,$L$7:$M$9,2,FALSE)+1,FALSE)/VLOOKUP(DATE(YEAR($B70),MONTH($B70)-1,1),Índices!$B$6:$F$500,VLOOKUP(H$54,$L$7:$M$9,2,FALSE)+1,FALSE)*G70</f>
        <v>22.355827536902829</v>
      </c>
      <c r="I70" s="207">
        <f ca="1">Encargos!F33</f>
        <v>-4869.9397443763446</v>
      </c>
      <c r="J70" s="225">
        <f ca="1">VLOOKUP($B$48,Índices!$B$6:$F$500,VLOOKUP(J$54,$L$7:$M$9,2,FALSE)+1,FALSE)/VLOOKUP(DATE(YEAR($B70),MONTH($B70)-1,1),Índices!$B$6:$F$500,VLOOKUP(J$54,$L$7:$M$9,2,FALSE)+1,FALSE)*I70</f>
        <v>-5169.6203769128397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-1165.0519127513107</v>
      </c>
      <c r="N70" s="225">
        <f ca="1">VLOOKUP($B$48,Índices!$B$6:$F$500,VLOOKUP(N$54,$L$7:$M$9,2,FALSE)+1,FALSE)/VLOOKUP(DATE(YEAR($B70),MONTH($B70)-1,1),Índices!$B$6:$F$500,VLOOKUP(N$54,$L$7:$M$9,2,FALSE)+1,FALSE)*M70</f>
        <v>-1236.7455090744165</v>
      </c>
      <c r="O70" s="207">
        <f ca="1">Encargos!H33</f>
        <v>1598.9084787231404</v>
      </c>
      <c r="P70" s="225">
        <f ca="1">VLOOKUP($B$48,Índices!$B$6:$F$500,VLOOKUP(P$54,$L$7:$M$9,2,FALSE)+1,FALSE)/VLOOKUP(DATE(YEAR($B70),MONTH($B70)-1,1),Índices!$B$6:$F$500,VLOOKUP(P$54,$L$7:$M$9,2,FALSE)+1,FALSE)*O70</f>
        <v>1697.3002308644348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13399.09762550809</v>
      </c>
      <c r="D71" s="99">
        <f ca="1">VLOOKUP($B$79,Índices!$B$6:$F$500,VLOOKUP(D$54,$L$7:$M$9,2,FALSE)+1,FALSE)/VLOOKUP(DATE(YEAR($B71),MONTH($B71)-1,1),Índices!$B$6:$F$500,VLOOKUP(D$54,$L$7:$M$9,2,FALSE)+1,FALSE)*C71</f>
        <v>14089.772988200495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192.27424065336527</v>
      </c>
      <c r="H71" s="225">
        <f ca="1">VLOOKUP($B$48,Índices!$B$6:$F$500,VLOOKUP(H$54,$L$7:$M$9,2,FALSE)+1,FALSE)/VLOOKUP(DATE(YEAR($B71),MONTH($B71)-1,1),Índices!$B$6:$F$500,VLOOKUP(H$54,$L$7:$M$9,2,FALSE)+1,FALSE)*G71</f>
        <v>202.18528724853735</v>
      </c>
      <c r="I71" s="207">
        <f ca="1">Encargos!F34</f>
        <v>25633.684566577198</v>
      </c>
      <c r="J71" s="225">
        <f ca="1">VLOOKUP($B$48,Índices!$B$6:$F$500,VLOOKUP(J$54,$L$7:$M$9,2,FALSE)+1,FALSE)/VLOOKUP(DATE(YEAR($B71),MONTH($B71)-1,1),Índices!$B$6:$F$500,VLOOKUP(J$54,$L$7:$M$9,2,FALSE)+1,FALSE)*I71</f>
        <v>26955.008948262348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4820.1566764964664</v>
      </c>
      <c r="N71" s="225">
        <f ca="1">VLOOKUP($B$48,Índices!$B$6:$F$500,VLOOKUP(N$54,$L$7:$M$9,2,FALSE)+1,FALSE)/VLOOKUP(DATE(YEAR($B71),MONTH($B71)-1,1),Índices!$B$6:$F$500,VLOOKUP(N$54,$L$7:$M$9,2,FALSE)+1,FALSE)*M71</f>
        <v>5068.6184426407499</v>
      </c>
      <c r="O71" s="207">
        <f ca="1">Encargos!H34</f>
        <v>30353.894641234539</v>
      </c>
      <c r="P71" s="225">
        <f ca="1">VLOOKUP($B$48,Índices!$B$6:$F$500,VLOOKUP(P$54,$L$7:$M$9,2,FALSE)+1,FALSE)/VLOOKUP(DATE(YEAR($B71),MONTH($B71)-1,1),Índices!$B$6:$F$500,VLOOKUP(P$54,$L$7:$M$9,2,FALSE)+1,FALSE)*O71</f>
        <v>31918.528900675334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-51318.593021813431</v>
      </c>
      <c r="D72" s="99">
        <f ca="1">VLOOKUP($B$79,Índices!$B$6:$F$500,VLOOKUP(D$54,$L$7:$M$9,2,FALSE)+1,FALSE)/VLOOKUP(DATE(YEAR($B72),MONTH($B72)-1,1),Índices!$B$6:$F$500,VLOOKUP(D$54,$L$7:$M$9,2,FALSE)+1,FALSE)*C72</f>
        <v>-53572.822955286756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-1399.664899861762</v>
      </c>
      <c r="H72" s="225">
        <f ca="1">VLOOKUP($B$48,Índices!$B$6:$F$500,VLOOKUP(H$54,$L$7:$M$9,2,FALSE)+1,FALSE)/VLOOKUP(DATE(YEAR($B72),MONTH($B72)-1,1),Índices!$B$6:$F$500,VLOOKUP(H$54,$L$7:$M$9,2,FALSE)+1,FALSE)*G72</f>
        <v>-1461.1468370761982</v>
      </c>
      <c r="I72" s="207">
        <f ca="1">Encargos!F35</f>
        <v>-98177.105853569694</v>
      </c>
      <c r="J72" s="225">
        <f ca="1">VLOOKUP($B$48,Índices!$B$6:$F$500,VLOOKUP(J$54,$L$7:$M$9,2,FALSE)+1,FALSE)/VLOOKUP(DATE(YEAR($B72),MONTH($B72)-1,1),Índices!$B$6:$F$500,VLOOKUP(J$54,$L$7:$M$9,2,FALSE)+1,FALSE)*I72</f>
        <v>-102489.65141971226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-15680.054705752555</v>
      </c>
      <c r="N72" s="225">
        <f ca="1">VLOOKUP($B$48,Índices!$B$6:$F$500,VLOOKUP(N$54,$L$7:$M$9,2,FALSE)+1,FALSE)/VLOOKUP(DATE(YEAR($B72),MONTH($B72)-1,1),Índices!$B$6:$F$500,VLOOKUP(N$54,$L$7:$M$9,2,FALSE)+1,FALSE)*M72</f>
        <v>-16368.819665874949</v>
      </c>
      <c r="O72" s="207">
        <f ca="1">Encargos!H35</f>
        <v>121966.933503679</v>
      </c>
      <c r="P72" s="225">
        <f ca="1">VLOOKUP($B$48,Índices!$B$6:$F$500,VLOOKUP(P$54,$L$7:$M$9,2,FALSE)+1,FALSE)/VLOOKUP(DATE(YEAR($B72),MONTH($B72)-1,1),Índices!$B$6:$F$500,VLOOKUP(P$54,$L$7:$M$9,2,FALSE)+1,FALSE)*O72</f>
        <v>127324.47540435188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-53800.560705844662</v>
      </c>
      <c r="D73" s="99">
        <f ca="1">VLOOKUP($B$79,Índices!$B$6:$F$500,VLOOKUP(D$54,$L$7:$M$9,2,FALSE)+1,FALSE)/VLOOKUP(DATE(YEAR($B73),MONTH($B73)-1,1),Índices!$B$6:$F$500,VLOOKUP(D$54,$L$7:$M$9,2,FALSE)+1,FALSE)*C73</f>
        <v>-55862.142155689216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-1510.0778563783224</v>
      </c>
      <c r="H73" s="225">
        <f ca="1">VLOOKUP($B$48,Índices!$B$6:$F$500,VLOOKUP(H$54,$L$7:$M$9,2,FALSE)+1,FALSE)/VLOOKUP(DATE(YEAR($B73),MONTH($B73)-1,1),Índices!$B$6:$F$500,VLOOKUP(H$54,$L$7:$M$9,2,FALSE)+1,FALSE)*G73</f>
        <v>-1567.9424670010958</v>
      </c>
      <c r="I73" s="207">
        <f ca="1">Encargos!F36</f>
        <v>-102925.33431604295</v>
      </c>
      <c r="J73" s="225">
        <f ca="1">VLOOKUP($B$48,Índices!$B$6:$F$500,VLOOKUP(J$54,$L$7:$M$9,2,FALSE)+1,FALSE)/VLOOKUP(DATE(YEAR($B73),MONTH($B73)-1,1),Índices!$B$6:$F$500,VLOOKUP(J$54,$L$7:$M$9,2,FALSE)+1,FALSE)*I73</f>
        <v>-106869.32592433026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-16051.198219504702</v>
      </c>
      <c r="N73" s="225">
        <f ca="1">VLOOKUP($B$48,Índices!$B$6:$F$500,VLOOKUP(N$54,$L$7:$M$9,2,FALSE)+1,FALSE)/VLOOKUP(DATE(YEAR($B73),MONTH($B73)-1,1),Índices!$B$6:$F$500,VLOOKUP(N$54,$L$7:$M$9,2,FALSE)+1,FALSE)*M73</f>
        <v>-16666.263417022503</v>
      </c>
      <c r="O73" s="207">
        <f ca="1">Encargos!H36</f>
        <v>132817.52466842066</v>
      </c>
      <c r="P73" s="225">
        <f ca="1">VLOOKUP($B$48,Índices!$B$6:$F$500,VLOOKUP(P$54,$L$7:$M$9,2,FALSE)+1,FALSE)/VLOOKUP(DATE(YEAR($B73),MONTH($B73)-1,1),Índices!$B$6:$F$500,VLOOKUP(P$54,$L$7:$M$9,2,FALSE)+1,FALSE)*O73</f>
        <v>137906.95387656163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-105878.45912589307</v>
      </c>
      <c r="D74" s="99">
        <f ca="1">VLOOKUP($B$79,Índices!$B$6:$F$500,VLOOKUP(D$54,$L$7:$M$9,2,FALSE)+1,FALSE)/VLOOKUP(DATE(YEAR($B74),MONTH($B74)-1,1),Índices!$B$6:$F$500,VLOOKUP(D$54,$L$7:$M$9,2,FALSE)+1,FALSE)*C74</f>
        <v>-108836.29773840503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-2394.5048729318532</v>
      </c>
      <c r="H74" s="225">
        <f ca="1">VLOOKUP($B$48,Índices!$B$6:$F$500,VLOOKUP(H$54,$L$7:$M$9,2,FALSE)+1,FALSE)/VLOOKUP(DATE(YEAR($B74),MONTH($B74)-1,1),Índices!$B$6:$F$500,VLOOKUP(H$54,$L$7:$M$9,2,FALSE)+1,FALSE)*G74</f>
        <v>-2461.3981676537237</v>
      </c>
      <c r="I74" s="207">
        <f ca="1">Encargos!F37</f>
        <v>-202555.06001104251</v>
      </c>
      <c r="J74" s="225">
        <f ca="1">VLOOKUP($B$48,Índices!$B$6:$F$500,VLOOKUP(J$54,$L$7:$M$9,2,FALSE)+1,FALSE)/VLOOKUP(DATE(YEAR($B74),MONTH($B74)-1,1),Índices!$B$6:$F$500,VLOOKUP(J$54,$L$7:$M$9,2,FALSE)+1,FALSE)*I74</f>
        <v>-208213.67256175936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-33537.702658583788</v>
      </c>
      <c r="N74" s="225">
        <f ca="1">VLOOKUP($B$48,Índices!$B$6:$F$500,VLOOKUP(N$54,$L$7:$M$9,2,FALSE)+1,FALSE)/VLOOKUP(DATE(YEAR($B74),MONTH($B74)-1,1),Índices!$B$6:$F$500,VLOOKUP(N$54,$L$7:$M$9,2,FALSE)+1,FALSE)*M74</f>
        <v>-34474.617614821989</v>
      </c>
      <c r="O74" s="207">
        <f ca="1">Encargos!H37</f>
        <v>147080.38817349006</v>
      </c>
      <c r="P74" s="225">
        <f ca="1">VLOOKUP($B$48,Índices!$B$6:$F$500,VLOOKUP(P$54,$L$7:$M$9,2,FALSE)+1,FALSE)/VLOOKUP(DATE(YEAR($B74),MONTH($B74)-1,1),Índices!$B$6:$F$500,VLOOKUP(P$54,$L$7:$M$9,2,FALSE)+1,FALSE)*O74</f>
        <v>151189.25087204445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-1772.18126746302</v>
      </c>
      <c r="D75" s="99">
        <f ca="1">VLOOKUP($B$79,Índices!$B$6:$F$500,VLOOKUP(D$54,$L$7:$M$9,2,FALSE)+1,FALSE)/VLOOKUP(DATE(YEAR($B75),MONTH($B75)-1,1),Índices!$B$6:$F$500,VLOOKUP(D$54,$L$7:$M$9,2,FALSE)+1,FALSE)*C75</f>
        <v>-1792.6474381851074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-149.12795720664326</v>
      </c>
      <c r="H75" s="225">
        <f ca="1">VLOOKUP($B$48,Índices!$B$6:$F$500,VLOOKUP(H$54,$L$7:$M$9,2,FALSE)+1,FALSE)/VLOOKUP(DATE(YEAR($B75),MONTH($B75)-1,1),Índices!$B$6:$F$500,VLOOKUP(H$54,$L$7:$M$9,2,FALSE)+1,FALSE)*G75</f>
        <v>-150.85017281046606</v>
      </c>
      <c r="I75" s="207">
        <f ca="1">Encargos!F38</f>
        <v>-3390.3429077554028</v>
      </c>
      <c r="J75" s="225">
        <f ca="1">VLOOKUP($B$48,Índices!$B$6:$F$500,VLOOKUP(J$54,$L$7:$M$9,2,FALSE)+1,FALSE)/VLOOKUP(DATE(YEAR($B75),MONTH($B75)-1,1),Índices!$B$6:$F$500,VLOOKUP(J$54,$L$7:$M$9,2,FALSE)+1,FALSE)*I75</f>
        <v>-3429.4965417715621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22.356898758269381</v>
      </c>
      <c r="N75" s="225">
        <f ca="1">VLOOKUP($B$48,Índices!$B$6:$F$500,VLOOKUP(N$54,$L$7:$M$9,2,FALSE)+1,FALSE)/VLOOKUP(DATE(YEAR($B75),MONTH($B75)-1,1),Índices!$B$6:$F$500,VLOOKUP(N$54,$L$7:$M$9,2,FALSE)+1,FALSE)*M75</f>
        <v>22.61508911114349</v>
      </c>
      <c r="O75" s="207">
        <f ca="1">Encargos!H38</f>
        <v>18785.397484438028</v>
      </c>
      <c r="P75" s="225">
        <f ca="1">VLOOKUP($B$48,Índices!$B$6:$F$500,VLOOKUP(P$54,$L$7:$M$9,2,FALSE)+1,FALSE)/VLOOKUP(DATE(YEAR($B75),MONTH($B75)-1,1),Índices!$B$6:$F$500,VLOOKUP(P$54,$L$7:$M$9,2,FALSE)+1,FALSE)*O75</f>
        <v>19002.342082068924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-709.60530497343279</v>
      </c>
      <c r="D76" s="99">
        <f ca="1">VLOOKUP($B$79,Índices!$B$6:$F$500,VLOOKUP(D$54,$L$7:$M$9,2,FALSE)+1,FALSE)/VLOOKUP(DATE(YEAR($B76),MONTH($B76)-1,1),Índices!$B$6:$F$500,VLOOKUP(D$54,$L$7:$M$9,2,FALSE)+1,FALSE)*C76</f>
        <v>-710.27123254480966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181.38523085332963</v>
      </c>
      <c r="H76" s="225">
        <f ca="1">VLOOKUP($B$48,Índices!$B$6:$F$500,VLOOKUP(H$54,$L$7:$M$9,2,FALSE)+1,FALSE)/VLOOKUP(DATE(YEAR($B76),MONTH($B76)-1,1),Índices!$B$6:$F$500,VLOOKUP(H$54,$L$7:$M$9,2,FALSE)+1,FALSE)*G76</f>
        <v>181.55545143288168</v>
      </c>
      <c r="I76" s="207">
        <f ca="1">Encargos!F39</f>
        <v>-1357.5390718735289</v>
      </c>
      <c r="J76" s="225">
        <f ca="1">VLOOKUP($B$48,Índices!$B$6:$F$500,VLOOKUP(J$54,$L$7:$M$9,2,FALSE)+1,FALSE)/VLOOKUP(DATE(YEAR($B76),MONTH($B76)-1,1),Índices!$B$6:$F$500,VLOOKUP(J$54,$L$7:$M$9,2,FALSE)+1,FALSE)*I76</f>
        <v>-1358.8130514940954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-1402.2357842266792</v>
      </c>
      <c r="N76" s="225">
        <f ca="1">VLOOKUP($B$48,Índices!$B$6:$F$500,VLOOKUP(N$54,$L$7:$M$9,2,FALSE)+1,FALSE)/VLOOKUP(DATE(YEAR($B76),MONTH($B76)-1,1),Índices!$B$6:$F$500,VLOOKUP(N$54,$L$7:$M$9,2,FALSE)+1,FALSE)*M76</f>
        <v>-1403.5517093807659</v>
      </c>
      <c r="O76" s="207">
        <f ca="1">Encargos!H39</f>
        <v>2100.8890782836825</v>
      </c>
      <c r="P76" s="225">
        <f ca="1">VLOOKUP($B$48,Índices!$B$6:$F$500,VLOOKUP(P$54,$L$7:$M$9,2,FALSE)+1,FALSE)/VLOOKUP(DATE(YEAR($B76),MONTH($B76)-1,1),Índices!$B$6:$F$500,VLOOKUP(P$54,$L$7:$M$9,2,FALSE)+1,FALSE)*O76</f>
        <v>2102.8606531180703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30523.595303417998</v>
      </c>
      <c r="D77" s="99">
        <f ca="1">VLOOKUP($B$79,Índices!$B$6:$F$500,VLOOKUP(D$54,$L$7:$M$9,2,FALSE)+1,FALSE)/VLOOKUP(DATE(YEAR($B77),MONTH($B77)-1,1),Índices!$B$6:$F$500,VLOOKUP(D$54,$L$7:$M$9,2,FALSE)+1,FALSE)*C77</f>
        <v>30409.314118796567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611.12131731172121</v>
      </c>
      <c r="H77" s="225">
        <f ca="1">VLOOKUP($B$48,Índices!$B$6:$F$500,VLOOKUP(H$54,$L$7:$M$9,2,FALSE)+1,FALSE)/VLOOKUP(DATE(YEAR($B77),MONTH($B77)-1,1),Índices!$B$6:$F$500,VLOOKUP(H$54,$L$7:$M$9,2,FALSE)+1,FALSE)*G77</f>
        <v>608.83326220564493</v>
      </c>
      <c r="I77" s="207">
        <f ca="1">Encargos!F40</f>
        <v>58394.396079045022</v>
      </c>
      <c r="J77" s="225">
        <f ca="1">VLOOKUP($B$48,Índices!$B$6:$F$500,VLOOKUP(J$54,$L$7:$M$9,2,FALSE)+1,FALSE)/VLOOKUP(DATE(YEAR($B77),MONTH($B77)-1,1),Índices!$B$6:$F$500,VLOOKUP(J$54,$L$7:$M$9,2,FALSE)+1,FALSE)*I77</f>
        <v>58175.765845849033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10266.755773080862</v>
      </c>
      <c r="N77" s="225">
        <f ca="1">VLOOKUP($B$48,Índices!$B$6:$F$500,VLOOKUP(N$54,$L$7:$M$9,2,FALSE)+1,FALSE)/VLOOKUP(DATE(YEAR($B77),MONTH($B77)-1,1),Índices!$B$6:$F$500,VLOOKUP(N$54,$L$7:$M$9,2,FALSE)+1,FALSE)*M77</f>
        <v>10228.316755648495</v>
      </c>
      <c r="O77" s="207">
        <f ca="1">Encargos!H40</f>
        <v>5951.9373693363741</v>
      </c>
      <c r="P77" s="225">
        <f ca="1">VLOOKUP($B$48,Índices!$B$6:$F$500,VLOOKUP(P$54,$L$7:$M$9,2,FALSE)+1,FALSE)/VLOOKUP(DATE(YEAR($B77),MONTH($B77)-1,1),Índices!$B$6:$F$500,VLOOKUP(P$54,$L$7:$M$9,2,FALSE)+1,FALSE)*O77</f>
        <v>5929.6531512880447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18003.408724869601</v>
      </c>
      <c r="D78" s="99">
        <f ca="1">VLOOKUP($B$79,Índices!$B$6:$F$500,VLOOKUP(D$54,$L$7:$M$9,2,FALSE)+1,FALSE)/VLOOKUP(DATE(YEAR($B78),MONTH($B78)-1,1),Índices!$B$6:$F$500,VLOOKUP(D$54,$L$7:$M$9,2,FALSE)+1,FALSE)*C78</f>
        <v>17816.621808136442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380.96278691134466</v>
      </c>
      <c r="H78" s="225">
        <f ca="1">VLOOKUP($B$48,Índices!$B$6:$F$500,VLOOKUP(H$54,$L$7:$M$9,2,FALSE)+1,FALSE)/VLOOKUP(DATE(YEAR($B78),MONTH($B78)-1,1),Índices!$B$6:$F$500,VLOOKUP(H$54,$L$7:$M$9,2,FALSE)+1,FALSE)*G78</f>
        <v>377.01026517256167</v>
      </c>
      <c r="I78" s="207">
        <f ca="1">Encargos!F41</f>
        <v>34442.147768065799</v>
      </c>
      <c r="J78" s="225">
        <f ca="1">VLOOKUP($B$48,Índices!$B$6:$F$500,VLOOKUP(J$54,$L$7:$M$9,2,FALSE)+1,FALSE)/VLOOKUP(DATE(YEAR($B78),MONTH($B78)-1,1),Índices!$B$6:$F$500,VLOOKUP(J$54,$L$7:$M$9,2,FALSE)+1,FALSE)*I78</f>
        <v>34084.807517362162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5941.1876407926611</v>
      </c>
      <c r="N78" s="225">
        <f ca="1">VLOOKUP($B$48,Índices!$B$6:$F$500,VLOOKUP(N$54,$L$7:$M$9,2,FALSE)+1,FALSE)/VLOOKUP(DATE(YEAR($B78),MONTH($B78)-1,1),Índices!$B$6:$F$500,VLOOKUP(N$54,$L$7:$M$9,2,FALSE)+1,FALSE)*M78</f>
        <v>5879.5473071138586</v>
      </c>
      <c r="O78" s="207">
        <f ca="1">Encargos!H41</f>
        <v>26386.947399493307</v>
      </c>
      <c r="P78" s="225">
        <f ca="1">VLOOKUP($B$48,Índices!$B$6:$F$500,VLOOKUP(P$54,$L$7:$M$9,2,FALSE)+1,FALSE)/VLOOKUP(DATE(YEAR($B78),MONTH($B78)-1,1),Índices!$B$6:$F$500,VLOOKUP(P$54,$L$7:$M$9,2,FALSE)+1,FALSE)*O78</f>
        <v>26113.180546667099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18003.408724869601</v>
      </c>
      <c r="D79" s="99">
        <f ca="1">VLOOKUP($B$79,Índices!$B$6:$F$500,VLOOKUP(D$54,$L$7:$M$9,2,FALSE)+1,FALSE)/VLOOKUP(DATE(YEAR($B79),MONTH($B79)-1,1),Índices!$B$6:$F$500,VLOOKUP(D$54,$L$7:$M$9,2,FALSE)+1,FALSE)*C79</f>
        <v>17938.604932985698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380.96278691134466</v>
      </c>
      <c r="H79" s="225">
        <f ca="1">VLOOKUP($B$48,Índices!$B$6:$F$500,VLOOKUP(H$54,$L$7:$M$9,2,FALSE)+1,FALSE)/VLOOKUP(DATE(YEAR($B79),MONTH($B79)-1,1),Índices!$B$6:$F$500,VLOOKUP(H$54,$L$7:$M$9,2,FALSE)+1,FALSE)*G79</f>
        <v>379.59150031024609</v>
      </c>
      <c r="I79" s="207">
        <f ca="1">Encargos!F42</f>
        <v>34442.147768065799</v>
      </c>
      <c r="J79" s="225">
        <f ca="1">VLOOKUP($B$48,Índices!$B$6:$F$500,VLOOKUP(J$54,$L$7:$M$9,2,FALSE)+1,FALSE)/VLOOKUP(DATE(YEAR($B79),MONTH($B79)-1,1),Índices!$B$6:$F$500,VLOOKUP(J$54,$L$7:$M$9,2,FALSE)+1,FALSE)*I79</f>
        <v>34318.172258199542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5941.1876407926611</v>
      </c>
      <c r="N79" s="225">
        <f ca="1">VLOOKUP($B$48,Índices!$B$6:$F$500,VLOOKUP(N$54,$L$7:$M$9,2,FALSE)+1,FALSE)/VLOOKUP(DATE(YEAR($B79),MONTH($B79)-1,1),Índices!$B$6:$F$500,VLOOKUP(N$54,$L$7:$M$9,2,FALSE)+1,FALSE)*M79</f>
        <v>5919.8021635588248</v>
      </c>
      <c r="O79" s="207">
        <f ca="1">Encargos!H42</f>
        <v>26386.947399493307</v>
      </c>
      <c r="P79" s="225">
        <f ca="1">VLOOKUP($B$48,Índices!$B$6:$F$500,VLOOKUP(P$54,$L$7:$M$9,2,FALSE)+1,FALSE)/VLOOKUP(DATE(YEAR($B79),MONTH($B79)-1,1),Índices!$B$6:$F$500,VLOOKUP(P$54,$L$7:$M$9,2,FALSE)+1,FALSE)*O79</f>
        <v>26291.966816990276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3">
        <f ca="1">SUM(C56:C79)</f>
        <v>-122160.96532328601</v>
      </c>
      <c r="D80" s="1384">
        <f ca="1">SUM(D56:D79)</f>
        <v>-128162.06640272774</v>
      </c>
      <c r="E80" s="1383">
        <f ca="1">SUM(E56:E79)</f>
        <v>0</v>
      </c>
      <c r="F80" s="1384">
        <f ca="1">SUM(F56:F79)</f>
        <v>0</v>
      </c>
      <c r="G80" s="1383">
        <f ca="1">SUM(G55:G79)</f>
        <v>-3388.6029842823482</v>
      </c>
      <c r="H80" s="1383">
        <f t="shared" ref="H80:N80" ca="1" si="7">SUM(H55:H79)</f>
        <v>-3549.1525413601648</v>
      </c>
      <c r="I80" s="1383">
        <f t="shared" ca="1" si="7"/>
        <v>-233704.965734764</v>
      </c>
      <c r="J80" s="1383">
        <f t="shared" ca="1" si="7"/>
        <v>-245185.61438902293</v>
      </c>
      <c r="K80" s="1383">
        <f t="shared" ca="1" si="7"/>
        <v>0</v>
      </c>
      <c r="L80" s="1383">
        <f t="shared" ca="1" si="7"/>
        <v>0</v>
      </c>
      <c r="M80" s="1383">
        <f t="shared" ca="1" si="7"/>
        <v>-36084.104318365338</v>
      </c>
      <c r="N80" s="1383">
        <f t="shared" ca="1" si="7"/>
        <v>-37884.487566450392</v>
      </c>
      <c r="O80" s="1383">
        <f t="shared" ref="O80:R80" ca="1" si="8">SUM(O55:O79)</f>
        <v>522092.02404688066</v>
      </c>
      <c r="P80" s="1383">
        <f t="shared" ca="1" si="8"/>
        <v>538959.86488075997</v>
      </c>
      <c r="Q80" s="1383">
        <f t="shared" ca="1" si="8"/>
        <v>0</v>
      </c>
      <c r="R80" s="1383">
        <f t="shared" ca="1" si="8"/>
        <v>0</v>
      </c>
      <c r="S80" s="1383">
        <f t="shared" ref="S80:X80" si="9">SUM(S55:S79)</f>
        <v>0</v>
      </c>
      <c r="T80" s="1383">
        <f t="shared" si="9"/>
        <v>0</v>
      </c>
      <c r="U80" s="1383">
        <f t="shared" si="9"/>
        <v>0</v>
      </c>
      <c r="V80" s="1386">
        <f t="shared" si="9"/>
        <v>0</v>
      </c>
      <c r="W80" s="1383">
        <f t="shared" si="9"/>
        <v>0</v>
      </c>
      <c r="X80" s="1386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1376</v>
      </c>
      <c r="C1" s="9" t="s">
        <v>1377</v>
      </c>
      <c r="D1" s="9" t="s">
        <v>1378</v>
      </c>
      <c r="E1" s="233" t="s">
        <v>1379</v>
      </c>
      <c r="F1" s="233" t="s">
        <v>1380</v>
      </c>
      <c r="G1" s="233" t="s">
        <v>1381</v>
      </c>
      <c r="H1" s="233" t="s">
        <v>1382</v>
      </c>
      <c r="I1" s="9" t="s">
        <v>192</v>
      </c>
      <c r="J1" s="9" t="s">
        <v>1383</v>
      </c>
      <c r="K1" s="9" t="s">
        <v>1384</v>
      </c>
      <c r="L1" s="9" t="s">
        <v>1385</v>
      </c>
      <c r="M1" s="9" t="s">
        <v>1386</v>
      </c>
      <c r="N1" s="9" t="s">
        <v>961</v>
      </c>
      <c r="O1" s="9" t="s">
        <v>875</v>
      </c>
      <c r="P1" s="9" t="s">
        <v>1387</v>
      </c>
      <c r="Q1" s="8" t="s">
        <v>869</v>
      </c>
      <c r="R1" s="17" t="s">
        <v>1388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1377</v>
      </c>
      <c r="B1" t="s">
        <v>960</v>
      </c>
      <c r="C1" t="s">
        <v>1389</v>
      </c>
      <c r="D1" t="s">
        <v>879</v>
      </c>
      <c r="E1" t="s">
        <v>1390</v>
      </c>
      <c r="F1" t="s">
        <v>58</v>
      </c>
      <c r="G1" t="s">
        <v>524</v>
      </c>
      <c r="H1" t="s">
        <v>961</v>
      </c>
      <c r="I1" t="s">
        <v>108</v>
      </c>
      <c r="J1" t="s">
        <v>1381</v>
      </c>
      <c r="K1" t="s">
        <v>1391</v>
      </c>
      <c r="L1" t="s">
        <v>1392</v>
      </c>
      <c r="M1" t="s">
        <v>1393</v>
      </c>
      <c r="N1" t="s">
        <v>971</v>
      </c>
      <c r="O1" t="s">
        <v>1394</v>
      </c>
      <c r="P1" t="s">
        <v>1395</v>
      </c>
      <c r="Q1" t="s">
        <v>1396</v>
      </c>
      <c r="R1" t="s">
        <v>1397</v>
      </c>
      <c r="S1" t="s">
        <v>192</v>
      </c>
      <c r="T1" t="s">
        <v>1398</v>
      </c>
      <c r="U1" t="s">
        <v>1399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Normal="100" workbookViewId="0">
      <pane xSplit="1" ySplit="6" topLeftCell="B351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7" t="s">
        <v>1400</v>
      </c>
      <c r="D2" s="3" t="s">
        <v>1401</v>
      </c>
    </row>
    <row r="3" spans="2:15">
      <c r="B3" s="5"/>
    </row>
    <row r="6" spans="2:15">
      <c r="B6" s="1388" t="s">
        <v>1402</v>
      </c>
      <c r="C6" s="1388" t="s">
        <v>1403</v>
      </c>
      <c r="D6" s="1388" t="s">
        <v>772</v>
      </c>
      <c r="E6" s="6" t="s">
        <v>1404</v>
      </c>
      <c r="F6" s="6" t="s">
        <v>1405</v>
      </c>
      <c r="G6" s="1389" t="s">
        <v>1406</v>
      </c>
      <c r="K6" s="1467" t="s">
        <v>2124</v>
      </c>
      <c r="L6" s="1468" t="s">
        <v>37</v>
      </c>
      <c r="M6" s="1469" t="s">
        <v>2125</v>
      </c>
      <c r="N6" s="1468" t="s">
        <v>1322</v>
      </c>
      <c r="O6" s="1470" t="s">
        <v>2126</v>
      </c>
    </row>
    <row r="7" spans="2:15">
      <c r="B7" s="1390">
        <v>32629</v>
      </c>
      <c r="C7" s="1391">
        <v>2.5789999999999999E-5</v>
      </c>
      <c r="D7" s="1391">
        <v>3.4132578959999998E-4</v>
      </c>
      <c r="E7" s="1391">
        <v>0</v>
      </c>
      <c r="F7" s="1391">
        <v>1</v>
      </c>
      <c r="K7" s="1471">
        <v>42064</v>
      </c>
      <c r="L7" s="1472"/>
      <c r="M7" s="1473">
        <v>0</v>
      </c>
      <c r="N7" s="1474">
        <v>1</v>
      </c>
      <c r="O7" s="1474">
        <v>1</v>
      </c>
    </row>
    <row r="8" spans="2:15">
      <c r="B8" s="1390">
        <v>32660</v>
      </c>
      <c r="C8" s="1391">
        <v>3.0859999999999999E-5</v>
      </c>
      <c r="D8" s="1391">
        <v>4.3911559890000003E-4</v>
      </c>
      <c r="E8" s="1391">
        <v>0</v>
      </c>
      <c r="F8" s="1391">
        <v>1</v>
      </c>
      <c r="G8" s="10"/>
      <c r="K8" s="1471">
        <v>42065</v>
      </c>
      <c r="L8" s="1472" t="s">
        <v>2127</v>
      </c>
      <c r="M8" s="1473">
        <v>4.5512999999999998E-2</v>
      </c>
      <c r="N8" s="1474">
        <v>1.00045513</v>
      </c>
      <c r="O8" s="1474">
        <v>1.00045513</v>
      </c>
    </row>
    <row r="9" spans="2:15">
      <c r="B9" s="1390">
        <v>32690</v>
      </c>
      <c r="C9" s="1391">
        <v>4.1940000000000002E-5</v>
      </c>
      <c r="D9" s="1391">
        <v>5.6092617030000002E-4</v>
      </c>
      <c r="E9" s="1391">
        <v>0</v>
      </c>
      <c r="F9" s="1391">
        <v>1</v>
      </c>
      <c r="K9" s="1471">
        <v>42066</v>
      </c>
      <c r="L9" s="1472" t="s">
        <v>2127</v>
      </c>
      <c r="M9" s="1473">
        <v>4.5512999999999998E-2</v>
      </c>
      <c r="N9" s="1474">
        <v>1.0009104671433169</v>
      </c>
      <c r="O9" s="1474">
        <v>1.0009104671433169</v>
      </c>
    </row>
    <row r="10" spans="2:15">
      <c r="B10" s="1390">
        <v>32721</v>
      </c>
      <c r="C10" s="1391">
        <v>5.7429999999999997E-5</v>
      </c>
      <c r="D10" s="1391">
        <v>7.5001448160000002E-4</v>
      </c>
      <c r="E10" s="1391">
        <v>0</v>
      </c>
      <c r="F10" s="1391">
        <v>1</v>
      </c>
      <c r="K10" s="1471">
        <v>42067</v>
      </c>
      <c r="L10" s="1472" t="s">
        <v>2127</v>
      </c>
      <c r="M10" s="1473">
        <v>4.5512999999999998E-2</v>
      </c>
      <c r="N10" s="1474">
        <v>1.0013660115242278</v>
      </c>
      <c r="O10" s="1474">
        <v>1.0013660115242278</v>
      </c>
    </row>
    <row r="11" spans="2:15">
      <c r="B11" s="1390">
        <v>32752</v>
      </c>
      <c r="C11" s="1391">
        <v>8.0350000000000001E-5</v>
      </c>
      <c r="D11" s="1391">
        <v>1.031719911E-3</v>
      </c>
      <c r="E11" s="1391">
        <v>0</v>
      </c>
      <c r="F11" s="1391">
        <v>1</v>
      </c>
      <c r="K11" s="1471">
        <v>42068</v>
      </c>
      <c r="L11" s="1472" t="s">
        <v>2127</v>
      </c>
      <c r="M11" s="1473">
        <v>4.7279000000000002E-2</v>
      </c>
      <c r="N11" s="1474">
        <v>1.0018394473608161</v>
      </c>
      <c r="O11" s="1474">
        <v>1.0018394473608161</v>
      </c>
    </row>
    <row r="12" spans="2:15">
      <c r="B12" s="1390">
        <v>32782</v>
      </c>
      <c r="C12" s="1391">
        <v>1.13E-4</v>
      </c>
      <c r="D12" s="1391">
        <v>1.4420348808E-3</v>
      </c>
      <c r="E12" s="1391">
        <v>0</v>
      </c>
      <c r="F12" s="1391">
        <v>1</v>
      </c>
      <c r="K12" s="1471">
        <v>42069</v>
      </c>
      <c r="L12" s="1472" t="s">
        <v>2127</v>
      </c>
      <c r="M12" s="1473">
        <v>4.7279000000000002E-2</v>
      </c>
      <c r="N12" s="1474">
        <v>1.0023131070331337</v>
      </c>
      <c r="O12" s="1474">
        <v>1.0023131070331337</v>
      </c>
    </row>
    <row r="13" spans="2:15">
      <c r="B13" s="1390">
        <v>32813</v>
      </c>
      <c r="C13" s="1391">
        <v>1.5873999999999999E-4</v>
      </c>
      <c r="D13" s="1391">
        <v>2.1316159802999999E-3</v>
      </c>
      <c r="E13" s="1391">
        <v>0</v>
      </c>
      <c r="F13" s="1391">
        <v>1</v>
      </c>
      <c r="K13" s="1471">
        <v>42070</v>
      </c>
      <c r="L13" s="1472"/>
      <c r="M13" s="1473">
        <v>0</v>
      </c>
      <c r="N13" s="1474">
        <v>1.0023131070331337</v>
      </c>
      <c r="O13" s="1474">
        <v>1.0023131070331337</v>
      </c>
    </row>
    <row r="14" spans="2:15">
      <c r="B14" s="1390">
        <v>32843</v>
      </c>
      <c r="C14" s="1391">
        <v>2.3356000000000001E-4</v>
      </c>
      <c r="D14" s="1391">
        <v>3.2293981927000001E-3</v>
      </c>
      <c r="E14" s="1391">
        <v>0</v>
      </c>
      <c r="F14" s="1391">
        <v>1</v>
      </c>
      <c r="K14" s="1471">
        <v>42071</v>
      </c>
      <c r="L14" s="1472"/>
      <c r="M14" s="1473">
        <v>0</v>
      </c>
      <c r="N14" s="1474">
        <v>1.0023131070331337</v>
      </c>
      <c r="O14" s="1474">
        <v>1.0023131070331337</v>
      </c>
    </row>
    <row r="15" spans="2:15">
      <c r="B15" s="1390">
        <v>32874</v>
      </c>
      <c r="C15" s="1391">
        <v>3.7711E-4</v>
      </c>
      <c r="D15" s="1391">
        <v>5.4108567453999999E-3</v>
      </c>
      <c r="E15" s="1391">
        <v>0</v>
      </c>
      <c r="F15" s="1391">
        <v>1</v>
      </c>
      <c r="K15" s="1471">
        <v>42072</v>
      </c>
      <c r="L15" s="1472" t="s">
        <v>2127</v>
      </c>
      <c r="M15" s="1473">
        <v>4.7279000000000002E-2</v>
      </c>
      <c r="N15" s="1474">
        <v>1.0027869906470077</v>
      </c>
      <c r="O15" s="1474">
        <v>1.0027869906470077</v>
      </c>
    </row>
    <row r="16" spans="2:15">
      <c r="B16" s="1390">
        <v>32905</v>
      </c>
      <c r="C16" s="1391">
        <v>6.8364999999999995E-4</v>
      </c>
      <c r="D16" s="1391">
        <v>9.5084984832999996E-3</v>
      </c>
      <c r="E16" s="1391">
        <v>0</v>
      </c>
      <c r="F16" s="1391">
        <v>1</v>
      </c>
      <c r="K16" s="1471">
        <v>42073</v>
      </c>
      <c r="L16" s="1472" t="s">
        <v>2127</v>
      </c>
      <c r="M16" s="1473">
        <v>4.7279000000000002E-2</v>
      </c>
      <c r="N16" s="1474">
        <v>1.0032610983083157</v>
      </c>
      <c r="O16" s="1474">
        <v>1.0032610983083157</v>
      </c>
    </row>
    <row r="17" spans="2:15">
      <c r="B17" s="1390">
        <v>32933</v>
      </c>
      <c r="C17" s="1391">
        <v>1.2575500000000001E-3</v>
      </c>
      <c r="D17" s="1391">
        <v>1.7342550351000002E-2</v>
      </c>
      <c r="E17" s="1391">
        <v>0</v>
      </c>
      <c r="F17" s="1391">
        <v>1</v>
      </c>
      <c r="K17" s="1471">
        <v>42074</v>
      </c>
      <c r="L17" s="1472" t="s">
        <v>2127</v>
      </c>
      <c r="M17" s="1473">
        <v>4.7279000000000002E-2</v>
      </c>
      <c r="N17" s="1474">
        <v>1.0037354301229848</v>
      </c>
      <c r="O17" s="1474">
        <v>1.0037354301229848</v>
      </c>
    </row>
    <row r="18" spans="2:15">
      <c r="B18" s="1390">
        <v>32964</v>
      </c>
      <c r="C18" s="1391">
        <v>1.61407E-3</v>
      </c>
      <c r="D18" s="1391">
        <v>2.00341140678E-2</v>
      </c>
      <c r="E18" s="1391">
        <v>0</v>
      </c>
      <c r="F18" s="1391">
        <v>1</v>
      </c>
      <c r="K18" s="1471">
        <v>42075</v>
      </c>
      <c r="L18" s="1472" t="s">
        <v>2127</v>
      </c>
      <c r="M18" s="1473">
        <v>4.7279000000000002E-2</v>
      </c>
      <c r="N18" s="1474">
        <v>1.0042099861969926</v>
      </c>
      <c r="O18" s="1474">
        <v>1.0042099861969926</v>
      </c>
    </row>
    <row r="19" spans="2:15">
      <c r="B19" s="1390">
        <v>32994</v>
      </c>
      <c r="C19" s="1391">
        <v>1.70973E-3</v>
      </c>
      <c r="D19" s="1391">
        <v>2.1554703244099999E-2</v>
      </c>
      <c r="E19" s="1391">
        <v>0</v>
      </c>
      <c r="F19" s="1391">
        <v>1</v>
      </c>
      <c r="K19" s="1471">
        <v>42076</v>
      </c>
      <c r="L19" s="1472" t="s">
        <v>2127</v>
      </c>
      <c r="M19" s="1473">
        <v>4.7279000000000002E-2</v>
      </c>
      <c r="N19" s="1474">
        <v>1.0046847666363665</v>
      </c>
      <c r="O19" s="1474">
        <v>1.0046847666363665</v>
      </c>
    </row>
    <row r="20" spans="2:15">
      <c r="B20" s="1390">
        <v>33025</v>
      </c>
      <c r="C20" s="1391">
        <v>1.87962E-3</v>
      </c>
      <c r="D20" s="1391">
        <v>2.4087380951899998E-2</v>
      </c>
      <c r="E20" s="1391">
        <v>0</v>
      </c>
      <c r="F20" s="1391">
        <v>1</v>
      </c>
      <c r="K20" s="1471">
        <v>42077</v>
      </c>
      <c r="L20" s="1472"/>
      <c r="M20" s="1473">
        <v>0</v>
      </c>
      <c r="N20" s="1474">
        <v>1.0046847666363665</v>
      </c>
      <c r="O20" s="1474">
        <v>1.0046847666363665</v>
      </c>
    </row>
    <row r="21" spans="2:15">
      <c r="B21" s="1390">
        <v>33055</v>
      </c>
      <c r="C21" s="1391">
        <v>2.10539E-3</v>
      </c>
      <c r="D21" s="1391">
        <v>2.7199470492E-2</v>
      </c>
      <c r="E21" s="1391">
        <v>0</v>
      </c>
      <c r="F21" s="1391">
        <v>1</v>
      </c>
      <c r="K21" s="1471">
        <v>42078</v>
      </c>
      <c r="L21" s="1472"/>
      <c r="M21" s="1473">
        <v>0</v>
      </c>
      <c r="N21" s="1474">
        <v>1.0046847666363665</v>
      </c>
      <c r="O21" s="1474">
        <v>1.0046847666363665</v>
      </c>
    </row>
    <row r="22" spans="2:15">
      <c r="B22" s="1390">
        <v>33086</v>
      </c>
      <c r="C22" s="1391">
        <v>2.39215E-3</v>
      </c>
      <c r="D22" s="1391">
        <v>3.0702762318699998E-2</v>
      </c>
      <c r="E22" s="1391">
        <v>0</v>
      </c>
      <c r="F22" s="1391">
        <v>1</v>
      </c>
      <c r="K22" s="1471">
        <v>42079</v>
      </c>
      <c r="L22" s="1472" t="s">
        <v>2127</v>
      </c>
      <c r="M22" s="1473">
        <v>4.7279000000000002E-2</v>
      </c>
      <c r="N22" s="1474">
        <v>1.0051597715471845</v>
      </c>
      <c r="O22" s="1474">
        <v>1.0051597715471845</v>
      </c>
    </row>
    <row r="23" spans="2:15">
      <c r="B23" s="1390">
        <v>33117</v>
      </c>
      <c r="C23" s="1391">
        <v>2.6984000000000001E-3</v>
      </c>
      <c r="D23" s="1391">
        <v>3.51270304097E-2</v>
      </c>
      <c r="E23" s="1391">
        <v>0</v>
      </c>
      <c r="F23" s="1391">
        <v>1</v>
      </c>
      <c r="K23" s="1471">
        <v>42080</v>
      </c>
      <c r="L23" s="1472" t="s">
        <v>2127</v>
      </c>
      <c r="M23" s="1473">
        <v>4.7279000000000002E-2</v>
      </c>
      <c r="N23" s="1474">
        <v>1.0056350010355741</v>
      </c>
      <c r="O23" s="1474">
        <v>1.0056350010355741</v>
      </c>
    </row>
    <row r="24" spans="2:15">
      <c r="B24" s="1390">
        <v>33147</v>
      </c>
      <c r="C24" s="1391">
        <v>3.0483699999999999E-3</v>
      </c>
      <c r="D24" s="1391">
        <v>4.0171272055300002E-2</v>
      </c>
      <c r="E24" s="1391">
        <v>0</v>
      </c>
      <c r="F24" s="1391">
        <v>1</v>
      </c>
      <c r="K24" s="1471">
        <v>42081</v>
      </c>
      <c r="L24" s="1472" t="s">
        <v>2127</v>
      </c>
      <c r="M24" s="1473">
        <v>4.7279000000000002E-2</v>
      </c>
      <c r="N24" s="1474">
        <v>1.0061104552077136</v>
      </c>
      <c r="O24" s="1474">
        <v>1.0061104552077136</v>
      </c>
    </row>
    <row r="25" spans="2:15">
      <c r="B25" s="1390">
        <v>33178</v>
      </c>
      <c r="C25" s="1391">
        <v>3.5622900000000001E-3</v>
      </c>
      <c r="D25" s="1391">
        <v>4.6924062784199999E-2</v>
      </c>
      <c r="E25" s="1391">
        <v>0</v>
      </c>
      <c r="F25" s="1391">
        <v>1</v>
      </c>
      <c r="K25" s="1471">
        <v>42082</v>
      </c>
      <c r="L25" s="1472" t="s">
        <v>2127</v>
      </c>
      <c r="M25" s="1473">
        <v>4.7279000000000002E-2</v>
      </c>
      <c r="N25" s="1474">
        <v>1.0065861341698312</v>
      </c>
      <c r="O25" s="1474">
        <v>1.0065861341698312</v>
      </c>
    </row>
    <row r="26" spans="2:15">
      <c r="B26" s="1390">
        <v>33208</v>
      </c>
      <c r="C26" s="1391">
        <v>4.2034799999999999E-3</v>
      </c>
      <c r="D26" s="1391">
        <v>5.5576860018600002E-2</v>
      </c>
      <c r="E26" s="1391">
        <v>0</v>
      </c>
      <c r="F26" s="1391">
        <v>1</v>
      </c>
      <c r="K26" s="1471">
        <v>42083</v>
      </c>
      <c r="L26" s="1472" t="s">
        <v>2127</v>
      </c>
      <c r="M26" s="1473">
        <v>4.7279000000000002E-2</v>
      </c>
      <c r="N26" s="1474">
        <v>1.0070620380282054</v>
      </c>
      <c r="O26" s="1474">
        <v>1.0070620380282054</v>
      </c>
    </row>
    <row r="27" spans="2:15">
      <c r="B27" s="1390">
        <v>33239</v>
      </c>
      <c r="C27" s="1391">
        <v>4.9475200000000004E-3</v>
      </c>
      <c r="D27" s="1391">
        <v>6.7109058472399993E-2</v>
      </c>
      <c r="E27" s="1391">
        <v>0</v>
      </c>
      <c r="F27" s="1391">
        <v>1</v>
      </c>
      <c r="K27" s="1471">
        <v>42084</v>
      </c>
      <c r="L27" s="1472"/>
      <c r="M27" s="1473">
        <v>0</v>
      </c>
      <c r="N27" s="1474">
        <v>1.0070620380282054</v>
      </c>
      <c r="O27" s="1474">
        <v>1.0070620380282054</v>
      </c>
    </row>
    <row r="28" spans="2:15">
      <c r="B28" s="1390">
        <v>33270</v>
      </c>
      <c r="C28" s="1391">
        <v>5.9873900000000004E-3</v>
      </c>
      <c r="D28" s="1391">
        <v>8.1014388849100005E-2</v>
      </c>
      <c r="E28" s="1391">
        <v>0</v>
      </c>
      <c r="F28" s="1391">
        <v>1</v>
      </c>
      <c r="K28" s="1471">
        <v>42085</v>
      </c>
      <c r="L28" s="1472"/>
      <c r="M28" s="1473">
        <v>0</v>
      </c>
      <c r="N28" s="1474">
        <v>1.0070620380282054</v>
      </c>
      <c r="O28" s="1474">
        <v>1.0070620380282054</v>
      </c>
    </row>
    <row r="29" spans="2:15">
      <c r="B29" s="1390">
        <v>33298</v>
      </c>
      <c r="C29" s="1391">
        <v>6.5374099999999996E-3</v>
      </c>
      <c r="D29" s="1391">
        <v>9.0673647120300002E-2</v>
      </c>
      <c r="E29" s="1391">
        <v>0</v>
      </c>
      <c r="F29" s="1391">
        <v>1</v>
      </c>
      <c r="K29" s="1471">
        <v>42086</v>
      </c>
      <c r="L29" s="1472" t="s">
        <v>2127</v>
      </c>
      <c r="M29" s="1473">
        <v>4.7279000000000002E-2</v>
      </c>
      <c r="N29" s="1474">
        <v>1.0075381668891645</v>
      </c>
      <c r="O29" s="1474">
        <v>1.0075381668891645</v>
      </c>
    </row>
    <row r="30" spans="2:15">
      <c r="B30" s="1390">
        <v>33329</v>
      </c>
      <c r="C30" s="1391">
        <v>7.0477600000000001E-3</v>
      </c>
      <c r="D30" s="1391">
        <v>9.5197603525800006E-2</v>
      </c>
      <c r="E30" s="1391">
        <v>0</v>
      </c>
      <c r="F30" s="1391">
        <v>1</v>
      </c>
      <c r="K30" s="1471">
        <v>42087</v>
      </c>
      <c r="L30" s="1472" t="s">
        <v>2127</v>
      </c>
      <c r="M30" s="1473">
        <v>4.7279000000000002E-2</v>
      </c>
      <c r="N30" s="1474">
        <v>1.008014520859088</v>
      </c>
      <c r="O30" s="1474">
        <v>1.008014520859088</v>
      </c>
    </row>
    <row r="31" spans="2:15">
      <c r="B31" s="1390">
        <v>33359</v>
      </c>
      <c r="C31" s="1391">
        <v>7.57502E-3</v>
      </c>
      <c r="D31" s="1391">
        <v>0.10227253780620001</v>
      </c>
      <c r="E31" s="1391">
        <v>0</v>
      </c>
      <c r="F31" s="1391">
        <v>1</v>
      </c>
      <c r="K31" s="1471">
        <v>42088</v>
      </c>
      <c r="L31" s="1472" t="s">
        <v>2127</v>
      </c>
      <c r="M31" s="1473">
        <v>4.7279000000000002E-2</v>
      </c>
      <c r="N31" s="1474">
        <v>1.008491100044405</v>
      </c>
      <c r="O31" s="1474">
        <v>1.008491100044405</v>
      </c>
    </row>
    <row r="32" spans="2:15">
      <c r="B32" s="1390">
        <v>33390</v>
      </c>
      <c r="C32" s="1391">
        <v>8.2174099999999996E-3</v>
      </c>
      <c r="D32" s="1391">
        <v>0.113715813284</v>
      </c>
      <c r="E32" s="1391">
        <v>0</v>
      </c>
      <c r="F32" s="1391">
        <v>1</v>
      </c>
      <c r="K32" s="1471">
        <v>42089</v>
      </c>
      <c r="L32" s="1472" t="s">
        <v>2127</v>
      </c>
      <c r="M32" s="1473">
        <v>4.7279000000000002E-2</v>
      </c>
      <c r="N32" s="1474">
        <v>1.0089679045515949</v>
      </c>
      <c r="O32" s="1474">
        <v>1.0089679045515949</v>
      </c>
    </row>
    <row r="33" spans="2:15">
      <c r="B33" s="1390">
        <v>33420</v>
      </c>
      <c r="C33" s="1391">
        <v>9.3037399999999996E-3</v>
      </c>
      <c r="D33" s="1391">
        <v>0.12782677804270001</v>
      </c>
      <c r="E33" s="1391">
        <v>0</v>
      </c>
      <c r="F33" s="1391">
        <v>1</v>
      </c>
      <c r="K33" s="1471">
        <v>42090</v>
      </c>
      <c r="L33" s="1472" t="s">
        <v>2127</v>
      </c>
      <c r="M33" s="1473">
        <v>4.7279000000000002E-2</v>
      </c>
      <c r="N33" s="1474">
        <v>1.0094449344871876</v>
      </c>
      <c r="O33" s="1474">
        <v>1.0094449344871876</v>
      </c>
    </row>
    <row r="34" spans="2:15">
      <c r="B34" s="1390">
        <v>33451</v>
      </c>
      <c r="C34" s="1391">
        <v>1.072268E-2</v>
      </c>
      <c r="D34" s="1391">
        <v>0.14780665921940001</v>
      </c>
      <c r="E34" s="1392">
        <v>0</v>
      </c>
      <c r="F34" s="1392">
        <v>1</v>
      </c>
      <c r="K34" s="1471">
        <v>42091</v>
      </c>
      <c r="L34" s="1472"/>
      <c r="M34" s="1473">
        <v>0</v>
      </c>
      <c r="N34" s="1474">
        <v>1.0094449344871876</v>
      </c>
      <c r="O34" s="1474">
        <v>1.0094449344871876</v>
      </c>
    </row>
    <row r="35" spans="2:15">
      <c r="B35" s="1390">
        <v>33482</v>
      </c>
      <c r="C35" s="1391">
        <v>1.232337E-2</v>
      </c>
      <c r="D35" s="1391">
        <v>0.17090995992909999</v>
      </c>
      <c r="E35" s="1392">
        <v>0</v>
      </c>
      <c r="F35" s="1392">
        <v>1</v>
      </c>
      <c r="K35" s="1471">
        <v>42092</v>
      </c>
      <c r="L35" s="1472"/>
      <c r="M35" s="1473">
        <v>0</v>
      </c>
      <c r="N35" s="1474">
        <v>1.0094449344871876</v>
      </c>
      <c r="O35" s="1474">
        <v>1.0094449344871876</v>
      </c>
    </row>
    <row r="36" spans="2:15">
      <c r="B36" s="1390">
        <v>33512</v>
      </c>
      <c r="C36" s="1391">
        <v>1.5112230000000001E-2</v>
      </c>
      <c r="D36" s="1391">
        <v>0.20548432454660001</v>
      </c>
      <c r="E36" s="1392">
        <v>0</v>
      </c>
      <c r="F36" s="1392">
        <v>1</v>
      </c>
      <c r="K36" s="1471">
        <v>42093</v>
      </c>
      <c r="L36" s="1472" t="s">
        <v>2127</v>
      </c>
      <c r="M36" s="1473">
        <v>4.7279000000000002E-2</v>
      </c>
      <c r="N36" s="1474">
        <v>1.0099221899577637</v>
      </c>
      <c r="O36" s="1474">
        <v>1.0099221899577637</v>
      </c>
    </row>
    <row r="37" spans="2:15">
      <c r="B37" s="1390">
        <v>33543</v>
      </c>
      <c r="C37" s="1391">
        <v>1.8984250000000001E-2</v>
      </c>
      <c r="D37" s="1391">
        <v>0.2572875157699</v>
      </c>
      <c r="E37" s="1392">
        <v>0</v>
      </c>
      <c r="F37" s="1392">
        <v>1</v>
      </c>
      <c r="K37" s="1471">
        <v>42094</v>
      </c>
      <c r="L37" s="1472" t="s">
        <v>2127</v>
      </c>
      <c r="M37" s="1473">
        <v>4.7279000000000002E-2</v>
      </c>
      <c r="N37" s="1474">
        <v>1.0103996710699537</v>
      </c>
      <c r="O37" s="1474">
        <v>1.0103996710699537</v>
      </c>
    </row>
    <row r="38" spans="2:15">
      <c r="B38" s="1390">
        <v>33573</v>
      </c>
      <c r="C38" s="1391">
        <v>2.347107E-2</v>
      </c>
      <c r="D38" s="1391">
        <v>0.31828867732630001</v>
      </c>
      <c r="E38" s="1392">
        <v>0</v>
      </c>
      <c r="F38" s="1392">
        <v>1</v>
      </c>
      <c r="K38" s="1471">
        <v>42095</v>
      </c>
      <c r="L38" s="1472" t="s">
        <v>2127</v>
      </c>
      <c r="M38" s="1473">
        <v>4.7279000000000002E-2</v>
      </c>
      <c r="N38" s="1474">
        <v>1.0108773779304387</v>
      </c>
      <c r="O38" s="1474">
        <v>1.0108773779304387</v>
      </c>
    </row>
    <row r="39" spans="2:15">
      <c r="B39" s="1390">
        <v>33604</v>
      </c>
      <c r="C39" s="1391">
        <v>2.9000140000000001E-2</v>
      </c>
      <c r="D39" s="1391">
        <v>0.40085366056990002</v>
      </c>
      <c r="E39" s="1392">
        <v>0</v>
      </c>
      <c r="F39" s="1392">
        <v>1</v>
      </c>
      <c r="K39" s="1471">
        <v>42096</v>
      </c>
      <c r="L39" s="1472" t="s">
        <v>2127</v>
      </c>
      <c r="M39" s="1473">
        <v>4.7279000000000002E-2</v>
      </c>
      <c r="N39" s="1474">
        <v>1.0113553106459503</v>
      </c>
      <c r="O39" s="1474">
        <v>1.0113553106459503</v>
      </c>
    </row>
    <row r="40" spans="2:15">
      <c r="B40" s="1390">
        <v>33635</v>
      </c>
      <c r="C40" s="1391">
        <v>3.7078809999999997E-2</v>
      </c>
      <c r="D40" s="1391">
        <v>0.49834103072840003</v>
      </c>
      <c r="E40" s="1392">
        <v>0</v>
      </c>
      <c r="F40" s="1392">
        <v>1</v>
      </c>
      <c r="K40" s="1471">
        <v>42097</v>
      </c>
      <c r="L40" s="1472"/>
      <c r="M40" s="1473">
        <v>0</v>
      </c>
      <c r="N40" s="1474">
        <v>1.0113553106459503</v>
      </c>
      <c r="O40" s="1474">
        <v>1.0113553106459503</v>
      </c>
    </row>
    <row r="41" spans="2:15">
      <c r="B41" s="1390">
        <v>33664</v>
      </c>
      <c r="C41" s="1391">
        <v>4.501144E-2</v>
      </c>
      <c r="D41" s="1391">
        <v>0.60498746741809994</v>
      </c>
      <c r="E41" s="1392">
        <v>0</v>
      </c>
      <c r="F41" s="1392">
        <v>1</v>
      </c>
      <c r="K41" s="1471">
        <v>42098</v>
      </c>
      <c r="L41" s="1472"/>
      <c r="M41" s="1473">
        <v>0</v>
      </c>
      <c r="N41" s="1474">
        <v>1.0113553106459503</v>
      </c>
      <c r="O41" s="1474">
        <v>1.0113553106459503</v>
      </c>
    </row>
    <row r="42" spans="2:15">
      <c r="B42" s="1390">
        <v>33695</v>
      </c>
      <c r="C42" s="1391">
        <v>5.3986060000000002E-2</v>
      </c>
      <c r="D42" s="1391">
        <v>0.72556146522830001</v>
      </c>
      <c r="E42" s="1392">
        <v>0</v>
      </c>
      <c r="F42" s="1392">
        <v>1</v>
      </c>
      <c r="K42" s="1471">
        <v>42099</v>
      </c>
      <c r="L42" s="1472"/>
      <c r="M42" s="1473">
        <v>0</v>
      </c>
      <c r="N42" s="1474">
        <v>1.0113553106459503</v>
      </c>
      <c r="O42" s="1474">
        <v>1.0113553106459503</v>
      </c>
    </row>
    <row r="43" spans="2:15">
      <c r="B43" s="1390">
        <v>33725</v>
      </c>
      <c r="C43" s="1391">
        <v>6.5012799999999996E-2</v>
      </c>
      <c r="D43" s="1391">
        <v>0.90593616441860003</v>
      </c>
      <c r="E43" s="1392">
        <v>0</v>
      </c>
      <c r="F43" s="1392">
        <v>1</v>
      </c>
      <c r="K43" s="1471">
        <v>42100</v>
      </c>
      <c r="L43" s="1472" t="s">
        <v>2127</v>
      </c>
      <c r="M43" s="1473">
        <v>4.7279000000000002E-2</v>
      </c>
      <c r="N43" s="1474">
        <v>1.0118334693232705</v>
      </c>
      <c r="O43" s="1474">
        <v>1.0118334693232705</v>
      </c>
    </row>
    <row r="44" spans="2:15">
      <c r="B44" s="1390">
        <v>33756</v>
      </c>
      <c r="C44" s="1391">
        <v>8.0361459999999996E-2</v>
      </c>
      <c r="D44" s="1391">
        <v>1.0890285720637001</v>
      </c>
      <c r="E44" s="1392">
        <v>0</v>
      </c>
      <c r="F44" s="1392">
        <v>1</v>
      </c>
      <c r="K44" s="1471">
        <v>42101</v>
      </c>
      <c r="L44" s="1472" t="s">
        <v>2127</v>
      </c>
      <c r="M44" s="1473">
        <v>4.7279000000000002E-2</v>
      </c>
      <c r="N44" s="1474">
        <v>1.0123118540692317</v>
      </c>
      <c r="O44" s="1474">
        <v>1.0123118540692317</v>
      </c>
    </row>
    <row r="45" spans="2:15">
      <c r="B45" s="1390">
        <v>33786</v>
      </c>
      <c r="C45" s="1391">
        <v>9.7908469999999997E-2</v>
      </c>
      <c r="D45" s="1391">
        <v>1.3267641484791</v>
      </c>
      <c r="E45" s="1392">
        <v>0</v>
      </c>
      <c r="F45" s="1392">
        <v>1</v>
      </c>
      <c r="K45" s="1471">
        <v>42102</v>
      </c>
      <c r="L45" s="1472" t="s">
        <v>2127</v>
      </c>
      <c r="M45" s="1473">
        <v>4.7279000000000002E-2</v>
      </c>
      <c r="N45" s="1474">
        <v>1.0127904649907171</v>
      </c>
      <c r="O45" s="1474">
        <v>1.0127904649907171</v>
      </c>
    </row>
    <row r="46" spans="2:15">
      <c r="B46" s="1390">
        <v>33817</v>
      </c>
      <c r="C46" s="1391">
        <v>0.12202180999999999</v>
      </c>
      <c r="D46" s="1391">
        <v>1.6205100844213001</v>
      </c>
      <c r="E46" s="1392">
        <v>0</v>
      </c>
      <c r="F46" s="1392">
        <v>1</v>
      </c>
      <c r="K46" s="1471">
        <v>42103</v>
      </c>
      <c r="L46" s="1472" t="s">
        <v>2127</v>
      </c>
      <c r="M46" s="1473">
        <v>4.7279000000000002E-2</v>
      </c>
      <c r="N46" s="1474">
        <v>1.0132693021946599</v>
      </c>
      <c r="O46" s="1474">
        <v>1.0132693021946599</v>
      </c>
    </row>
    <row r="47" spans="2:15">
      <c r="B47" s="1390">
        <v>33848</v>
      </c>
      <c r="C47" s="1391">
        <v>0.15285811999999999</v>
      </c>
      <c r="D47" s="1391">
        <v>2.0196408623306001</v>
      </c>
      <c r="E47" s="1392">
        <v>0</v>
      </c>
      <c r="F47" s="1392">
        <v>1</v>
      </c>
      <c r="K47" s="1471">
        <v>42104</v>
      </c>
      <c r="L47" s="1472" t="s">
        <v>2127</v>
      </c>
      <c r="M47" s="1473">
        <v>4.7279000000000002E-2</v>
      </c>
      <c r="N47" s="1474">
        <v>1.0137483657880444</v>
      </c>
      <c r="O47" s="1474">
        <v>1.0137483657880444</v>
      </c>
    </row>
    <row r="48" spans="2:15">
      <c r="B48" s="1390">
        <v>33878</v>
      </c>
      <c r="C48" s="1391">
        <v>0.19376498</v>
      </c>
      <c r="D48" s="1391">
        <v>2.5293973801068002</v>
      </c>
      <c r="E48" s="1392">
        <v>0</v>
      </c>
      <c r="F48" s="1392">
        <v>1</v>
      </c>
      <c r="K48" s="1471">
        <v>42105</v>
      </c>
      <c r="L48" s="1472"/>
      <c r="M48" s="1473">
        <v>0</v>
      </c>
      <c r="N48" s="1474">
        <v>1.0137483657880444</v>
      </c>
      <c r="O48" s="1474">
        <v>1.0137483657880444</v>
      </c>
    </row>
    <row r="49" spans="2:15">
      <c r="B49" s="1390">
        <v>33909</v>
      </c>
      <c r="C49" s="1391">
        <v>0.23916162999999999</v>
      </c>
      <c r="D49" s="1391">
        <v>3.0982598885127999</v>
      </c>
      <c r="E49" s="1392">
        <v>0</v>
      </c>
      <c r="F49" s="1392">
        <v>1</v>
      </c>
      <c r="K49" s="1471">
        <v>42106</v>
      </c>
      <c r="L49" s="1472"/>
      <c r="M49" s="1473">
        <v>0</v>
      </c>
      <c r="N49" s="1474">
        <v>1.0137483657880444</v>
      </c>
      <c r="O49" s="1474">
        <v>1.0137483657880444</v>
      </c>
    </row>
    <row r="50" spans="2:15">
      <c r="B50" s="1390">
        <v>33939</v>
      </c>
      <c r="C50" s="1391">
        <v>0.29913278999999998</v>
      </c>
      <c r="D50" s="1391">
        <v>3.8802596550900001</v>
      </c>
      <c r="E50" s="1392">
        <v>0</v>
      </c>
      <c r="F50" s="1392">
        <v>1</v>
      </c>
      <c r="K50" s="1471">
        <v>42107</v>
      </c>
      <c r="L50" s="1472" t="s">
        <v>2127</v>
      </c>
      <c r="M50" s="1473">
        <v>4.7279000000000002E-2</v>
      </c>
      <c r="N50" s="1474">
        <v>1.0142276558779053</v>
      </c>
      <c r="O50" s="1474">
        <v>1.0142276558779053</v>
      </c>
    </row>
    <row r="51" spans="2:15">
      <c r="B51" s="1390">
        <v>33970</v>
      </c>
      <c r="C51" s="1391">
        <v>0.37638683000000001</v>
      </c>
      <c r="D51" s="1391">
        <v>5.0579166458253004</v>
      </c>
      <c r="E51" s="1392">
        <v>0</v>
      </c>
      <c r="F51" s="1392">
        <v>1</v>
      </c>
      <c r="K51" s="1471">
        <v>42108</v>
      </c>
      <c r="L51" s="1472" t="s">
        <v>2127</v>
      </c>
      <c r="M51" s="1473">
        <v>4.7279000000000002E-2</v>
      </c>
      <c r="N51" s="1474">
        <v>1.0147071725713277</v>
      </c>
      <c r="O51" s="1474">
        <v>1.0147071725713277</v>
      </c>
    </row>
    <row r="52" spans="2:15">
      <c r="B52" s="1390">
        <v>34001</v>
      </c>
      <c r="C52" s="1391">
        <v>0.48335073000000001</v>
      </c>
      <c r="D52" s="1391">
        <v>6.3213843084293</v>
      </c>
      <c r="E52" s="1392">
        <v>0</v>
      </c>
      <c r="F52" s="1392">
        <v>1</v>
      </c>
      <c r="K52" s="1471">
        <v>42109</v>
      </c>
      <c r="L52" s="1472" t="s">
        <v>2127</v>
      </c>
      <c r="M52" s="1473">
        <v>4.7279000000000002E-2</v>
      </c>
      <c r="N52" s="1474">
        <v>1.0151869159754476</v>
      </c>
      <c r="O52" s="1474">
        <v>1.0151869159754476</v>
      </c>
    </row>
    <row r="53" spans="2:15">
      <c r="B53" s="1390">
        <v>34029</v>
      </c>
      <c r="C53" s="1391">
        <v>0.61023090000000002</v>
      </c>
      <c r="D53" s="1391">
        <v>8.0445948724788998</v>
      </c>
      <c r="E53" s="1392">
        <v>0</v>
      </c>
      <c r="F53" s="1392">
        <v>1</v>
      </c>
      <c r="K53" s="1471">
        <v>42110</v>
      </c>
      <c r="L53" s="1472" t="s">
        <v>2127</v>
      </c>
      <c r="M53" s="1473">
        <v>4.7279000000000002E-2</v>
      </c>
      <c r="N53" s="1474">
        <v>1.0156668861974516</v>
      </c>
      <c r="O53" s="1474">
        <v>1.0156668861974516</v>
      </c>
    </row>
    <row r="54" spans="2:15">
      <c r="B54" s="1390">
        <v>34060</v>
      </c>
      <c r="C54" s="1391">
        <v>0.78617482000000005</v>
      </c>
      <c r="D54" s="1391">
        <v>10.2769672819025</v>
      </c>
      <c r="E54" s="1392">
        <v>0</v>
      </c>
      <c r="F54" s="1392">
        <v>1</v>
      </c>
      <c r="K54" s="1471">
        <v>42111</v>
      </c>
      <c r="L54" s="1472" t="s">
        <v>2127</v>
      </c>
      <c r="M54" s="1473">
        <v>4.7279000000000002E-2</v>
      </c>
      <c r="N54" s="1474">
        <v>1.0161470833445767</v>
      </c>
      <c r="O54" s="1474">
        <v>1.0161470833445767</v>
      </c>
    </row>
    <row r="55" spans="2:15">
      <c r="B55" s="1390">
        <v>34090</v>
      </c>
      <c r="C55" s="1391">
        <v>1.01968087</v>
      </c>
      <c r="D55" s="1391">
        <v>13.1226581300609</v>
      </c>
      <c r="E55" s="1392">
        <v>0</v>
      </c>
      <c r="F55" s="1392">
        <v>1</v>
      </c>
      <c r="K55" s="1471">
        <v>42112</v>
      </c>
      <c r="L55" s="1472"/>
      <c r="M55" s="1473">
        <v>0</v>
      </c>
      <c r="N55" s="1474">
        <v>1.0161470833445767</v>
      </c>
      <c r="O55" s="1474">
        <v>1.0161470833445767</v>
      </c>
    </row>
    <row r="56" spans="2:15">
      <c r="B56" s="1390">
        <v>34121</v>
      </c>
      <c r="C56" s="1391">
        <v>1.3408208699999999</v>
      </c>
      <c r="D56" s="1391">
        <v>17.068642979808899</v>
      </c>
      <c r="E56" s="1392">
        <v>0</v>
      </c>
      <c r="F56" s="1392">
        <v>1</v>
      </c>
      <c r="K56" s="1471">
        <v>42113</v>
      </c>
      <c r="L56" s="1472"/>
      <c r="M56" s="1473">
        <v>0</v>
      </c>
      <c r="N56" s="1474">
        <v>1.0161470833445767</v>
      </c>
      <c r="O56" s="1474">
        <v>1.0161470833445767</v>
      </c>
    </row>
    <row r="57" spans="2:15">
      <c r="B57" s="1390">
        <v>34151</v>
      </c>
      <c r="C57" s="1391">
        <v>1.75984608</v>
      </c>
      <c r="D57" s="1391">
        <v>22.312130761236201</v>
      </c>
      <c r="E57" s="1392">
        <v>0</v>
      </c>
      <c r="F57" s="1392">
        <v>1</v>
      </c>
      <c r="K57" s="1471">
        <v>42114</v>
      </c>
      <c r="L57" s="1472" t="s">
        <v>2127</v>
      </c>
      <c r="M57" s="1473">
        <v>4.7279000000000002E-2</v>
      </c>
      <c r="N57" s="1474">
        <v>1.0166275075241111</v>
      </c>
      <c r="O57" s="1474">
        <v>1.0166275075241111</v>
      </c>
    </row>
    <row r="58" spans="2:15">
      <c r="B58" s="1390">
        <v>34182</v>
      </c>
      <c r="C58" s="1391">
        <v>2.31923637</v>
      </c>
      <c r="D58" s="1391">
        <v>29.666210936414501</v>
      </c>
      <c r="E58" s="1392">
        <v>0</v>
      </c>
      <c r="F58" s="1392">
        <v>1</v>
      </c>
      <c r="K58" s="1471">
        <v>42115</v>
      </c>
      <c r="L58" s="1472"/>
      <c r="M58" s="1473">
        <v>0</v>
      </c>
      <c r="N58" s="1474">
        <v>1.0166275075241111</v>
      </c>
      <c r="O58" s="1474">
        <v>1.0166275075241111</v>
      </c>
    </row>
    <row r="59" spans="2:15">
      <c r="B59" s="1390">
        <v>34213</v>
      </c>
      <c r="C59" s="1391">
        <v>3.1375231000000001</v>
      </c>
      <c r="D59" s="1391">
        <v>40.254080730946797</v>
      </c>
      <c r="E59" s="1392">
        <v>0</v>
      </c>
      <c r="F59" s="1392">
        <v>1</v>
      </c>
      <c r="K59" s="1471">
        <v>42116</v>
      </c>
      <c r="L59" s="1472" t="s">
        <v>2127</v>
      </c>
      <c r="M59" s="1473">
        <v>4.7279000000000002E-2</v>
      </c>
      <c r="N59" s="1474">
        <v>1.0171081588433935</v>
      </c>
      <c r="O59" s="1474">
        <v>1.0171081588433935</v>
      </c>
    </row>
    <row r="60" spans="2:15">
      <c r="B60" s="1390">
        <v>34243</v>
      </c>
      <c r="C60" s="1391">
        <v>4.2367972299999996</v>
      </c>
      <c r="D60" s="1391">
        <v>53.908264834853298</v>
      </c>
      <c r="E60" s="1392">
        <v>0</v>
      </c>
      <c r="F60" s="1392">
        <v>1</v>
      </c>
      <c r="K60" s="1471">
        <v>42117</v>
      </c>
      <c r="L60" s="1472" t="s">
        <v>2127</v>
      </c>
      <c r="M60" s="1473">
        <v>4.7279000000000002E-2</v>
      </c>
      <c r="N60" s="1474">
        <v>1.0175890374098129</v>
      </c>
      <c r="O60" s="1474">
        <v>1.0175890374098129</v>
      </c>
    </row>
    <row r="61" spans="2:15">
      <c r="B61" s="1390">
        <v>34274</v>
      </c>
      <c r="C61" s="1391">
        <v>5.7685216500000003</v>
      </c>
      <c r="D61" s="1391">
        <v>73.078046584524003</v>
      </c>
      <c r="E61" s="1392">
        <v>0</v>
      </c>
      <c r="F61" s="1392">
        <v>1</v>
      </c>
      <c r="K61" s="1471">
        <v>42118</v>
      </c>
      <c r="L61" s="1472" t="s">
        <v>2127</v>
      </c>
      <c r="M61" s="1473">
        <v>4.7279000000000002E-2</v>
      </c>
      <c r="N61" s="1474">
        <v>1.0180701433308097</v>
      </c>
      <c r="O61" s="1474">
        <v>1.0180701433308097</v>
      </c>
    </row>
    <row r="62" spans="2:15">
      <c r="B62" s="1390">
        <v>34304</v>
      </c>
      <c r="C62" s="1391">
        <v>7.9792505900000004</v>
      </c>
      <c r="D62" s="1391">
        <v>100</v>
      </c>
      <c r="E62" s="1392">
        <v>0</v>
      </c>
      <c r="F62" s="1392">
        <v>1</v>
      </c>
      <c r="K62" s="1471">
        <v>42119</v>
      </c>
      <c r="L62" s="1472"/>
      <c r="M62" s="1473">
        <v>0</v>
      </c>
      <c r="N62" s="1474">
        <v>1.0180701433308097</v>
      </c>
      <c r="O62" s="1474">
        <v>1.0180701433308097</v>
      </c>
    </row>
    <row r="63" spans="2:15">
      <c r="B63" s="1390">
        <v>34335</v>
      </c>
      <c r="C63" s="1391">
        <v>11.0967647</v>
      </c>
      <c r="D63" s="1391">
        <v>141.31</v>
      </c>
      <c r="E63" s="1392">
        <v>0</v>
      </c>
      <c r="F63" s="1392">
        <v>1</v>
      </c>
      <c r="K63" s="1471">
        <v>42120</v>
      </c>
      <c r="L63" s="1472"/>
      <c r="M63" s="1473">
        <v>0</v>
      </c>
      <c r="N63" s="1474">
        <v>1.0180701433308097</v>
      </c>
      <c r="O63" s="1474">
        <v>1.0180701433308097</v>
      </c>
    </row>
    <row r="64" spans="2:15">
      <c r="B64" s="1390">
        <v>34366</v>
      </c>
      <c r="C64" s="1391">
        <v>15.62186911</v>
      </c>
      <c r="D64" s="1391">
        <v>198.22</v>
      </c>
      <c r="E64" s="1392">
        <v>0</v>
      </c>
      <c r="F64" s="1392">
        <v>1</v>
      </c>
      <c r="K64" s="1471">
        <v>42121</v>
      </c>
      <c r="L64" s="1472" t="s">
        <v>2127</v>
      </c>
      <c r="M64" s="1473">
        <v>4.7314000000000002E-2</v>
      </c>
      <c r="N64" s="1474">
        <v>1.0185518330384251</v>
      </c>
      <c r="O64" s="1474">
        <v>1.0185518330384251</v>
      </c>
    </row>
    <row r="65" spans="2:15">
      <c r="B65" s="1390">
        <v>34394</v>
      </c>
      <c r="C65" s="1391">
        <v>22.762782099999999</v>
      </c>
      <c r="D65" s="1391">
        <v>282.95999999999998</v>
      </c>
      <c r="E65" s="1392">
        <v>0</v>
      </c>
      <c r="F65" s="1392">
        <v>1</v>
      </c>
      <c r="K65" s="1471">
        <v>42122</v>
      </c>
      <c r="L65" s="1472" t="s">
        <v>2127</v>
      </c>
      <c r="M65" s="1473">
        <v>4.7350000000000003E-2</v>
      </c>
      <c r="N65" s="1474">
        <v>1.0190341173313688</v>
      </c>
      <c r="O65" s="1474">
        <v>1.0190341173313688</v>
      </c>
    </row>
    <row r="66" spans="2:15">
      <c r="B66" s="1390">
        <v>34425</v>
      </c>
      <c r="C66" s="1391">
        <v>32.074938510000003</v>
      </c>
      <c r="D66" s="1391">
        <v>403.73</v>
      </c>
      <c r="E66" s="1392">
        <v>0</v>
      </c>
      <c r="F66" s="1392">
        <v>1</v>
      </c>
      <c r="K66" s="1471">
        <v>42123</v>
      </c>
      <c r="L66" s="1472" t="s">
        <v>2127</v>
      </c>
      <c r="M66" s="1473">
        <v>4.7350000000000003E-2</v>
      </c>
      <c r="N66" s="1474">
        <v>1.0195166299859253</v>
      </c>
      <c r="O66" s="1474">
        <v>1.0195166299859253</v>
      </c>
    </row>
    <row r="67" spans="2:15">
      <c r="B67" s="1390">
        <v>34455</v>
      </c>
      <c r="C67" s="1391">
        <v>45.731576959999998</v>
      </c>
      <c r="D67" s="1391">
        <v>581.49</v>
      </c>
      <c r="E67" s="1392">
        <v>0</v>
      </c>
      <c r="F67" s="1392">
        <v>1</v>
      </c>
      <c r="K67" s="1471">
        <v>42124</v>
      </c>
      <c r="L67" s="1472" t="s">
        <v>2127</v>
      </c>
      <c r="M67" s="1473">
        <v>4.9036999999999997E-2</v>
      </c>
      <c r="N67" s="1474">
        <v>1.0200165703557715</v>
      </c>
      <c r="O67" s="1474">
        <v>1.0200165703557715</v>
      </c>
    </row>
    <row r="68" spans="2:15">
      <c r="B68" s="1390">
        <v>34486</v>
      </c>
      <c r="C68" s="1391">
        <v>66.408212939999999</v>
      </c>
      <c r="D68" s="1391">
        <v>857.29</v>
      </c>
      <c r="E68" s="1392">
        <v>0</v>
      </c>
      <c r="F68" s="1392">
        <v>1</v>
      </c>
      <c r="K68" s="1471">
        <v>42125</v>
      </c>
      <c r="L68" s="1472"/>
      <c r="M68" s="1473">
        <v>0</v>
      </c>
      <c r="N68" s="1474">
        <v>1.0200165703557715</v>
      </c>
      <c r="O68" s="1474">
        <v>1.0200165703557715</v>
      </c>
    </row>
    <row r="69" spans="2:15">
      <c r="B69" s="1390">
        <v>34516</v>
      </c>
      <c r="C69" s="1391">
        <v>92.968426030000003</v>
      </c>
      <c r="D69" s="1391">
        <v>915.93</v>
      </c>
      <c r="E69" s="1392">
        <v>0</v>
      </c>
      <c r="F69" s="1392">
        <v>1</v>
      </c>
      <c r="K69" s="1471">
        <v>42126</v>
      </c>
      <c r="L69" s="1472"/>
      <c r="M69" s="1473">
        <v>0</v>
      </c>
      <c r="N69" s="1474">
        <v>1.0200165703557715</v>
      </c>
      <c r="O69" s="1474">
        <v>1.0200165703557715</v>
      </c>
    </row>
    <row r="70" spans="2:15">
      <c r="B70" s="1390">
        <v>34547</v>
      </c>
      <c r="C70" s="1391">
        <v>100</v>
      </c>
      <c r="D70" s="1391">
        <v>932.97</v>
      </c>
      <c r="E70" s="1392">
        <v>1.0417031360600404</v>
      </c>
      <c r="F70" s="1392">
        <v>1.0417031360600404</v>
      </c>
      <c r="K70" s="1471">
        <v>42127</v>
      </c>
      <c r="L70" s="1472"/>
      <c r="M70" s="1473">
        <v>0</v>
      </c>
      <c r="N70" s="1474">
        <v>1.0200165703557715</v>
      </c>
      <c r="O70" s="1474">
        <v>1.0200165703557715</v>
      </c>
    </row>
    <row r="71" spans="2:15">
      <c r="B71" s="1390">
        <v>34578</v>
      </c>
      <c r="C71" s="1391">
        <v>101.751</v>
      </c>
      <c r="D71" s="1391">
        <v>947.24</v>
      </c>
      <c r="E71" s="1392">
        <v>1.040191380612066</v>
      </c>
      <c r="F71" s="1392">
        <v>1.0835706232862121</v>
      </c>
      <c r="K71" s="1471">
        <v>42128</v>
      </c>
      <c r="L71" s="1472" t="s">
        <v>2127</v>
      </c>
      <c r="M71" s="1473">
        <v>4.9036999999999997E-2</v>
      </c>
      <c r="N71" s="1474">
        <v>1.020516755881377</v>
      </c>
      <c r="O71" s="1474">
        <v>1.020516755881377</v>
      </c>
    </row>
    <row r="72" spans="2:15">
      <c r="B72" s="1390">
        <v>34608</v>
      </c>
      <c r="C72" s="1391">
        <v>103.602</v>
      </c>
      <c r="D72" s="1391">
        <v>972.06</v>
      </c>
      <c r="E72" s="1392">
        <v>1.0400235119965635</v>
      </c>
      <c r="F72" s="1392">
        <v>1.1269389251264317</v>
      </c>
      <c r="K72" s="1471">
        <v>42129</v>
      </c>
      <c r="L72" s="1472" t="s">
        <v>2127</v>
      </c>
      <c r="M72" s="1473">
        <v>4.9036999999999997E-2</v>
      </c>
      <c r="N72" s="1474">
        <v>1.0210171866829587</v>
      </c>
      <c r="O72" s="1474">
        <v>1.0210171866829587</v>
      </c>
    </row>
    <row r="73" spans="2:15">
      <c r="B73" s="1390">
        <v>34639</v>
      </c>
      <c r="C73" s="1391">
        <v>106.553</v>
      </c>
      <c r="D73" s="1391">
        <v>999.37</v>
      </c>
      <c r="E73" s="1392">
        <v>1.0448704061969656</v>
      </c>
      <c r="F73" s="1392">
        <v>1.1775051324560264</v>
      </c>
      <c r="K73" s="1471">
        <v>42130</v>
      </c>
      <c r="L73" s="1472" t="s">
        <v>2127</v>
      </c>
      <c r="M73" s="1473">
        <v>4.9036999999999997E-2</v>
      </c>
      <c r="N73" s="1474">
        <v>1.0215178628807926</v>
      </c>
      <c r="O73" s="1474">
        <v>1.0215178628807926</v>
      </c>
    </row>
    <row r="74" spans="2:15">
      <c r="B74" s="1390">
        <v>34669</v>
      </c>
      <c r="C74" s="1391">
        <v>107.45</v>
      </c>
      <c r="D74" s="1391">
        <v>1016.46</v>
      </c>
      <c r="E74" s="1392">
        <v>1.0379749903132509</v>
      </c>
      <c r="F74" s="1392">
        <v>1.2222208784548472</v>
      </c>
      <c r="K74" s="1471">
        <v>42131</v>
      </c>
      <c r="L74" s="1472" t="s">
        <v>2127</v>
      </c>
      <c r="M74" s="1473">
        <v>4.9036999999999997E-2</v>
      </c>
      <c r="N74" s="1474">
        <v>1.0220187845952136</v>
      </c>
      <c r="O74" s="1474">
        <v>1.0220187845952136</v>
      </c>
    </row>
    <row r="75" spans="2:15">
      <c r="B75" s="1390">
        <v>34700</v>
      </c>
      <c r="C75" s="1391">
        <v>108.44199999999999</v>
      </c>
      <c r="D75" s="1391">
        <v>1033.74</v>
      </c>
      <c r="E75" s="1392">
        <v>1.033745155557255</v>
      </c>
      <c r="F75" s="1392">
        <v>1.2634649121236308</v>
      </c>
      <c r="K75" s="1471">
        <v>42132</v>
      </c>
      <c r="L75" s="1472" t="s">
        <v>2127</v>
      </c>
      <c r="M75" s="1473">
        <v>4.9036999999999997E-2</v>
      </c>
      <c r="N75" s="1474">
        <v>1.0225199519466155</v>
      </c>
      <c r="O75" s="1474">
        <v>1.0225199519466155</v>
      </c>
    </row>
    <row r="76" spans="2:15">
      <c r="B76" s="1390">
        <v>34731</v>
      </c>
      <c r="C76" s="1391">
        <v>109.9455</v>
      </c>
      <c r="D76" s="1391">
        <v>1044.28</v>
      </c>
      <c r="E76" s="1392">
        <v>1.0361946548110796</v>
      </c>
      <c r="F76" s="1392">
        <v>1.3091955884838566</v>
      </c>
      <c r="K76" s="1471">
        <v>42133</v>
      </c>
      <c r="L76" s="1472"/>
      <c r="M76" s="1473">
        <v>0</v>
      </c>
      <c r="N76" s="1474">
        <v>1.0225199519466155</v>
      </c>
      <c r="O76" s="1474">
        <v>1.0225199519466155</v>
      </c>
    </row>
    <row r="77" spans="2:15">
      <c r="B77" s="1390">
        <v>34759</v>
      </c>
      <c r="C77" s="1391">
        <v>111.178</v>
      </c>
      <c r="D77" s="1391">
        <v>1060.47</v>
      </c>
      <c r="E77" s="1392">
        <v>1.0426211014987152</v>
      </c>
      <c r="F77" s="1392">
        <v>1.3649949465422972</v>
      </c>
      <c r="K77" s="1471">
        <v>42134</v>
      </c>
      <c r="L77" s="1472"/>
      <c r="M77" s="1473">
        <v>0</v>
      </c>
      <c r="N77" s="1474">
        <v>1.0225199519466155</v>
      </c>
      <c r="O77" s="1474">
        <v>1.0225199519466155</v>
      </c>
    </row>
    <row r="78" spans="2:15">
      <c r="B78" s="1390">
        <v>34790</v>
      </c>
      <c r="C78" s="1391">
        <v>113.518</v>
      </c>
      <c r="D78" s="1391">
        <v>1086.24</v>
      </c>
      <c r="E78" s="1392">
        <v>1.0502446731743562</v>
      </c>
      <c r="F78" s="1392">
        <v>1.4335786715159629</v>
      </c>
      <c r="K78" s="1471">
        <v>42135</v>
      </c>
      <c r="L78" s="1472" t="s">
        <v>2127</v>
      </c>
      <c r="M78" s="1473">
        <v>4.9036999999999997E-2</v>
      </c>
      <c r="N78" s="1474">
        <v>1.0230213650554516</v>
      </c>
      <c r="O78" s="1474">
        <v>1.0230213650554516</v>
      </c>
    </row>
    <row r="79" spans="2:15">
      <c r="B79" s="1390">
        <v>34820</v>
      </c>
      <c r="C79" s="1391">
        <v>114.17100000000001</v>
      </c>
      <c r="D79" s="1391">
        <v>1115.24</v>
      </c>
      <c r="E79" s="1392">
        <v>1.0450356278102417</v>
      </c>
      <c r="F79" s="1392">
        <v>1.4981407870030565</v>
      </c>
      <c r="K79" s="1471">
        <v>42136</v>
      </c>
      <c r="L79" s="1472" t="s">
        <v>2127</v>
      </c>
      <c r="M79" s="1473">
        <v>4.9036999999999997E-2</v>
      </c>
      <c r="N79" s="1474">
        <v>1.0235230240422339</v>
      </c>
      <c r="O79" s="1474">
        <v>1.0235230240422339</v>
      </c>
    </row>
    <row r="80" spans="2:15">
      <c r="B80" s="1390">
        <v>34851</v>
      </c>
      <c r="C80" s="1391">
        <v>116.98399999999999</v>
      </c>
      <c r="D80" s="1391">
        <v>1140.44</v>
      </c>
      <c r="E80" s="1392">
        <v>1.0423602226147934</v>
      </c>
      <c r="F80" s="1392">
        <v>1.5616023642488079</v>
      </c>
      <c r="K80" s="1471">
        <v>42137</v>
      </c>
      <c r="L80" s="1472" t="s">
        <v>2127</v>
      </c>
      <c r="M80" s="1473">
        <v>4.9036999999999997E-2</v>
      </c>
      <c r="N80" s="1474">
        <v>1.0240249290275336</v>
      </c>
      <c r="O80" s="1474">
        <v>1.0240249290275336</v>
      </c>
    </row>
    <row r="81" spans="2:15">
      <c r="B81" s="1390">
        <v>34881</v>
      </c>
      <c r="C81" s="1391">
        <v>119.114</v>
      </c>
      <c r="D81" s="1391">
        <v>1167.3499999999999</v>
      </c>
      <c r="E81" s="1392">
        <v>1.0402311780170954</v>
      </c>
      <c r="F81" s="1392">
        <v>1.6244274669568188</v>
      </c>
      <c r="K81" s="1471">
        <v>42138</v>
      </c>
      <c r="L81" s="1472" t="s">
        <v>2127</v>
      </c>
      <c r="M81" s="1473">
        <v>4.9036999999999997E-2</v>
      </c>
      <c r="N81" s="1474">
        <v>1.024527080131981</v>
      </c>
      <c r="O81" s="1474">
        <v>1.024527080131981</v>
      </c>
    </row>
    <row r="82" spans="2:15">
      <c r="B82" s="1390">
        <v>34912</v>
      </c>
      <c r="C82" s="1391">
        <v>121.729</v>
      </c>
      <c r="D82" s="1391">
        <v>1178.9100000000001</v>
      </c>
      <c r="E82" s="1391">
        <v>1.0383979241220025</v>
      </c>
      <c r="F82" s="1391">
        <v>1.6868021095747234</v>
      </c>
      <c r="G82" s="7">
        <v>41036.512291666666</v>
      </c>
      <c r="K82" s="1471">
        <v>42139</v>
      </c>
      <c r="L82" s="1472" t="s">
        <v>2127</v>
      </c>
      <c r="M82" s="1473">
        <v>4.9036999999999997E-2</v>
      </c>
      <c r="N82" s="1474">
        <v>1.0250294774762654</v>
      </c>
      <c r="O82" s="1474">
        <v>1.0250294774762654</v>
      </c>
    </row>
    <row r="83" spans="2:15">
      <c r="B83" s="1390">
        <v>34943</v>
      </c>
      <c r="C83" s="1391">
        <v>120.869</v>
      </c>
      <c r="D83" s="1391">
        <v>1190.58</v>
      </c>
      <c r="E83" s="1391">
        <v>1.0349384575781275</v>
      </c>
      <c r="F83" s="1391">
        <v>1.745736373522796</v>
      </c>
      <c r="K83" s="1471">
        <v>42140</v>
      </c>
      <c r="L83" s="1472"/>
      <c r="M83" s="1473">
        <v>0</v>
      </c>
      <c r="N83" s="1474">
        <v>1.0250294774762654</v>
      </c>
      <c r="O83" s="1474">
        <v>1.0250294774762654</v>
      </c>
    </row>
    <row r="84" spans="2:15">
      <c r="B84" s="1390">
        <v>34973</v>
      </c>
      <c r="C84" s="1391">
        <v>121.503</v>
      </c>
      <c r="D84" s="1391">
        <v>1207.3699999999999</v>
      </c>
      <c r="E84" s="1391">
        <v>1.0324041438440343</v>
      </c>
      <c r="F84" s="1391">
        <v>1.8023054660841915</v>
      </c>
      <c r="K84" s="1471">
        <v>42141</v>
      </c>
      <c r="L84" s="1472"/>
      <c r="M84" s="1473">
        <v>0</v>
      </c>
      <c r="N84" s="1474">
        <v>1.0250294774762654</v>
      </c>
      <c r="O84" s="1474">
        <v>1.0250294774762654</v>
      </c>
    </row>
    <row r="85" spans="2:15">
      <c r="B85" s="1390">
        <v>35004</v>
      </c>
      <c r="C85" s="1391">
        <v>122.955</v>
      </c>
      <c r="D85" s="1391">
        <v>1225.1199999999999</v>
      </c>
      <c r="E85" s="1391">
        <v>1.0316999077357936</v>
      </c>
      <c r="F85" s="1391">
        <v>1.8594383830707768</v>
      </c>
      <c r="K85" s="1471">
        <v>42142</v>
      </c>
      <c r="L85" s="1472" t="s">
        <v>2127</v>
      </c>
      <c r="M85" s="1473">
        <v>4.9036999999999997E-2</v>
      </c>
      <c r="N85" s="1474">
        <v>1.0255321211811355</v>
      </c>
      <c r="O85" s="1474">
        <v>1.0255321211811355</v>
      </c>
    </row>
    <row r="86" spans="2:15">
      <c r="B86" s="1390">
        <v>35034</v>
      </c>
      <c r="C86" s="1391">
        <v>123.833</v>
      </c>
      <c r="D86" s="1391">
        <v>1244.23</v>
      </c>
      <c r="E86" s="1391">
        <v>1.0292086837764389</v>
      </c>
      <c r="F86" s="1391">
        <v>1.913750130803664</v>
      </c>
      <c r="K86" s="1471">
        <v>42143</v>
      </c>
      <c r="L86" s="1472" t="s">
        <v>2127</v>
      </c>
      <c r="M86" s="1473">
        <v>4.9036999999999997E-2</v>
      </c>
      <c r="N86" s="1474">
        <v>1.0260350113673991</v>
      </c>
      <c r="O86" s="1474">
        <v>1.0260350113673991</v>
      </c>
    </row>
    <row r="87" spans="2:15">
      <c r="B87" s="1390">
        <v>35065</v>
      </c>
      <c r="C87" s="1391">
        <v>125.977</v>
      </c>
      <c r="D87" s="1391">
        <v>1260.9000000000001</v>
      </c>
      <c r="E87" s="1391">
        <v>1.0271429062533448</v>
      </c>
      <c r="F87" s="1391">
        <v>1.9656948711963942</v>
      </c>
      <c r="K87" s="1471">
        <v>42144</v>
      </c>
      <c r="L87" s="1472" t="s">
        <v>2127</v>
      </c>
      <c r="M87" s="1473">
        <v>4.9036999999999997E-2</v>
      </c>
      <c r="N87" s="1474">
        <v>1.0265381481559233</v>
      </c>
      <c r="O87" s="1474">
        <v>1.0265381481559233</v>
      </c>
    </row>
    <row r="88" spans="2:15">
      <c r="B88" s="1390">
        <v>35096</v>
      </c>
      <c r="C88" s="1391">
        <v>127.202</v>
      </c>
      <c r="D88" s="1391">
        <v>1273.8900000000001</v>
      </c>
      <c r="E88" s="1391">
        <v>1.026088709032714</v>
      </c>
      <c r="F88" s="1391">
        <v>2.0169773127381352</v>
      </c>
      <c r="K88" s="1471">
        <v>42145</v>
      </c>
      <c r="L88" s="1472" t="s">
        <v>2127</v>
      </c>
      <c r="M88" s="1473">
        <v>4.9036999999999997E-2</v>
      </c>
      <c r="N88" s="1474">
        <v>1.0270415316676345</v>
      </c>
      <c r="O88" s="1474">
        <v>1.0270415316676345</v>
      </c>
    </row>
    <row r="89" spans="2:15">
      <c r="B89" s="1390">
        <v>35125</v>
      </c>
      <c r="C89" s="1391">
        <v>127.715</v>
      </c>
      <c r="D89" s="1391">
        <v>1278.3499999999999</v>
      </c>
      <c r="E89" s="1391">
        <v>1.0222082178682002</v>
      </c>
      <c r="F89" s="1391">
        <v>2.0617707843346404</v>
      </c>
      <c r="K89" s="1471">
        <v>42146</v>
      </c>
      <c r="L89" s="1472" t="s">
        <v>2127</v>
      </c>
      <c r="M89" s="1473">
        <v>4.9036999999999997E-2</v>
      </c>
      <c r="N89" s="1474">
        <v>1.0275451620235183</v>
      </c>
      <c r="O89" s="1474">
        <v>1.0275451620235183</v>
      </c>
    </row>
    <row r="90" spans="2:15">
      <c r="B90" s="1390">
        <v>35156</v>
      </c>
      <c r="C90" s="1391">
        <v>128.13</v>
      </c>
      <c r="D90" s="1391">
        <v>1294.46</v>
      </c>
      <c r="E90" s="1391">
        <v>1.0227569082086725</v>
      </c>
      <c r="F90" s="1391">
        <v>2.1086903128210666</v>
      </c>
      <c r="K90" s="1471">
        <v>42147</v>
      </c>
      <c r="L90" s="1472"/>
      <c r="M90" s="1473">
        <v>0</v>
      </c>
      <c r="N90" s="1474">
        <v>1.0275451620235183</v>
      </c>
      <c r="O90" s="1474">
        <v>1.0275451620235183</v>
      </c>
    </row>
    <row r="91" spans="2:15">
      <c r="B91" s="1390">
        <v>35186</v>
      </c>
      <c r="C91" s="1391">
        <v>130.12100000000001</v>
      </c>
      <c r="D91" s="1391">
        <v>1310.25</v>
      </c>
      <c r="E91" s="1391">
        <v>1.0210626514511167</v>
      </c>
      <c r="F91" s="1391">
        <v>2.1531049218983629</v>
      </c>
      <c r="K91" s="1471">
        <v>42148</v>
      </c>
      <c r="L91" s="1472"/>
      <c r="M91" s="1473">
        <v>0</v>
      </c>
      <c r="N91" s="1474">
        <v>1.0275451620235183</v>
      </c>
      <c r="O91" s="1474">
        <v>1.0275451620235183</v>
      </c>
    </row>
    <row r="92" spans="2:15">
      <c r="B92" s="1390">
        <v>35217</v>
      </c>
      <c r="C92" s="1391">
        <v>131.44499999999999</v>
      </c>
      <c r="D92" s="1391">
        <v>1325.84</v>
      </c>
      <c r="E92" s="1391">
        <v>1.020826552130859</v>
      </c>
      <c r="F92" s="1391">
        <v>2.1979466737974884</v>
      </c>
      <c r="K92" s="1471">
        <v>42149</v>
      </c>
      <c r="L92" s="1472" t="s">
        <v>2127</v>
      </c>
      <c r="M92" s="1473">
        <v>4.9036999999999997E-2</v>
      </c>
      <c r="N92" s="1474">
        <v>1.0280490393446198</v>
      </c>
      <c r="O92" s="1474">
        <v>1.0280490393446198</v>
      </c>
    </row>
    <row r="93" spans="2:15">
      <c r="B93" s="1390">
        <v>35247</v>
      </c>
      <c r="C93" s="1391">
        <v>133.21299999999999</v>
      </c>
      <c r="D93" s="1391">
        <v>1340.56</v>
      </c>
      <c r="E93" s="1391">
        <v>1.0192856968560815</v>
      </c>
      <c r="F93" s="1391">
        <v>2.2403356070541793</v>
      </c>
      <c r="K93" s="1471">
        <v>42150</v>
      </c>
      <c r="L93" s="1472" t="s">
        <v>2127</v>
      </c>
      <c r="M93" s="1473">
        <v>4.9036999999999997E-2</v>
      </c>
      <c r="N93" s="1474">
        <v>1.0285531637520433</v>
      </c>
      <c r="O93" s="1474">
        <v>1.0285531637520433</v>
      </c>
    </row>
    <row r="94" spans="2:15">
      <c r="B94" s="1390">
        <v>35278</v>
      </c>
      <c r="C94" s="1391">
        <v>133.58699999999999</v>
      </c>
      <c r="D94" s="1391">
        <v>1346.46</v>
      </c>
      <c r="E94" s="1391">
        <v>1.0196791435025818</v>
      </c>
      <c r="F94" s="1391">
        <v>2.2844234929593421</v>
      </c>
      <c r="K94" s="1471">
        <v>42151</v>
      </c>
      <c r="L94" s="1472" t="s">
        <v>2127</v>
      </c>
      <c r="M94" s="1473">
        <v>4.9036999999999997E-2</v>
      </c>
      <c r="N94" s="1474">
        <v>1.0290575353669524</v>
      </c>
      <c r="O94" s="1474">
        <v>1.0290575353669524</v>
      </c>
    </row>
    <row r="95" spans="2:15">
      <c r="B95" s="1390">
        <v>35309</v>
      </c>
      <c r="C95" s="1391">
        <v>133.72200000000001</v>
      </c>
      <c r="D95" s="1391">
        <v>1348.48</v>
      </c>
      <c r="E95" s="1391">
        <v>1.0190405257020327</v>
      </c>
      <c r="F95" s="1391">
        <v>2.3279201171913617</v>
      </c>
      <c r="K95" s="1471">
        <v>42152</v>
      </c>
      <c r="L95" s="1472" t="s">
        <v>2127</v>
      </c>
      <c r="M95" s="1473">
        <v>4.9036999999999997E-2</v>
      </c>
      <c r="N95" s="1474">
        <v>1.0295621543105704</v>
      </c>
      <c r="O95" s="1474">
        <v>1.0295621543105704</v>
      </c>
    </row>
    <row r="96" spans="2:15">
      <c r="B96" s="1390">
        <v>35339</v>
      </c>
      <c r="C96" s="1391">
        <v>133.97800000000001</v>
      </c>
      <c r="D96" s="1391">
        <v>1352.53</v>
      </c>
      <c r="E96" s="1391">
        <v>1.0194350405573067</v>
      </c>
      <c r="F96" s="1391">
        <v>2.3731633390831459</v>
      </c>
      <c r="K96" s="1471">
        <v>42153</v>
      </c>
      <c r="L96" s="1472" t="s">
        <v>2127</v>
      </c>
      <c r="M96" s="1473">
        <v>4.9036999999999997E-2</v>
      </c>
      <c r="N96" s="1474">
        <v>1.0300670207041798</v>
      </c>
      <c r="O96" s="1474">
        <v>1.0300670207041798</v>
      </c>
    </row>
    <row r="97" spans="2:15">
      <c r="B97" s="1390">
        <v>35370</v>
      </c>
      <c r="C97" s="1391">
        <v>134.24199999999999</v>
      </c>
      <c r="D97" s="1391">
        <v>1356.86</v>
      </c>
      <c r="E97" s="1391">
        <v>1.018952291397875</v>
      </c>
      <c r="F97" s="1391">
        <v>2.4181402222202037</v>
      </c>
      <c r="K97" s="1471">
        <v>42154</v>
      </c>
      <c r="L97" s="1472"/>
      <c r="M97" s="1473">
        <v>0</v>
      </c>
      <c r="N97" s="1474">
        <v>1.0300670207041798</v>
      </c>
      <c r="O97" s="1474">
        <v>1.0300670207041798</v>
      </c>
    </row>
    <row r="98" spans="2:15">
      <c r="B98" s="1390">
        <v>35400</v>
      </c>
      <c r="C98" s="1391">
        <v>135.22499999999999</v>
      </c>
      <c r="D98" s="1391">
        <v>1363.24</v>
      </c>
      <c r="E98" s="1391">
        <v>1.0189221360623306</v>
      </c>
      <c r="F98" s="1391">
        <v>2.4638966005228489</v>
      </c>
      <c r="K98" s="1471">
        <v>42155</v>
      </c>
      <c r="L98" s="1472"/>
      <c r="M98" s="1473">
        <v>0</v>
      </c>
      <c r="N98" s="1474">
        <v>1.0300670207041798</v>
      </c>
      <c r="O98" s="1474">
        <v>1.0300670207041798</v>
      </c>
    </row>
    <row r="99" spans="2:15">
      <c r="B99" s="1390">
        <v>35431</v>
      </c>
      <c r="C99" s="1391">
        <v>137.613</v>
      </c>
      <c r="D99" s="1391">
        <v>1379.33</v>
      </c>
      <c r="E99" s="1391">
        <v>1.0182168360386268</v>
      </c>
      <c r="F99" s="1391">
        <v>2.5087810009107034</v>
      </c>
      <c r="K99" s="1471">
        <v>42156</v>
      </c>
      <c r="L99" s="1472" t="s">
        <v>2127</v>
      </c>
      <c r="M99" s="1473">
        <v>4.9036999999999997E-2</v>
      </c>
      <c r="N99" s="1474">
        <v>1.0305721346691226</v>
      </c>
      <c r="O99" s="1474">
        <v>1.0305721346691226</v>
      </c>
    </row>
    <row r="100" spans="2:15">
      <c r="B100" s="1390">
        <v>35462</v>
      </c>
      <c r="C100" s="1391">
        <v>138.20400000000001</v>
      </c>
      <c r="D100" s="1391">
        <v>1386.23</v>
      </c>
      <c r="E100" s="1391">
        <v>1.018615977536991</v>
      </c>
      <c r="F100" s="1391">
        <v>2.5554844116688868</v>
      </c>
      <c r="K100" s="1471">
        <v>42157</v>
      </c>
      <c r="L100" s="1472" t="s">
        <v>2127</v>
      </c>
      <c r="M100" s="1473">
        <v>4.9036999999999997E-2</v>
      </c>
      <c r="N100" s="1474">
        <v>1.0310774963268003</v>
      </c>
      <c r="O100" s="1474">
        <v>1.0310774963268003</v>
      </c>
    </row>
    <row r="101" spans="2:15">
      <c r="B101" s="1390">
        <v>35490</v>
      </c>
      <c r="C101" s="1391">
        <v>139.79499999999999</v>
      </c>
      <c r="D101" s="1391">
        <v>1393.3</v>
      </c>
      <c r="E101" s="1391">
        <v>1.0181653196053577</v>
      </c>
      <c r="F101" s="1391">
        <v>2.6019056027533618</v>
      </c>
      <c r="K101" s="1471">
        <v>42158</v>
      </c>
      <c r="L101" s="1472" t="s">
        <v>2127</v>
      </c>
      <c r="M101" s="1473">
        <v>4.9036999999999997E-2</v>
      </c>
      <c r="N101" s="1474">
        <v>1.0315831057986742</v>
      </c>
      <c r="O101" s="1474">
        <v>1.0315831057986742</v>
      </c>
    </row>
    <row r="102" spans="2:15">
      <c r="B102" s="1390">
        <v>35521</v>
      </c>
      <c r="C102" s="1391">
        <v>140.74199999999999</v>
      </c>
      <c r="D102" s="1391">
        <v>1405.56</v>
      </c>
      <c r="E102" s="1391">
        <v>1.0174130782041242</v>
      </c>
      <c r="F102" s="1391">
        <v>2.6472127884938548</v>
      </c>
      <c r="K102" s="1471">
        <v>42159</v>
      </c>
      <c r="L102" s="1472"/>
      <c r="M102" s="1473">
        <v>0</v>
      </c>
      <c r="N102" s="1474">
        <v>1.0315831057986742</v>
      </c>
      <c r="O102" s="1474">
        <v>1.0315831057986742</v>
      </c>
    </row>
    <row r="103" spans="2:15">
      <c r="B103" s="1390">
        <v>35551</v>
      </c>
      <c r="C103" s="1391">
        <v>141.04</v>
      </c>
      <c r="D103" s="1391">
        <v>1411.32</v>
      </c>
      <c r="E103" s="1391">
        <v>1.0173859708262292</v>
      </c>
      <c r="F103" s="1391">
        <v>2.6932371528054295</v>
      </c>
      <c r="K103" s="1471">
        <v>42160</v>
      </c>
      <c r="L103" s="1472" t="s">
        <v>2127</v>
      </c>
      <c r="M103" s="1473">
        <v>5.0788E-2</v>
      </c>
      <c r="N103" s="1474">
        <v>1.0321070262264471</v>
      </c>
      <c r="O103" s="1474">
        <v>1.0321070262264471</v>
      </c>
    </row>
    <row r="104" spans="2:15">
      <c r="B104" s="1390">
        <v>35582</v>
      </c>
      <c r="C104" s="1391">
        <v>142.09</v>
      </c>
      <c r="D104" s="1391">
        <v>1418.94</v>
      </c>
      <c r="E104" s="1391">
        <v>1.0160683269749473</v>
      </c>
      <c r="F104" s="1391">
        <v>2.7365129679977831</v>
      </c>
      <c r="K104" s="1471">
        <v>42161</v>
      </c>
      <c r="L104" s="1472"/>
      <c r="M104" s="1473">
        <v>0</v>
      </c>
      <c r="N104" s="1474">
        <v>1.0321070262264471</v>
      </c>
      <c r="O104" s="1474">
        <v>1.0321070262264471</v>
      </c>
    </row>
    <row r="105" spans="2:15">
      <c r="B105" s="1390">
        <v>35612</v>
      </c>
      <c r="C105" s="1391">
        <v>142.221</v>
      </c>
      <c r="D105" s="1391">
        <v>1422.06</v>
      </c>
      <c r="E105" s="1391">
        <v>1.0160384417373229</v>
      </c>
      <c r="F105" s="1391">
        <v>2.7804023717984441</v>
      </c>
      <c r="K105" s="1471">
        <v>42162</v>
      </c>
      <c r="L105" s="1472"/>
      <c r="M105" s="1473">
        <v>0</v>
      </c>
      <c r="N105" s="1474">
        <v>1.0321070262264471</v>
      </c>
      <c r="O105" s="1474">
        <v>1.0321070262264471</v>
      </c>
    </row>
    <row r="106" spans="2:15">
      <c r="B106" s="1390">
        <v>35643</v>
      </c>
      <c r="C106" s="1391">
        <v>142.35300000000001</v>
      </c>
      <c r="D106" s="1391">
        <v>1421.78</v>
      </c>
      <c r="E106" s="1391">
        <v>1.0158585469231169</v>
      </c>
      <c r="F106" s="1391">
        <v>2.8244955132767555</v>
      </c>
      <c r="K106" s="1471">
        <v>42163</v>
      </c>
      <c r="L106" s="1472" t="s">
        <v>2127</v>
      </c>
      <c r="M106" s="1473">
        <v>5.0788E-2</v>
      </c>
      <c r="N106" s="1474">
        <v>1.0326312127429271</v>
      </c>
      <c r="O106" s="1474">
        <v>1.0326312127429271</v>
      </c>
    </row>
    <row r="107" spans="2:15">
      <c r="B107" s="1390">
        <v>35674</v>
      </c>
      <c r="C107" s="1391">
        <v>143.042</v>
      </c>
      <c r="D107" s="1391">
        <v>1422.63</v>
      </c>
      <c r="E107" s="1391">
        <v>1.0159028051900765</v>
      </c>
      <c r="F107" s="1391">
        <v>2.869412915184641</v>
      </c>
      <c r="K107" s="1471">
        <v>42164</v>
      </c>
      <c r="L107" s="1472" t="s">
        <v>2127</v>
      </c>
      <c r="M107" s="1473">
        <v>5.0788E-2</v>
      </c>
      <c r="N107" s="1474">
        <v>1.033155665483255</v>
      </c>
      <c r="O107" s="1474">
        <v>1.033155665483255</v>
      </c>
    </row>
    <row r="108" spans="2:15">
      <c r="B108" s="1390">
        <v>35704</v>
      </c>
      <c r="C108" s="1391">
        <v>143.56700000000001</v>
      </c>
      <c r="D108" s="1391">
        <v>1425.9</v>
      </c>
      <c r="E108" s="1391">
        <v>1.0167288802763557</v>
      </c>
      <c r="F108" s="1391">
        <v>2.9174149803061935</v>
      </c>
      <c r="K108" s="1471">
        <v>42165</v>
      </c>
      <c r="L108" s="1472" t="s">
        <v>2127</v>
      </c>
      <c r="M108" s="1473">
        <v>5.0788E-2</v>
      </c>
      <c r="N108" s="1474">
        <v>1.0336803845826406</v>
      </c>
      <c r="O108" s="1474">
        <v>1.0336803845826406</v>
      </c>
    </row>
    <row r="109" spans="2:15">
      <c r="B109" s="1390">
        <v>35735</v>
      </c>
      <c r="C109" s="1391">
        <v>144.48099999999999</v>
      </c>
      <c r="D109" s="1391">
        <v>1428.32</v>
      </c>
      <c r="E109" s="1391">
        <v>1.0304347964479648</v>
      </c>
      <c r="F109" s="1391">
        <v>3.0062059113860555</v>
      </c>
      <c r="K109" s="1471">
        <v>42166</v>
      </c>
      <c r="L109" s="1472" t="s">
        <v>2127</v>
      </c>
      <c r="M109" s="1473">
        <v>5.0788E-2</v>
      </c>
      <c r="N109" s="1474">
        <v>1.0342053701763625</v>
      </c>
      <c r="O109" s="1474">
        <v>1.0342053701763625</v>
      </c>
    </row>
    <row r="110" spans="2:15">
      <c r="B110" s="1390">
        <v>35765</v>
      </c>
      <c r="C110" s="1391">
        <v>145.69499999999999</v>
      </c>
      <c r="D110" s="1391">
        <v>1434.46</v>
      </c>
      <c r="E110" s="1391">
        <v>1.0311549813439238</v>
      </c>
      <c r="F110" s="1391">
        <v>3.0998642004712815</v>
      </c>
      <c r="K110" s="1471">
        <v>42167</v>
      </c>
      <c r="L110" s="1472" t="s">
        <v>2127</v>
      </c>
      <c r="M110" s="1473">
        <v>5.0788E-2</v>
      </c>
      <c r="N110" s="1474">
        <v>1.0347306223997677</v>
      </c>
      <c r="O110" s="1474">
        <v>1.0347306223997677</v>
      </c>
    </row>
    <row r="111" spans="2:15">
      <c r="B111" s="1390">
        <v>35796</v>
      </c>
      <c r="C111" s="1391">
        <v>147.09100000000001</v>
      </c>
      <c r="D111" s="1391">
        <v>1444.64</v>
      </c>
      <c r="E111" s="1391">
        <v>1.0280960413836384</v>
      </c>
      <c r="F111" s="1391">
        <v>3.1869581133313818</v>
      </c>
      <c r="K111" s="1471">
        <v>42168</v>
      </c>
      <c r="L111" s="1472"/>
      <c r="M111" s="1473">
        <v>0</v>
      </c>
      <c r="N111" s="1474">
        <v>1.0347306223997677</v>
      </c>
      <c r="O111" s="1474">
        <v>1.0347306223997677</v>
      </c>
    </row>
    <row r="112" spans="2:15">
      <c r="B112" s="1390">
        <v>35827</v>
      </c>
      <c r="C112" s="1391">
        <v>147.35599999999999</v>
      </c>
      <c r="D112" s="1391">
        <v>1451.29</v>
      </c>
      <c r="E112" s="1391">
        <v>1.0236711069024262</v>
      </c>
      <c r="F112" s="1391">
        <v>3.2623969395256034</v>
      </c>
      <c r="K112" s="1471">
        <v>42169</v>
      </c>
      <c r="L112" s="1472"/>
      <c r="M112" s="1473">
        <v>0</v>
      </c>
      <c r="N112" s="1474">
        <v>1.0347306223997677</v>
      </c>
      <c r="O112" s="1474">
        <v>1.0347306223997677</v>
      </c>
    </row>
    <row r="113" spans="2:15">
      <c r="B113" s="1390">
        <v>35855</v>
      </c>
      <c r="C113" s="1391">
        <v>147.63499999999999</v>
      </c>
      <c r="D113" s="1391">
        <v>1456.22</v>
      </c>
      <c r="E113" s="1391">
        <v>1.0220072916308196</v>
      </c>
      <c r="F113" s="1391">
        <v>3.3341934603892365</v>
      </c>
      <c r="K113" s="1471">
        <v>42170</v>
      </c>
      <c r="L113" s="1472" t="s">
        <v>2127</v>
      </c>
      <c r="M113" s="1473">
        <v>5.0788E-2</v>
      </c>
      <c r="N113" s="1474">
        <v>1.0352561413882722</v>
      </c>
      <c r="O113" s="1474">
        <v>1.0352561413882722</v>
      </c>
    </row>
    <row r="114" spans="2:15">
      <c r="B114" s="1390">
        <v>35886</v>
      </c>
      <c r="C114" s="1391">
        <v>147.821</v>
      </c>
      <c r="D114" s="1391">
        <v>1459.71</v>
      </c>
      <c r="E114" s="1391">
        <v>1.0199031041694671</v>
      </c>
      <c r="F114" s="1391">
        <v>3.4005542601525192</v>
      </c>
      <c r="K114" s="1471">
        <v>42171</v>
      </c>
      <c r="L114" s="1472" t="s">
        <v>2127</v>
      </c>
      <c r="M114" s="1473">
        <v>5.0788E-2</v>
      </c>
      <c r="N114" s="1474">
        <v>1.0357819272773605</v>
      </c>
      <c r="O114" s="1474">
        <v>1.0357819272773605</v>
      </c>
    </row>
    <row r="115" spans="2:15">
      <c r="B115" s="1390">
        <v>35916</v>
      </c>
      <c r="C115" s="1391">
        <v>148.02099999999999</v>
      </c>
      <c r="D115" s="1391">
        <v>1467.01</v>
      </c>
      <c r="E115" s="1391">
        <v>1.0171306475499944</v>
      </c>
      <c r="F115" s="1391">
        <v>3.4588079566578238</v>
      </c>
      <c r="K115" s="1471">
        <v>42172</v>
      </c>
      <c r="L115" s="1472" t="s">
        <v>2127</v>
      </c>
      <c r="M115" s="1473">
        <v>5.0788E-2</v>
      </c>
      <c r="N115" s="1474">
        <v>1.0363079802025861</v>
      </c>
      <c r="O115" s="1474">
        <v>1.0363079802025861</v>
      </c>
    </row>
    <row r="116" spans="2:15">
      <c r="B116" s="1390">
        <v>35947</v>
      </c>
      <c r="C116" s="1391">
        <v>148.58799999999999</v>
      </c>
      <c r="D116" s="1391">
        <v>1467.3</v>
      </c>
      <c r="E116" s="1391">
        <v>1.0167959651913006</v>
      </c>
      <c r="F116" s="1391">
        <v>3.5169019747012422</v>
      </c>
      <c r="K116" s="1471">
        <v>42173</v>
      </c>
      <c r="L116" s="1472" t="s">
        <v>2127</v>
      </c>
      <c r="M116" s="1473">
        <v>5.0788E-2</v>
      </c>
      <c r="N116" s="1474">
        <v>1.0368343002995715</v>
      </c>
      <c r="O116" s="1474">
        <v>1.0368343002995715</v>
      </c>
    </row>
    <row r="117" spans="2:15">
      <c r="B117" s="1390">
        <v>35977</v>
      </c>
      <c r="C117" s="1391">
        <v>148.339</v>
      </c>
      <c r="D117" s="1391">
        <v>1465.54</v>
      </c>
      <c r="E117" s="1391">
        <v>1.0170373206405035</v>
      </c>
      <c r="F117" s="1391">
        <v>3.5768205613054471</v>
      </c>
      <c r="K117" s="1471">
        <v>42174</v>
      </c>
      <c r="L117" s="1472" t="s">
        <v>2127</v>
      </c>
      <c r="M117" s="1473">
        <v>5.0788E-2</v>
      </c>
      <c r="N117" s="1474">
        <v>1.0373608877040077</v>
      </c>
      <c r="O117" s="1474">
        <v>1.0373608877040077</v>
      </c>
    </row>
    <row r="118" spans="2:15">
      <c r="B118" s="1390">
        <v>36008</v>
      </c>
      <c r="C118" s="1391">
        <v>148.10900000000001</v>
      </c>
      <c r="D118" s="1391">
        <v>1458.07</v>
      </c>
      <c r="E118" s="1391">
        <v>1.0147631694962493</v>
      </c>
      <c r="F118" s="1391">
        <v>3.6296257695096692</v>
      </c>
      <c r="K118" s="1471">
        <v>42175</v>
      </c>
      <c r="L118" s="1472"/>
      <c r="M118" s="1473">
        <v>0</v>
      </c>
      <c r="N118" s="1474">
        <v>1.0373608877040077</v>
      </c>
      <c r="O118" s="1474">
        <v>1.0373608877040077</v>
      </c>
    </row>
    <row r="119" spans="2:15">
      <c r="B119" s="1390">
        <v>36039</v>
      </c>
      <c r="C119" s="1391">
        <v>147.98400000000001</v>
      </c>
      <c r="D119" s="1391">
        <v>1454.86</v>
      </c>
      <c r="E119" s="1391">
        <v>1.0255896332244516</v>
      </c>
      <c r="F119" s="1391">
        <v>3.7225065616934394</v>
      </c>
      <c r="K119" s="1471">
        <v>42176</v>
      </c>
      <c r="L119" s="1472"/>
      <c r="M119" s="1473">
        <v>0</v>
      </c>
      <c r="N119" s="1474">
        <v>1.0373608877040077</v>
      </c>
      <c r="O119" s="1474">
        <v>1.0373608877040077</v>
      </c>
    </row>
    <row r="120" spans="2:15">
      <c r="B120" s="1390">
        <v>36069</v>
      </c>
      <c r="C120" s="1391">
        <v>148.1</v>
      </c>
      <c r="D120" s="1391">
        <v>1455.15</v>
      </c>
      <c r="E120" s="1391">
        <v>1.0308188720930029</v>
      </c>
      <c r="F120" s="1391">
        <v>3.8372300152836338</v>
      </c>
      <c r="K120" s="1471">
        <v>42177</v>
      </c>
      <c r="L120" s="1472" t="s">
        <v>2127</v>
      </c>
      <c r="M120" s="1473">
        <v>5.0788E-2</v>
      </c>
      <c r="N120" s="1474">
        <v>1.0378877425516548</v>
      </c>
      <c r="O120" s="1474">
        <v>1.0378877425516548</v>
      </c>
    </row>
    <row r="121" spans="2:15">
      <c r="B121" s="1390">
        <v>36100</v>
      </c>
      <c r="C121" s="1391">
        <v>147.62799999999999</v>
      </c>
      <c r="D121" s="1391">
        <v>1453.4</v>
      </c>
      <c r="E121" s="1391">
        <v>1.0277678356785036</v>
      </c>
      <c r="F121" s="1391">
        <v>3.9437815878086515</v>
      </c>
      <c r="K121" s="1471">
        <v>42178</v>
      </c>
      <c r="L121" s="1472" t="s">
        <v>2127</v>
      </c>
      <c r="M121" s="1473">
        <v>5.0788E-2</v>
      </c>
      <c r="N121" s="1474">
        <v>1.038414864978342</v>
      </c>
      <c r="O121" s="1474">
        <v>1.038414864978342</v>
      </c>
    </row>
    <row r="122" spans="2:15">
      <c r="B122" s="1390">
        <v>36130</v>
      </c>
      <c r="C122" s="1391">
        <v>148.291</v>
      </c>
      <c r="D122" s="1391">
        <v>1458.2</v>
      </c>
      <c r="E122" s="1391">
        <v>1.025049538167373</v>
      </c>
      <c r="F122" s="1391">
        <v>4.0425714952162473</v>
      </c>
      <c r="K122" s="1471">
        <v>42179</v>
      </c>
      <c r="L122" s="1472" t="s">
        <v>2127</v>
      </c>
      <c r="M122" s="1473">
        <v>5.0788E-2</v>
      </c>
      <c r="N122" s="1474">
        <v>1.0389422551199672</v>
      </c>
      <c r="O122" s="1474">
        <v>1.0389422551199672</v>
      </c>
    </row>
    <row r="123" spans="2:15">
      <c r="B123" s="1390">
        <v>36161</v>
      </c>
      <c r="C123" s="1391">
        <v>149.53299999999999</v>
      </c>
      <c r="D123" s="1391">
        <v>1468.41</v>
      </c>
      <c r="E123" s="1391">
        <v>1.022811290449001</v>
      </c>
      <c r="F123" s="1391">
        <v>4.1347877677544771</v>
      </c>
      <c r="K123" s="1471">
        <v>42180</v>
      </c>
      <c r="L123" s="1472" t="s">
        <v>2127</v>
      </c>
      <c r="M123" s="1473">
        <v>5.0788E-2</v>
      </c>
      <c r="N123" s="1474">
        <v>1.0394699131124976</v>
      </c>
      <c r="O123" s="1474">
        <v>1.0394699131124976</v>
      </c>
    </row>
    <row r="124" spans="2:15">
      <c r="B124" s="1390">
        <v>36192</v>
      </c>
      <c r="C124" s="1391">
        <v>154.93299999999999</v>
      </c>
      <c r="D124" s="1391">
        <v>1483.83</v>
      </c>
      <c r="E124" s="1391">
        <v>1.0264662861429437</v>
      </c>
      <c r="F124" s="1391">
        <v>4.2442202439562102</v>
      </c>
      <c r="K124" s="1471">
        <v>42181</v>
      </c>
      <c r="L124" s="1472" t="s">
        <v>2127</v>
      </c>
      <c r="M124" s="1473">
        <v>5.0788E-2</v>
      </c>
      <c r="N124" s="1474">
        <v>1.0399978390919691</v>
      </c>
      <c r="O124" s="1474">
        <v>1.0399978390919691</v>
      </c>
    </row>
    <row r="125" spans="2:15">
      <c r="B125" s="1390">
        <v>36220</v>
      </c>
      <c r="C125" s="1391">
        <v>159.32499999999999</v>
      </c>
      <c r="D125" s="1391">
        <v>1500.15</v>
      </c>
      <c r="E125" s="1391">
        <v>1.033345195070198</v>
      </c>
      <c r="F125" s="1391">
        <v>4.3857445959118131</v>
      </c>
      <c r="K125" s="1471">
        <v>42182</v>
      </c>
      <c r="L125" s="1472"/>
      <c r="M125" s="1473">
        <v>0</v>
      </c>
      <c r="N125" s="1474">
        <v>1.0399978390919691</v>
      </c>
      <c r="O125" s="1474">
        <v>1.0399978390919691</v>
      </c>
    </row>
    <row r="126" spans="2:15">
      <c r="B126" s="1390">
        <v>36251</v>
      </c>
      <c r="C126" s="1391">
        <v>160.459</v>
      </c>
      <c r="D126" s="1391">
        <v>1508.55</v>
      </c>
      <c r="E126" s="1391">
        <v>1.027563660965396</v>
      </c>
      <c r="F126" s="1391">
        <v>4.5066317730343437</v>
      </c>
      <c r="K126" s="1471">
        <v>42183</v>
      </c>
      <c r="L126" s="1472"/>
      <c r="M126" s="1473">
        <v>0</v>
      </c>
      <c r="N126" s="1474">
        <v>1.0399978390919691</v>
      </c>
      <c r="O126" s="1474">
        <v>1.0399978390919691</v>
      </c>
    </row>
    <row r="127" spans="2:15">
      <c r="B127" s="1390">
        <v>36281</v>
      </c>
      <c r="C127" s="1391">
        <v>159.99600000000001</v>
      </c>
      <c r="D127" s="1391">
        <v>1513.08</v>
      </c>
      <c r="E127" s="1391">
        <v>1.0201883000304468</v>
      </c>
      <c r="F127" s="1391">
        <v>4.5976130073951058</v>
      </c>
      <c r="K127" s="1471">
        <v>42184</v>
      </c>
      <c r="L127" s="1472" t="s">
        <v>2127</v>
      </c>
      <c r="M127" s="1473">
        <v>5.0788E-2</v>
      </c>
      <c r="N127" s="1474">
        <v>1.0405260331944872</v>
      </c>
      <c r="O127" s="1474">
        <v>1.0405260331944872</v>
      </c>
    </row>
    <row r="128" spans="2:15">
      <c r="B128" s="1390">
        <v>36312</v>
      </c>
      <c r="C128" s="1391">
        <v>160.57300000000001</v>
      </c>
      <c r="D128" s="1391">
        <v>1515.95</v>
      </c>
      <c r="E128" s="1391">
        <v>1.0175637707499077</v>
      </c>
      <c r="F128" s="1391">
        <v>4.6783644282537873</v>
      </c>
      <c r="K128" s="1471">
        <v>42185</v>
      </c>
      <c r="L128" s="1472" t="s">
        <v>2127</v>
      </c>
      <c r="M128" s="1473">
        <v>5.0788E-2</v>
      </c>
      <c r="N128" s="1474">
        <v>1.041054495556226</v>
      </c>
      <c r="O128" s="1474">
        <v>1.041054495556226</v>
      </c>
    </row>
    <row r="129" spans="2:15">
      <c r="B129" s="1390">
        <v>36342</v>
      </c>
      <c r="C129" s="1391">
        <v>163.06</v>
      </c>
      <c r="D129" s="1391">
        <v>1532.47</v>
      </c>
      <c r="E129" s="1391">
        <v>1.0165876375704719</v>
      </c>
      <c r="F129" s="1391">
        <v>4.7559674418122491</v>
      </c>
      <c r="K129" s="1471">
        <v>42186</v>
      </c>
      <c r="L129" s="1472" t="s">
        <v>2127</v>
      </c>
      <c r="M129" s="1473">
        <v>5.0788E-2</v>
      </c>
      <c r="N129" s="1474">
        <v>1.041583226313429</v>
      </c>
      <c r="O129" s="1474">
        <v>1.041583226313429</v>
      </c>
    </row>
    <row r="130" spans="2:15">
      <c r="B130" s="1390">
        <v>36373</v>
      </c>
      <c r="C130" s="1391">
        <v>165.60300000000001</v>
      </c>
      <c r="D130" s="1391">
        <v>1541.05</v>
      </c>
      <c r="E130" s="1391">
        <v>1.0156847483880824</v>
      </c>
      <c r="F130" s="1391">
        <v>4.8305635944789866</v>
      </c>
      <c r="K130" s="1471">
        <v>42187</v>
      </c>
      <c r="L130" s="1472" t="s">
        <v>2127</v>
      </c>
      <c r="M130" s="1473">
        <v>5.0788E-2</v>
      </c>
      <c r="N130" s="1474">
        <v>1.0421122256024091</v>
      </c>
      <c r="O130" s="1474">
        <v>1.0421122256024091</v>
      </c>
    </row>
    <row r="131" spans="2:15">
      <c r="B131" s="1390">
        <v>36404</v>
      </c>
      <c r="C131" s="1391">
        <v>167.99700000000001</v>
      </c>
      <c r="D131" s="1391">
        <v>1545.83</v>
      </c>
      <c r="E131" s="1391">
        <v>1.0155901672784533</v>
      </c>
      <c r="F131" s="1391">
        <v>4.9058728889661207</v>
      </c>
      <c r="K131" s="1471">
        <v>42188</v>
      </c>
      <c r="L131" s="1472" t="s">
        <v>2127</v>
      </c>
      <c r="M131" s="1473">
        <v>5.0788E-2</v>
      </c>
      <c r="N131" s="1474">
        <v>1.042641493559548</v>
      </c>
      <c r="O131" s="1474">
        <v>1.042641493559548</v>
      </c>
    </row>
    <row r="132" spans="2:15">
      <c r="B132" s="1390">
        <v>36434</v>
      </c>
      <c r="C132" s="1391">
        <v>170.86099999999999</v>
      </c>
      <c r="D132" s="1391">
        <v>1564.23</v>
      </c>
      <c r="E132" s="1391">
        <v>1.0145370189540868</v>
      </c>
      <c r="F132" s="1391">
        <v>4.9771896561393616</v>
      </c>
      <c r="K132" s="1471">
        <v>42189</v>
      </c>
      <c r="L132" s="1472"/>
      <c r="M132" s="1473">
        <v>0</v>
      </c>
      <c r="N132" s="1474">
        <v>1.042641493559548</v>
      </c>
      <c r="O132" s="1474">
        <v>1.042641493559548</v>
      </c>
    </row>
    <row r="133" spans="2:15">
      <c r="B133" s="1390">
        <v>36465</v>
      </c>
      <c r="C133" s="1391">
        <v>174.93899999999999</v>
      </c>
      <c r="D133" s="1391">
        <v>1579.09</v>
      </c>
      <c r="E133" s="1391">
        <v>1.0152599173733607</v>
      </c>
      <c r="F133" s="1391">
        <v>5.0531411590435944</v>
      </c>
      <c r="K133" s="1471">
        <v>42190</v>
      </c>
      <c r="L133" s="1472"/>
      <c r="M133" s="1473">
        <v>0</v>
      </c>
      <c r="N133" s="1474">
        <v>1.042641493559548</v>
      </c>
      <c r="O133" s="1474">
        <v>1.042641493559548</v>
      </c>
    </row>
    <row r="134" spans="2:15">
      <c r="B134" s="1390">
        <v>36495</v>
      </c>
      <c r="C134" s="1391">
        <v>178.09899999999999</v>
      </c>
      <c r="D134" s="1391">
        <v>1588.56</v>
      </c>
      <c r="E134" s="1391">
        <v>1.0159962861507461</v>
      </c>
      <c r="F134" s="1391">
        <v>5.1339726509837682</v>
      </c>
      <c r="K134" s="1471">
        <v>42191</v>
      </c>
      <c r="L134" s="1472" t="s">
        <v>2127</v>
      </c>
      <c r="M134" s="1473">
        <v>5.0788E-2</v>
      </c>
      <c r="N134" s="1474">
        <v>1.0431710303212971</v>
      </c>
      <c r="O134" s="1474">
        <v>1.0431710303212971</v>
      </c>
    </row>
    <row r="135" spans="2:15">
      <c r="B135" s="1390">
        <v>36526</v>
      </c>
      <c r="C135" s="1391">
        <v>180.30099999999999</v>
      </c>
      <c r="D135" s="1391">
        <v>1598.41</v>
      </c>
      <c r="E135" s="1391">
        <v>1.0145573263269665</v>
      </c>
      <c r="F135" s="1391">
        <v>5.20870956621786</v>
      </c>
      <c r="K135" s="1471">
        <v>42192</v>
      </c>
      <c r="L135" s="1472" t="s">
        <v>2127</v>
      </c>
      <c r="M135" s="1473">
        <v>5.0788E-2</v>
      </c>
      <c r="N135" s="1474">
        <v>1.0437008360241766</v>
      </c>
      <c r="O135" s="1474">
        <v>1.0437008360241766</v>
      </c>
    </row>
    <row r="136" spans="2:15">
      <c r="B136" s="1390">
        <v>36557</v>
      </c>
      <c r="C136" s="1391">
        <v>180.935</v>
      </c>
      <c r="D136" s="1391">
        <v>1600.49</v>
      </c>
      <c r="E136" s="1391">
        <v>1.0145089461247463</v>
      </c>
      <c r="F136" s="1391">
        <v>5.2842824526935654</v>
      </c>
      <c r="K136" s="1471">
        <v>42193</v>
      </c>
      <c r="L136" s="1472" t="s">
        <v>2127</v>
      </c>
      <c r="M136" s="1473">
        <v>5.0788E-2</v>
      </c>
      <c r="N136" s="1474">
        <v>1.0442309108047767</v>
      </c>
      <c r="O136" s="1474">
        <v>1.0442309108047767</v>
      </c>
    </row>
    <row r="137" spans="2:15">
      <c r="B137" s="1390">
        <v>36586</v>
      </c>
      <c r="C137" s="1391">
        <v>181.214</v>
      </c>
      <c r="D137" s="1391">
        <v>1604.01</v>
      </c>
      <c r="E137" s="1391">
        <v>1.0158860407835757</v>
      </c>
      <c r="F137" s="1391">
        <v>5.3682287792489891</v>
      </c>
      <c r="K137" s="1471">
        <v>42194</v>
      </c>
      <c r="L137" s="1472" t="s">
        <v>2127</v>
      </c>
      <c r="M137" s="1473">
        <v>5.0788E-2</v>
      </c>
      <c r="N137" s="1474">
        <v>1.0447612547997562</v>
      </c>
      <c r="O137" s="1474">
        <v>1.0447612547997562</v>
      </c>
    </row>
    <row r="138" spans="2:15">
      <c r="B138" s="1390">
        <v>36617</v>
      </c>
      <c r="C138" s="1391">
        <v>181.63499999999999</v>
      </c>
      <c r="D138" s="1391">
        <v>1610.75</v>
      </c>
      <c r="E138" s="1391">
        <v>1.0136441914221253</v>
      </c>
      <c r="F138" s="1391">
        <v>5.4414739203108242</v>
      </c>
      <c r="K138" s="1471">
        <v>42195</v>
      </c>
      <c r="L138" s="1472" t="s">
        <v>2127</v>
      </c>
      <c r="M138" s="1473">
        <v>5.0788E-2</v>
      </c>
      <c r="N138" s="1474">
        <v>1.0452918681458438</v>
      </c>
      <c r="O138" s="1474">
        <v>1.0452918681458438</v>
      </c>
    </row>
    <row r="139" spans="2:15">
      <c r="B139" s="1390">
        <v>36647</v>
      </c>
      <c r="C139" s="1391">
        <v>182.18899999999999</v>
      </c>
      <c r="D139" s="1391">
        <v>1610.91</v>
      </c>
      <c r="E139" s="1391">
        <v>1.0156265899953318</v>
      </c>
      <c r="F139" s="1391">
        <v>5.5265056022338124</v>
      </c>
      <c r="K139" s="1471">
        <v>42196</v>
      </c>
      <c r="L139" s="1472"/>
      <c r="M139" s="1473">
        <v>0</v>
      </c>
      <c r="N139" s="1474">
        <v>1.0452918681458438</v>
      </c>
      <c r="O139" s="1474">
        <v>1.0452918681458438</v>
      </c>
    </row>
    <row r="140" spans="2:15">
      <c r="B140" s="1390">
        <v>36678</v>
      </c>
      <c r="C140" s="1391">
        <v>183.745</v>
      </c>
      <c r="D140" s="1391">
        <v>1614.62</v>
      </c>
      <c r="E140" s="1391">
        <v>1.0145668910909638</v>
      </c>
      <c r="F140" s="1391">
        <v>5.6070096074551534</v>
      </c>
      <c r="K140" s="1471">
        <v>42197</v>
      </c>
      <c r="L140" s="1472"/>
      <c r="M140" s="1473">
        <v>0</v>
      </c>
      <c r="N140" s="1474">
        <v>1.0452918681458438</v>
      </c>
      <c r="O140" s="1474">
        <v>1.0452918681458438</v>
      </c>
    </row>
    <row r="141" spans="2:15">
      <c r="B141" s="1390">
        <v>36708</v>
      </c>
      <c r="C141" s="1391">
        <v>186.63399999999999</v>
      </c>
      <c r="D141" s="1391">
        <v>1640.62</v>
      </c>
      <c r="E141" s="1391">
        <v>1.0130599958288005</v>
      </c>
      <c r="F141" s="1391">
        <v>5.6802371295405623</v>
      </c>
      <c r="K141" s="1471">
        <v>42198</v>
      </c>
      <c r="L141" s="1472" t="s">
        <v>2127</v>
      </c>
      <c r="M141" s="1473">
        <v>5.0788E-2</v>
      </c>
      <c r="N141" s="1474">
        <v>1.0458227509798377</v>
      </c>
      <c r="O141" s="1474">
        <v>1.0458227509798377</v>
      </c>
    </row>
    <row r="142" spans="2:15">
      <c r="B142" s="1390">
        <v>36739</v>
      </c>
      <c r="C142" s="1391">
        <v>191.08699999999999</v>
      </c>
      <c r="D142" s="1391">
        <v>1662.11</v>
      </c>
      <c r="E142" s="1391">
        <v>1.0140543715890855</v>
      </c>
      <c r="F142" s="1391">
        <v>5.7600692928732462</v>
      </c>
      <c r="K142" s="1471">
        <v>42199</v>
      </c>
      <c r="L142" s="1472" t="s">
        <v>2127</v>
      </c>
      <c r="M142" s="1473">
        <v>5.0788E-2</v>
      </c>
      <c r="N142" s="1474">
        <v>1.0463539034386053</v>
      </c>
      <c r="O142" s="1474">
        <v>1.0463539034386053</v>
      </c>
    </row>
    <row r="143" spans="2:15">
      <c r="B143" s="1390">
        <v>36770</v>
      </c>
      <c r="C143" s="1391">
        <v>193.297</v>
      </c>
      <c r="D143" s="1391">
        <v>1665.93</v>
      </c>
      <c r="E143" s="1391">
        <v>1.0128508890656427</v>
      </c>
      <c r="F143" s="1391">
        <v>5.8340913043663756</v>
      </c>
      <c r="K143" s="1471">
        <v>42200</v>
      </c>
      <c r="L143" s="1472" t="s">
        <v>2127</v>
      </c>
      <c r="M143" s="1473">
        <v>5.0788E-2</v>
      </c>
      <c r="N143" s="1474">
        <v>1.0468853256590838</v>
      </c>
      <c r="O143" s="1474">
        <v>1.0468853256590838</v>
      </c>
    </row>
    <row r="144" spans="2:15">
      <c r="B144" s="1390">
        <v>36800</v>
      </c>
      <c r="C144" s="1391">
        <v>194.04</v>
      </c>
      <c r="D144" s="1391">
        <v>1668.26</v>
      </c>
      <c r="E144" s="1391">
        <v>1.013495295624836</v>
      </c>
      <c r="F144" s="1391">
        <v>5.9128240912210845</v>
      </c>
      <c r="K144" s="1471">
        <v>42201</v>
      </c>
      <c r="L144" s="1472" t="s">
        <v>2127</v>
      </c>
      <c r="M144" s="1473">
        <v>5.0788E-2</v>
      </c>
      <c r="N144" s="1474">
        <v>1.0474170177782796</v>
      </c>
      <c r="O144" s="1474">
        <v>1.0474170177782796</v>
      </c>
    </row>
    <row r="145" spans="2:15">
      <c r="B145" s="1390">
        <v>36831</v>
      </c>
      <c r="C145" s="1391">
        <v>194.59899999999999</v>
      </c>
      <c r="D145" s="1391">
        <v>1673.6</v>
      </c>
      <c r="E145" s="1391">
        <v>1.013431060777086</v>
      </c>
      <c r="F145" s="1391">
        <v>5.992239590954493</v>
      </c>
      <c r="K145" s="1471">
        <v>42202</v>
      </c>
      <c r="L145" s="1472" t="s">
        <v>2127</v>
      </c>
      <c r="M145" s="1473">
        <v>5.0788E-2</v>
      </c>
      <c r="N145" s="1474">
        <v>1.0479489799332689</v>
      </c>
      <c r="O145" s="1474">
        <v>1.0479489799332689</v>
      </c>
    </row>
    <row r="146" spans="2:15">
      <c r="B146" s="1390">
        <v>36861</v>
      </c>
      <c r="C146" s="1391">
        <v>195.827</v>
      </c>
      <c r="D146" s="1391">
        <v>1683.47</v>
      </c>
      <c r="E146" s="1391">
        <v>1.0125716392096709</v>
      </c>
      <c r="F146" s="1391">
        <v>6.0675718651498789</v>
      </c>
      <c r="K146" s="1471">
        <v>42203</v>
      </c>
      <c r="L146" s="1472"/>
      <c r="M146" s="1473">
        <v>0</v>
      </c>
      <c r="N146" s="1474">
        <v>1.0479489799332689</v>
      </c>
      <c r="O146" s="1474">
        <v>1.0479489799332689</v>
      </c>
    </row>
    <row r="147" spans="2:15">
      <c r="B147" s="1390">
        <v>36892</v>
      </c>
      <c r="C147" s="1391">
        <v>197.04499999999999</v>
      </c>
      <c r="D147" s="1391">
        <v>1693.07</v>
      </c>
      <c r="E147" s="1391">
        <v>1.0126506879847863</v>
      </c>
      <c r="F147" s="1391">
        <v>6.144330823641158</v>
      </c>
      <c r="K147" s="1471">
        <v>42204</v>
      </c>
      <c r="L147" s="1472"/>
      <c r="M147" s="1473">
        <v>0</v>
      </c>
      <c r="N147" s="1474">
        <v>1.0479489799332689</v>
      </c>
      <c r="O147" s="1474">
        <v>1.0479489799332689</v>
      </c>
    </row>
    <row r="148" spans="2:15">
      <c r="B148" s="1390">
        <v>36923</v>
      </c>
      <c r="C148" s="1391">
        <v>197.49100000000001</v>
      </c>
      <c r="D148" s="1391">
        <v>1700.86</v>
      </c>
      <c r="E148" s="1391">
        <v>1.0101583510827936</v>
      </c>
      <c r="F148" s="1391">
        <v>6.206747093316535</v>
      </c>
      <c r="K148" s="1471">
        <v>42205</v>
      </c>
      <c r="L148" s="1472" t="s">
        <v>2127</v>
      </c>
      <c r="M148" s="1473">
        <v>5.0788E-2</v>
      </c>
      <c r="N148" s="1474">
        <v>1.0484812122611973</v>
      </c>
      <c r="O148" s="1474">
        <v>1.0484812122611973</v>
      </c>
    </row>
    <row r="149" spans="2:15">
      <c r="B149" s="1390">
        <v>36951</v>
      </c>
      <c r="C149" s="1391">
        <v>198.60599999999999</v>
      </c>
      <c r="D149" s="1391">
        <v>1707.32</v>
      </c>
      <c r="E149" s="1391">
        <v>1.0125785495836725</v>
      </c>
      <c r="F149" s="1391">
        <v>6.2848189693831324</v>
      </c>
      <c r="K149" s="1471">
        <v>42206</v>
      </c>
      <c r="L149" s="1472" t="s">
        <v>2127</v>
      </c>
      <c r="M149" s="1473">
        <v>5.0788E-2</v>
      </c>
      <c r="N149" s="1474">
        <v>1.0490137148992804</v>
      </c>
      <c r="O149" s="1474">
        <v>1.0490137148992804</v>
      </c>
    </row>
    <row r="150" spans="2:15">
      <c r="B150" s="1390">
        <v>36982</v>
      </c>
      <c r="C150" s="1391">
        <v>200.59100000000001</v>
      </c>
      <c r="D150" s="1391">
        <v>1717.22</v>
      </c>
      <c r="E150" s="1391">
        <v>1.0118637336714187</v>
      </c>
      <c r="F150" s="1391">
        <v>6.3593803878089741</v>
      </c>
      <c r="K150" s="1471">
        <v>42207</v>
      </c>
      <c r="L150" s="1472" t="s">
        <v>2127</v>
      </c>
      <c r="M150" s="1473">
        <v>5.0788E-2</v>
      </c>
      <c r="N150" s="1474">
        <v>1.0495464879848035</v>
      </c>
      <c r="O150" s="1474">
        <v>1.0495464879848035</v>
      </c>
    </row>
    <row r="151" spans="2:15">
      <c r="B151" s="1390">
        <v>37012</v>
      </c>
      <c r="C151" s="1391">
        <v>202.32400000000001</v>
      </c>
      <c r="D151" s="1391">
        <v>1724.26</v>
      </c>
      <c r="E151" s="1391">
        <v>1.0133677002760824</v>
      </c>
      <c r="F151" s="1391">
        <v>6.4443906787748011</v>
      </c>
      <c r="K151" s="1471">
        <v>42208</v>
      </c>
      <c r="L151" s="1472" t="s">
        <v>2127</v>
      </c>
      <c r="M151" s="1473">
        <v>5.0788E-2</v>
      </c>
      <c r="N151" s="1474">
        <v>1.0500795316551212</v>
      </c>
      <c r="O151" s="1474">
        <v>1.0500795316551212</v>
      </c>
    </row>
    <row r="152" spans="2:15">
      <c r="B152" s="1390">
        <v>37043</v>
      </c>
      <c r="C152" s="1391">
        <v>204.31</v>
      </c>
      <c r="D152" s="1391">
        <v>1733.23</v>
      </c>
      <c r="E152" s="1391">
        <v>1.0127331554566117</v>
      </c>
      <c r="F152" s="1391">
        <v>6.5264481071107801</v>
      </c>
      <c r="K152" s="1471">
        <v>42209</v>
      </c>
      <c r="L152" s="1472" t="s">
        <v>2127</v>
      </c>
      <c r="M152" s="1473">
        <v>5.0788E-2</v>
      </c>
      <c r="N152" s="1474">
        <v>1.0506128460476583</v>
      </c>
      <c r="O152" s="1474">
        <v>1.0506128460476583</v>
      </c>
    </row>
    <row r="153" spans="2:15">
      <c r="B153" s="1390">
        <v>37073</v>
      </c>
      <c r="C153" s="1391">
        <v>207.34100000000001</v>
      </c>
      <c r="D153" s="1391">
        <v>1756.28</v>
      </c>
      <c r="E153" s="1391">
        <v>1.014979822756394</v>
      </c>
      <c r="F153" s="1391">
        <v>6.6242131429841029</v>
      </c>
      <c r="K153" s="1471">
        <v>42210</v>
      </c>
      <c r="L153" s="1472"/>
      <c r="M153" s="1473">
        <v>0</v>
      </c>
      <c r="N153" s="1474">
        <v>1.0506128460476583</v>
      </c>
      <c r="O153" s="1474">
        <v>1.0506128460476583</v>
      </c>
    </row>
    <row r="154" spans="2:15">
      <c r="B154" s="1390">
        <v>37104</v>
      </c>
      <c r="C154" s="1391">
        <v>210.21100000000001</v>
      </c>
      <c r="D154" s="1391">
        <v>1768.57</v>
      </c>
      <c r="E154" s="1391">
        <v>1.0160000122718875</v>
      </c>
      <c r="F154" s="1391">
        <v>6.7302006345634471</v>
      </c>
      <c r="K154" s="1471">
        <v>42211</v>
      </c>
      <c r="L154" s="1472"/>
      <c r="M154" s="1473">
        <v>0</v>
      </c>
      <c r="N154" s="1474">
        <v>1.0506128460476583</v>
      </c>
      <c r="O154" s="1474">
        <v>1.0506128460476583</v>
      </c>
    </row>
    <row r="155" spans="2:15">
      <c r="B155" s="1390">
        <v>37135</v>
      </c>
      <c r="C155" s="1391">
        <v>210.85300000000001</v>
      </c>
      <c r="D155" s="1391">
        <v>1773.52</v>
      </c>
      <c r="E155" s="1391">
        <v>1.013243107438228</v>
      </c>
      <c r="F155" s="1391">
        <v>6.8193294046478012</v>
      </c>
      <c r="K155" s="1471">
        <v>42212</v>
      </c>
      <c r="L155" s="1472" t="s">
        <v>2127</v>
      </c>
      <c r="M155" s="1473">
        <v>5.0788E-2</v>
      </c>
      <c r="N155" s="1474">
        <v>1.051146431299909</v>
      </c>
      <c r="O155" s="1474">
        <v>1.051146431299909</v>
      </c>
    </row>
    <row r="156" spans="2:15">
      <c r="B156" s="1390">
        <v>37165</v>
      </c>
      <c r="C156" s="1391">
        <v>213.339</v>
      </c>
      <c r="D156" s="1391">
        <v>1788.24</v>
      </c>
      <c r="E156" s="1391">
        <v>1.0153493751182632</v>
      </c>
      <c r="F156" s="1391">
        <v>6.9240018497347426</v>
      </c>
      <c r="K156" s="1471">
        <v>42213</v>
      </c>
      <c r="L156" s="1472" t="s">
        <v>2127</v>
      </c>
      <c r="M156" s="1473">
        <v>5.0788E-2</v>
      </c>
      <c r="N156" s="1474">
        <v>1.0516802875494375</v>
      </c>
      <c r="O156" s="1474">
        <v>1.0516802875494375</v>
      </c>
    </row>
    <row r="157" spans="2:15">
      <c r="B157" s="1390">
        <v>37196</v>
      </c>
      <c r="C157" s="1391">
        <v>215.685</v>
      </c>
      <c r="D157" s="1391">
        <v>1800.94</v>
      </c>
      <c r="E157" s="1391">
        <v>1.0139343824698488</v>
      </c>
      <c r="F157" s="1391">
        <v>7.0204835397308871</v>
      </c>
      <c r="K157" s="1471">
        <v>42214</v>
      </c>
      <c r="L157" s="1472" t="s">
        <v>2127</v>
      </c>
      <c r="M157" s="1473">
        <v>5.0788E-2</v>
      </c>
      <c r="N157" s="1474">
        <v>1.0522144149338781</v>
      </c>
      <c r="O157" s="1474">
        <v>1.0522144149338781</v>
      </c>
    </row>
    <row r="158" spans="2:15">
      <c r="B158" s="1390">
        <v>37226</v>
      </c>
      <c r="C158" s="1391">
        <v>216.16300000000001</v>
      </c>
      <c r="D158" s="1391">
        <v>1812.65</v>
      </c>
      <c r="E158" s="1391">
        <v>1.0139354159682339</v>
      </c>
      <c r="F158" s="1391">
        <v>7.1183168981551761</v>
      </c>
      <c r="K158" s="1471">
        <v>42215</v>
      </c>
      <c r="L158" s="1472" t="s">
        <v>2127</v>
      </c>
      <c r="M158" s="1473">
        <v>5.2531000000000001E-2</v>
      </c>
      <c r="N158" s="1474">
        <v>1.0527671536881871</v>
      </c>
      <c r="O158" s="1474">
        <v>1.0527671536881871</v>
      </c>
    </row>
    <row r="159" spans="2:15">
      <c r="B159" s="1390">
        <v>37257</v>
      </c>
      <c r="C159" s="1391">
        <v>216.94399999999999</v>
      </c>
      <c r="D159" s="1391">
        <v>1822.08</v>
      </c>
      <c r="E159" s="1391">
        <v>1.0153395939759675</v>
      </c>
      <c r="F159" s="1391">
        <v>7.2275089891651447</v>
      </c>
      <c r="K159" s="1471">
        <v>42216</v>
      </c>
      <c r="L159" s="1472" t="s">
        <v>2127</v>
      </c>
      <c r="M159" s="1473">
        <v>5.2531000000000001E-2</v>
      </c>
      <c r="N159" s="1474">
        <v>1.0533201828016909</v>
      </c>
      <c r="O159" s="1474">
        <v>1.0533201828016909</v>
      </c>
    </row>
    <row r="160" spans="2:15">
      <c r="B160" s="1390">
        <v>37288</v>
      </c>
      <c r="C160" s="1391">
        <v>217.07400000000001</v>
      </c>
      <c r="D160" s="1391">
        <v>1828.64</v>
      </c>
      <c r="E160" s="1391">
        <v>1.012482154231837</v>
      </c>
      <c r="F160" s="1391">
        <v>7.3177238710798918</v>
      </c>
      <c r="K160" s="1471">
        <v>42217</v>
      </c>
      <c r="L160" s="1472"/>
      <c r="M160" s="1473">
        <v>0</v>
      </c>
      <c r="N160" s="1474">
        <v>1.0533201828016909</v>
      </c>
      <c r="O160" s="1474">
        <v>1.0533201828016909</v>
      </c>
    </row>
    <row r="161" spans="2:15">
      <c r="B161" s="1390">
        <v>37316</v>
      </c>
      <c r="C161" s="1391">
        <v>217.27600000000001</v>
      </c>
      <c r="D161" s="1391">
        <v>1839.61</v>
      </c>
      <c r="E161" s="1391">
        <v>1.013713327882185</v>
      </c>
      <c r="F161" s="1391">
        <v>7.4180742178753025</v>
      </c>
      <c r="K161" s="1471">
        <v>42218</v>
      </c>
      <c r="L161" s="1472"/>
      <c r="M161" s="1473">
        <v>0</v>
      </c>
      <c r="N161" s="1474">
        <v>1.0533201828016909</v>
      </c>
      <c r="O161" s="1474">
        <v>1.0533201828016909</v>
      </c>
    </row>
    <row r="162" spans="2:15">
      <c r="B162" s="1390">
        <v>37347</v>
      </c>
      <c r="C162" s="1391">
        <v>218.48599999999999</v>
      </c>
      <c r="D162" s="1391">
        <v>1854.33</v>
      </c>
      <c r="E162" s="1391">
        <v>1.0148356719718208</v>
      </c>
      <c r="F162" s="1391">
        <v>7.5281263336343214</v>
      </c>
      <c r="K162" s="1471">
        <v>42219</v>
      </c>
      <c r="L162" s="1472" t="s">
        <v>2127</v>
      </c>
      <c r="M162" s="1473">
        <v>5.2531000000000001E-2</v>
      </c>
      <c r="N162" s="1474">
        <v>1.0538735024269186</v>
      </c>
      <c r="O162" s="1474">
        <v>1.0538735024269186</v>
      </c>
    </row>
    <row r="163" spans="2:15">
      <c r="B163" s="1390">
        <v>37377</v>
      </c>
      <c r="C163" s="1391">
        <v>220.292</v>
      </c>
      <c r="D163" s="1391">
        <v>1858.22</v>
      </c>
      <c r="E163" s="1391">
        <v>1.0141498936566418</v>
      </c>
      <c r="F163" s="1391">
        <v>7.6346485206890113</v>
      </c>
      <c r="K163" s="1471">
        <v>42220</v>
      </c>
      <c r="L163" s="1472" t="s">
        <v>2127</v>
      </c>
      <c r="M163" s="1473">
        <v>5.2531000000000001E-2</v>
      </c>
      <c r="N163" s="1474">
        <v>1.0544271127164784</v>
      </c>
      <c r="O163" s="1474">
        <v>1.0544271127164784</v>
      </c>
    </row>
    <row r="164" spans="2:15">
      <c r="B164" s="1390">
        <v>37408</v>
      </c>
      <c r="C164" s="1391">
        <v>223.68799999999999</v>
      </c>
      <c r="D164" s="1391">
        <v>1866.02</v>
      </c>
      <c r="E164" s="1391">
        <v>1.0132903281280037</v>
      </c>
      <c r="F164" s="1391">
        <v>7.7361155046709458</v>
      </c>
      <c r="K164" s="1471">
        <v>42221</v>
      </c>
      <c r="L164" s="1472" t="s">
        <v>2127</v>
      </c>
      <c r="M164" s="1473">
        <v>5.2531000000000001E-2</v>
      </c>
      <c r="N164" s="1474">
        <v>1.0549810138230595</v>
      </c>
      <c r="O164" s="1474">
        <v>1.0549810138230595</v>
      </c>
    </row>
    <row r="165" spans="2:15">
      <c r="B165" s="1390">
        <v>37438</v>
      </c>
      <c r="C165" s="1391">
        <v>228.05699999999999</v>
      </c>
      <c r="D165" s="1391">
        <v>1888.23</v>
      </c>
      <c r="E165" s="1391">
        <v>1.0153543455443825</v>
      </c>
      <c r="F165" s="1391">
        <v>7.8548984953009189</v>
      </c>
      <c r="K165" s="1471">
        <v>42222</v>
      </c>
      <c r="L165" s="1472" t="s">
        <v>2127</v>
      </c>
      <c r="M165" s="1473">
        <v>5.2531000000000001E-2</v>
      </c>
      <c r="N165" s="1474">
        <v>1.055535205899431</v>
      </c>
      <c r="O165" s="1474">
        <v>1.055535205899431</v>
      </c>
    </row>
    <row r="166" spans="2:15">
      <c r="B166" s="1390">
        <v>37469</v>
      </c>
      <c r="C166" s="1391">
        <v>233.34800000000001</v>
      </c>
      <c r="D166" s="1391">
        <v>1900.5</v>
      </c>
      <c r="E166" s="1391">
        <v>1.0144340404848073</v>
      </c>
      <c r="F166" s="1391">
        <v>7.9682764181861447</v>
      </c>
      <c r="K166" s="1471">
        <v>42223</v>
      </c>
      <c r="L166" s="1472" t="s">
        <v>2127</v>
      </c>
      <c r="M166" s="1473">
        <v>5.2531000000000001E-2</v>
      </c>
      <c r="N166" s="1474">
        <v>1.0560896890984419</v>
      </c>
      <c r="O166" s="1474">
        <v>1.0560896890984419</v>
      </c>
    </row>
    <row r="167" spans="2:15">
      <c r="B167" s="1390">
        <v>37500</v>
      </c>
      <c r="C167" s="1391">
        <v>238.94300000000001</v>
      </c>
      <c r="D167" s="1391">
        <v>1914.18</v>
      </c>
      <c r="E167" s="1391">
        <v>1.0138126637754254</v>
      </c>
      <c r="F167" s="1391">
        <v>8.0783395412202008</v>
      </c>
      <c r="K167" s="1471">
        <v>42224</v>
      </c>
      <c r="L167" s="1472"/>
      <c r="M167" s="1473">
        <v>0</v>
      </c>
      <c r="N167" s="1474">
        <v>1.0560896890984419</v>
      </c>
      <c r="O167" s="1474">
        <v>1.0560896890984419</v>
      </c>
    </row>
    <row r="168" spans="2:15">
      <c r="B168" s="1390">
        <v>37530</v>
      </c>
      <c r="C168" s="1391">
        <v>248.19900000000001</v>
      </c>
      <c r="D168" s="1391">
        <v>1939.26</v>
      </c>
      <c r="E168" s="1391">
        <v>1.0164592520111337</v>
      </c>
      <c r="F168" s="1391">
        <v>8.2113029675606501</v>
      </c>
      <c r="K168" s="1471">
        <v>42225</v>
      </c>
      <c r="L168" s="1472"/>
      <c r="M168" s="1473">
        <v>0</v>
      </c>
      <c r="N168" s="1474">
        <v>1.0560896890984419</v>
      </c>
      <c r="O168" s="1474">
        <v>1.0560896890984419</v>
      </c>
    </row>
    <row r="169" spans="2:15">
      <c r="B169" s="1390">
        <v>37561</v>
      </c>
      <c r="C169" s="1391">
        <v>261.08</v>
      </c>
      <c r="D169" s="1391">
        <v>1997.83</v>
      </c>
      <c r="E169" s="1391">
        <v>1.0154093077816833</v>
      </c>
      <c r="F169" s="1391">
        <v>8.337833462276441</v>
      </c>
      <c r="K169" s="1471">
        <v>42226</v>
      </c>
      <c r="L169" s="1472" t="s">
        <v>2127</v>
      </c>
      <c r="M169" s="1473">
        <v>5.2531000000000001E-2</v>
      </c>
      <c r="N169" s="1474">
        <v>1.0566444635730223</v>
      </c>
      <c r="O169" s="1474">
        <v>1.0566444635730223</v>
      </c>
    </row>
    <row r="170" spans="2:15">
      <c r="B170" s="1390">
        <v>37591</v>
      </c>
      <c r="C170" s="1391">
        <v>270.86700000000002</v>
      </c>
      <c r="D170" s="1391">
        <v>2039.78</v>
      </c>
      <c r="E170" s="1391">
        <v>1.0174244857414556</v>
      </c>
      <c r="F170" s="1391">
        <v>8.483115922554509</v>
      </c>
      <c r="K170" s="1471">
        <v>42227</v>
      </c>
      <c r="L170" s="1472" t="s">
        <v>2127</v>
      </c>
      <c r="M170" s="1473">
        <v>5.2531000000000001E-2</v>
      </c>
      <c r="N170" s="1474">
        <v>1.0571995294761818</v>
      </c>
      <c r="O170" s="1474">
        <v>1.0571995294761818</v>
      </c>
    </row>
    <row r="171" spans="2:15">
      <c r="B171" s="1390">
        <v>37622</v>
      </c>
      <c r="C171" s="1391">
        <v>277.173</v>
      </c>
      <c r="D171" s="1391">
        <v>2085.6799999999998</v>
      </c>
      <c r="E171" s="1391">
        <v>1.0197126646415859</v>
      </c>
      <c r="F171" s="1391">
        <v>8.6503407418515241</v>
      </c>
      <c r="K171" s="1471">
        <v>42228</v>
      </c>
      <c r="L171" s="1472" t="s">
        <v>2127</v>
      </c>
      <c r="M171" s="1473">
        <v>5.2531000000000001E-2</v>
      </c>
      <c r="N171" s="1474">
        <v>1.0577548869610109</v>
      </c>
      <c r="O171" s="1474">
        <v>1.0577548869610109</v>
      </c>
    </row>
    <row r="172" spans="2:15">
      <c r="B172" s="1390">
        <v>37653</v>
      </c>
      <c r="C172" s="1391">
        <v>283.50599999999997</v>
      </c>
      <c r="D172" s="1391">
        <v>2118.4299999999998</v>
      </c>
      <c r="E172" s="1391">
        <v>1.0183037986307939</v>
      </c>
      <c r="F172" s="1391">
        <v>8.8086748368781276</v>
      </c>
      <c r="K172" s="1471">
        <v>42229</v>
      </c>
      <c r="L172" s="1472" t="s">
        <v>2127</v>
      </c>
      <c r="M172" s="1473">
        <v>5.2531000000000001E-2</v>
      </c>
      <c r="N172" s="1474">
        <v>1.0583105361806804</v>
      </c>
      <c r="O172" s="1474">
        <v>1.0583105361806804</v>
      </c>
    </row>
    <row r="173" spans="2:15">
      <c r="B173" s="1390">
        <v>37681</v>
      </c>
      <c r="C173" s="1391">
        <v>287.85500000000002</v>
      </c>
      <c r="D173" s="1391">
        <v>2144.4899999999998</v>
      </c>
      <c r="E173" s="1391">
        <v>1.0177701866474056</v>
      </c>
      <c r="F173" s="1391">
        <v>8.9652066328457565</v>
      </c>
      <c r="K173" s="1471">
        <v>42230</v>
      </c>
      <c r="L173" s="1472" t="s">
        <v>2127</v>
      </c>
      <c r="M173" s="1473">
        <v>5.2531000000000001E-2</v>
      </c>
      <c r="N173" s="1474">
        <v>1.0588664772884415</v>
      </c>
      <c r="O173" s="1474">
        <v>1.0588664772884415</v>
      </c>
    </row>
    <row r="174" spans="2:15">
      <c r="B174" s="1390">
        <v>37712</v>
      </c>
      <c r="C174" s="1391">
        <v>290.512</v>
      </c>
      <c r="D174" s="1391">
        <v>2165.29</v>
      </c>
      <c r="E174" s="1391">
        <v>1.0187159495984839</v>
      </c>
      <c r="F174" s="1391">
        <v>9.1329989883260918</v>
      </c>
      <c r="K174" s="1471">
        <v>42231</v>
      </c>
      <c r="L174" s="1472"/>
      <c r="M174" s="1473">
        <v>0</v>
      </c>
      <c r="N174" s="1474">
        <v>1.0588664772884415</v>
      </c>
      <c r="O174" s="1474">
        <v>1.0588664772884415</v>
      </c>
    </row>
    <row r="175" spans="2:15">
      <c r="B175" s="1390">
        <v>37742</v>
      </c>
      <c r="C175" s="1391">
        <v>289.74700000000001</v>
      </c>
      <c r="D175" s="1391">
        <v>2178.5</v>
      </c>
      <c r="E175" s="1391">
        <v>1.0196535248447016</v>
      </c>
      <c r="F175" s="1391">
        <v>9.312494610849793</v>
      </c>
      <c r="K175" s="1471">
        <v>42232</v>
      </c>
      <c r="L175" s="1472"/>
      <c r="M175" s="1473">
        <v>0</v>
      </c>
      <c r="N175" s="1474">
        <v>1.0588664772884415</v>
      </c>
      <c r="O175" s="1474">
        <v>1.0588664772884415</v>
      </c>
    </row>
    <row r="176" spans="2:15">
      <c r="B176" s="1390">
        <v>37773</v>
      </c>
      <c r="C176" s="1391">
        <v>286.84300000000002</v>
      </c>
      <c r="D176" s="1391">
        <v>2175.23</v>
      </c>
      <c r="E176" s="1391">
        <v>1.0185667947451373</v>
      </c>
      <c r="F176" s="1391">
        <v>9.4853977868546391</v>
      </c>
      <c r="K176" s="1471">
        <v>42233</v>
      </c>
      <c r="L176" s="1472" t="s">
        <v>2127</v>
      </c>
      <c r="M176" s="1473">
        <v>5.2531000000000001E-2</v>
      </c>
      <c r="N176" s="1474">
        <v>1.0594227104376259</v>
      </c>
      <c r="O176" s="1474">
        <v>1.0594227104376259</v>
      </c>
    </row>
    <row r="177" spans="2:15">
      <c r="B177" s="1390">
        <v>37803</v>
      </c>
      <c r="C177" s="1391">
        <v>285.649</v>
      </c>
      <c r="D177" s="1391">
        <v>2179.58</v>
      </c>
      <c r="E177" s="1391">
        <v>1.0208424747911398</v>
      </c>
      <c r="F177" s="1391">
        <v>9.6830969511110894</v>
      </c>
      <c r="K177" s="1471">
        <v>42234</v>
      </c>
      <c r="L177" s="1472" t="s">
        <v>2127</v>
      </c>
      <c r="M177" s="1473">
        <v>5.2531000000000001E-2</v>
      </c>
      <c r="N177" s="1474">
        <v>1.059979235781646</v>
      </c>
      <c r="O177" s="1474">
        <v>1.059979235781646</v>
      </c>
    </row>
    <row r="178" spans="2:15">
      <c r="B178" s="1390">
        <v>37834</v>
      </c>
      <c r="C178" s="1391">
        <v>286.73500000000001</v>
      </c>
      <c r="D178" s="1391">
        <v>2186.9899999999998</v>
      </c>
      <c r="E178" s="1391">
        <v>1.0177426111342931</v>
      </c>
      <c r="F178" s="1391">
        <v>9.8549003748903132</v>
      </c>
      <c r="K178" s="1471">
        <v>42235</v>
      </c>
      <c r="L178" s="1472" t="s">
        <v>2127</v>
      </c>
      <c r="M178" s="1473">
        <v>5.2531000000000001E-2</v>
      </c>
      <c r="N178" s="1474">
        <v>1.0605360534739945</v>
      </c>
      <c r="O178" s="1474">
        <v>1.0605360534739945</v>
      </c>
    </row>
    <row r="179" spans="2:15">
      <c r="B179" s="1390">
        <v>37865</v>
      </c>
      <c r="C179" s="1391">
        <v>290.12700000000001</v>
      </c>
      <c r="D179" s="1391">
        <v>2204.0500000000002</v>
      </c>
      <c r="E179" s="1391">
        <v>1.0167950902831471</v>
      </c>
      <c r="F179" s="1391">
        <v>10.020414316418016</v>
      </c>
      <c r="K179" s="1471">
        <v>42236</v>
      </c>
      <c r="L179" s="1472" t="s">
        <v>2127</v>
      </c>
      <c r="M179" s="1473">
        <v>5.2531000000000001E-2</v>
      </c>
      <c r="N179" s="1474">
        <v>1.061093163668245</v>
      </c>
      <c r="O179" s="1474">
        <v>1.061093163668245</v>
      </c>
    </row>
    <row r="180" spans="2:15">
      <c r="B180" s="1390">
        <v>37895</v>
      </c>
      <c r="C180" s="1391">
        <v>291.22899999999998</v>
      </c>
      <c r="D180" s="1391">
        <v>2210.44</v>
      </c>
      <c r="E180" s="1391">
        <v>1.0164205992977207</v>
      </c>
      <c r="F180" s="1391">
        <v>10.18495552470506</v>
      </c>
      <c r="K180" s="1471">
        <v>42237</v>
      </c>
      <c r="L180" s="1472" t="s">
        <v>2127</v>
      </c>
      <c r="M180" s="1473">
        <v>5.2531000000000001E-2</v>
      </c>
      <c r="N180" s="1474">
        <v>1.0616505665180516</v>
      </c>
      <c r="O180" s="1474">
        <v>1.0616505665180516</v>
      </c>
    </row>
    <row r="181" spans="2:15">
      <c r="B181" s="1390">
        <v>37926</v>
      </c>
      <c r="C181" s="1391">
        <v>292.65699999999998</v>
      </c>
      <c r="D181" s="1391">
        <v>2217.96</v>
      </c>
      <c r="E181" s="1391">
        <v>1.0134353138584866</v>
      </c>
      <c r="F181" s="1391">
        <v>10.3217935988142</v>
      </c>
      <c r="K181" s="1471">
        <v>42238</v>
      </c>
      <c r="L181" s="1472"/>
      <c r="M181" s="1473">
        <v>0</v>
      </c>
      <c r="N181" s="1474">
        <v>1.0616505665180516</v>
      </c>
      <c r="O181" s="1474">
        <v>1.0616505665180516</v>
      </c>
    </row>
    <row r="182" spans="2:15">
      <c r="B182" s="1390">
        <v>37956</v>
      </c>
      <c r="C182" s="1391">
        <v>294.45499999999998</v>
      </c>
      <c r="D182" s="1391">
        <v>2229.4899999999998</v>
      </c>
      <c r="E182" s="1391">
        <v>1.0137325047762002</v>
      </c>
      <c r="F182" s="1391">
        <v>10.463537678708869</v>
      </c>
      <c r="K182" s="1471">
        <v>42239</v>
      </c>
      <c r="L182" s="1472"/>
      <c r="M182" s="1473">
        <v>0</v>
      </c>
      <c r="N182" s="1474">
        <v>1.0616505665180516</v>
      </c>
      <c r="O182" s="1474">
        <v>1.0616505665180516</v>
      </c>
    </row>
    <row r="183" spans="2:15">
      <c r="B183" s="1390">
        <v>37987</v>
      </c>
      <c r="C183" s="1391">
        <v>297.03899999999999</v>
      </c>
      <c r="D183" s="1391">
        <v>2246.4299999999998</v>
      </c>
      <c r="E183" s="1391">
        <v>1.0126755135884871</v>
      </c>
      <c r="F183" s="1391">
        <v>10.59616839273899</v>
      </c>
      <c r="K183" s="1471">
        <v>42240</v>
      </c>
      <c r="L183" s="1472" t="s">
        <v>2127</v>
      </c>
      <c r="M183" s="1473">
        <v>5.2531000000000001E-2</v>
      </c>
      <c r="N183" s="1474">
        <v>1.0622082621771491</v>
      </c>
      <c r="O183" s="1474">
        <v>1.0622082621771491</v>
      </c>
    </row>
    <row r="184" spans="2:15">
      <c r="B184" s="1390">
        <v>38018</v>
      </c>
      <c r="C184" s="1391">
        <v>299.09699999999998</v>
      </c>
      <c r="D184" s="1391">
        <v>2260.13</v>
      </c>
      <c r="E184" s="1391">
        <v>1.0108439419169848</v>
      </c>
      <c r="F184" s="1391">
        <v>10.711072627332442</v>
      </c>
      <c r="K184" s="1471">
        <v>42241</v>
      </c>
      <c r="L184" s="1472" t="s">
        <v>2127</v>
      </c>
      <c r="M184" s="1473">
        <v>5.2531000000000001E-2</v>
      </c>
      <c r="N184" s="1474">
        <v>1.0627662507993534</v>
      </c>
      <c r="O184" s="1474">
        <v>1.0627662507993534</v>
      </c>
    </row>
    <row r="185" spans="2:15">
      <c r="B185" s="1390">
        <v>38047</v>
      </c>
      <c r="C185" s="1391">
        <v>302.48399999999998</v>
      </c>
      <c r="D185" s="1391">
        <v>2270.75</v>
      </c>
      <c r="E185" s="1391">
        <v>1.0137912342986635</v>
      </c>
      <c r="F185" s="1391">
        <v>10.858791539525985</v>
      </c>
      <c r="K185" s="1471">
        <v>42242</v>
      </c>
      <c r="L185" s="1472" t="s">
        <v>2127</v>
      </c>
      <c r="M185" s="1473">
        <v>5.2531000000000001E-2</v>
      </c>
      <c r="N185" s="1474">
        <v>1.0633245325385607</v>
      </c>
      <c r="O185" s="1474">
        <v>1.0633245325385607</v>
      </c>
    </row>
    <row r="186" spans="2:15">
      <c r="B186" s="1390">
        <v>38078</v>
      </c>
      <c r="C186" s="1391">
        <v>306.15100000000001</v>
      </c>
      <c r="D186" s="1391">
        <v>2279.15</v>
      </c>
      <c r="E186" s="1391">
        <v>1.011818501098614</v>
      </c>
      <c r="F186" s="1391">
        <v>10.987126179265493</v>
      </c>
      <c r="K186" s="1471">
        <v>42243</v>
      </c>
      <c r="L186" s="1472" t="s">
        <v>2127</v>
      </c>
      <c r="M186" s="1473">
        <v>5.2531000000000001E-2</v>
      </c>
      <c r="N186" s="1474">
        <v>1.0638831075487485</v>
      </c>
      <c r="O186" s="1474">
        <v>1.0638831075487485</v>
      </c>
    </row>
    <row r="187" spans="2:15">
      <c r="B187" s="1390">
        <v>38108</v>
      </c>
      <c r="C187" s="1391">
        <v>310.15199999999999</v>
      </c>
      <c r="D187" s="1391">
        <v>2290.77</v>
      </c>
      <c r="E187" s="1391">
        <v>1.0122780474663127</v>
      </c>
      <c r="F187" s="1391">
        <v>11.122026636012881</v>
      </c>
      <c r="K187" s="1471">
        <v>42244</v>
      </c>
      <c r="L187" s="1472" t="s">
        <v>2127</v>
      </c>
      <c r="M187" s="1473">
        <v>5.2531000000000001E-2</v>
      </c>
      <c r="N187" s="1474">
        <v>1.0644419759839749</v>
      </c>
      <c r="O187" s="1474">
        <v>1.0644419759839749</v>
      </c>
    </row>
    <row r="188" spans="2:15">
      <c r="B188" s="1390">
        <v>38139</v>
      </c>
      <c r="C188" s="1391">
        <v>314.41899999999998</v>
      </c>
      <c r="D188" s="1391">
        <v>2307.0300000000002</v>
      </c>
      <c r="E188" s="1391">
        <v>1.0122988884857291</v>
      </c>
      <c r="F188" s="1391">
        <v>11.258815201344513</v>
      </c>
      <c r="K188" s="1471">
        <v>42245</v>
      </c>
      <c r="L188" s="1472"/>
      <c r="M188" s="1473">
        <v>0</v>
      </c>
      <c r="N188" s="1474">
        <v>1.0644419759839749</v>
      </c>
      <c r="O188" s="1474">
        <v>1.0644419759839749</v>
      </c>
    </row>
    <row r="189" spans="2:15">
      <c r="B189" s="1390">
        <v>38169</v>
      </c>
      <c r="C189" s="1391">
        <v>318.53199999999998</v>
      </c>
      <c r="D189" s="1391">
        <v>2328.02</v>
      </c>
      <c r="E189" s="1391">
        <v>1.012868893920805</v>
      </c>
      <c r="F189" s="1391">
        <v>11.403703699844563</v>
      </c>
      <c r="K189" s="1471">
        <v>42246</v>
      </c>
      <c r="L189" s="1472"/>
      <c r="M189" s="1473">
        <v>0</v>
      </c>
      <c r="N189" s="1474">
        <v>1.0644419759839749</v>
      </c>
      <c r="O189" s="1474">
        <v>1.0644419759839749</v>
      </c>
    </row>
    <row r="190" spans="2:15">
      <c r="B190" s="1390">
        <v>38200</v>
      </c>
      <c r="C190" s="1391">
        <v>322.41199999999998</v>
      </c>
      <c r="D190" s="1391">
        <v>2344.08</v>
      </c>
      <c r="E190" s="1391">
        <v>1.0129358583775749</v>
      </c>
      <c r="F190" s="1391">
        <v>11.551220395885579</v>
      </c>
      <c r="K190" s="1471">
        <v>42247</v>
      </c>
      <c r="L190" s="1472" t="s">
        <v>2127</v>
      </c>
      <c r="M190" s="1473">
        <v>5.2531000000000001E-2</v>
      </c>
      <c r="N190" s="1474">
        <v>1.065001137998379</v>
      </c>
      <c r="O190" s="1474">
        <v>1.065001137998379</v>
      </c>
    </row>
    <row r="191" spans="2:15">
      <c r="B191" s="1390">
        <v>38231</v>
      </c>
      <c r="C191" s="1391">
        <v>324.65100000000001</v>
      </c>
      <c r="D191" s="1391">
        <v>2351.8200000000002</v>
      </c>
      <c r="E191" s="1391">
        <v>1.0125132709021758</v>
      </c>
      <c r="F191" s="1391">
        <v>11.695763945950034</v>
      </c>
      <c r="K191" s="1471">
        <v>42248</v>
      </c>
      <c r="L191" s="1472" t="s">
        <v>2127</v>
      </c>
      <c r="M191" s="1473">
        <v>5.2531000000000001E-2</v>
      </c>
      <c r="N191" s="1474">
        <v>1.065560593746181</v>
      </c>
      <c r="O191" s="1474">
        <v>1.065560593746181</v>
      </c>
    </row>
    <row r="192" spans="2:15">
      <c r="B192" s="1390">
        <v>38261</v>
      </c>
      <c r="C192" s="1391">
        <v>325.92500000000001</v>
      </c>
      <c r="D192" s="1391">
        <v>2362.17</v>
      </c>
      <c r="E192" s="1391">
        <v>1.0121322386789289</v>
      </c>
      <c r="F192" s="1391">
        <v>11.837659745674712</v>
      </c>
      <c r="K192" s="1471">
        <v>42249</v>
      </c>
      <c r="L192" s="1472" t="s">
        <v>2127</v>
      </c>
      <c r="M192" s="1473">
        <v>5.2531000000000001E-2</v>
      </c>
      <c r="N192" s="1474">
        <v>1.0661203433816817</v>
      </c>
      <c r="O192" s="1474">
        <v>1.0661203433816817</v>
      </c>
    </row>
    <row r="193" spans="2:15">
      <c r="B193" s="1390">
        <v>38292</v>
      </c>
      <c r="C193" s="1391">
        <v>328.58800000000002</v>
      </c>
      <c r="D193" s="1391">
        <v>2378.4699999999998</v>
      </c>
      <c r="E193" s="1391">
        <v>1.0125098562166484</v>
      </c>
      <c r="F193" s="1391">
        <v>11.985747167034708</v>
      </c>
      <c r="K193" s="1471">
        <v>42250</v>
      </c>
      <c r="L193" s="1472" t="s">
        <v>2127</v>
      </c>
      <c r="M193" s="1473">
        <v>5.2531000000000001E-2</v>
      </c>
      <c r="N193" s="1474">
        <v>1.0666803870592636</v>
      </c>
      <c r="O193" s="1474">
        <v>1.0666803870592636</v>
      </c>
    </row>
    <row r="194" spans="2:15">
      <c r="B194" s="1390">
        <v>38322</v>
      </c>
      <c r="C194" s="1391">
        <v>331.005</v>
      </c>
      <c r="D194" s="1391">
        <v>2398.92</v>
      </c>
      <c r="E194" s="1391">
        <v>1.0148282315457626</v>
      </c>
      <c r="F194" s="1391">
        <v>12.163474601276468</v>
      </c>
      <c r="K194" s="1471">
        <v>42251</v>
      </c>
      <c r="L194" s="1472" t="s">
        <v>2127</v>
      </c>
      <c r="M194" s="1473">
        <v>5.2531000000000001E-2</v>
      </c>
      <c r="N194" s="1474">
        <v>1.0672407249333897</v>
      </c>
      <c r="O194" s="1474">
        <v>1.0672407249333897</v>
      </c>
    </row>
    <row r="195" spans="2:15">
      <c r="B195" s="1390">
        <v>38353</v>
      </c>
      <c r="C195" s="1391">
        <v>332.298</v>
      </c>
      <c r="D195" s="1391">
        <v>2412.83</v>
      </c>
      <c r="E195" s="1391">
        <v>1.0138388229391033</v>
      </c>
      <c r="F195" s="1391">
        <v>12.331802772607814</v>
      </c>
      <c r="K195" s="1471">
        <v>42252</v>
      </c>
      <c r="L195" s="1472"/>
      <c r="M195" s="1473">
        <v>0</v>
      </c>
      <c r="N195" s="1474">
        <v>1.0672407249333897</v>
      </c>
      <c r="O195" s="1474">
        <v>1.0672407249333897</v>
      </c>
    </row>
    <row r="196" spans="2:15">
      <c r="B196" s="1390">
        <v>38384</v>
      </c>
      <c r="C196" s="1391">
        <v>333.28800000000001</v>
      </c>
      <c r="D196" s="1391">
        <v>2427.0700000000002</v>
      </c>
      <c r="E196" s="1391">
        <v>1.0121818576713373</v>
      </c>
      <c r="F196" s="1391">
        <v>12.482027038814724</v>
      </c>
      <c r="K196" s="1471">
        <v>42253</v>
      </c>
      <c r="L196" s="1472"/>
      <c r="M196" s="1473">
        <v>0</v>
      </c>
      <c r="N196" s="1474">
        <v>1.0672407249333897</v>
      </c>
      <c r="O196" s="1474">
        <v>1.0672407249333897</v>
      </c>
    </row>
    <row r="197" spans="2:15">
      <c r="B197" s="1390">
        <v>38412</v>
      </c>
      <c r="C197" s="1391">
        <v>336.12299999999999</v>
      </c>
      <c r="D197" s="1391">
        <v>2441.87</v>
      </c>
      <c r="E197" s="1391">
        <v>1.0152817807540921</v>
      </c>
      <c r="F197" s="1391">
        <v>12.672774639388541</v>
      </c>
      <c r="G197" s="67"/>
      <c r="K197" s="1471">
        <v>42254</v>
      </c>
      <c r="L197" s="1472"/>
      <c r="M197" s="1473">
        <v>0</v>
      </c>
      <c r="N197" s="1474">
        <v>1.0672407249333897</v>
      </c>
      <c r="O197" s="1474">
        <v>1.0672407249333897</v>
      </c>
    </row>
    <row r="198" spans="2:15">
      <c r="B198" s="1390">
        <v>38443</v>
      </c>
      <c r="C198" s="1391">
        <v>339.03</v>
      </c>
      <c r="D198" s="1391">
        <v>2463.11</v>
      </c>
      <c r="E198" s="1391">
        <v>1.0141152901477553</v>
      </c>
      <c r="F198" s="1391">
        <v>12.851654530400625</v>
      </c>
      <c r="K198" s="1471">
        <v>42255</v>
      </c>
      <c r="L198" s="1472" t="s">
        <v>2127</v>
      </c>
      <c r="M198" s="1473">
        <v>5.2531000000000001E-2</v>
      </c>
      <c r="N198" s="1474">
        <v>1.0678013571586045</v>
      </c>
      <c r="O198" s="1474">
        <v>1.0678013571586045</v>
      </c>
    </row>
    <row r="199" spans="2:15">
      <c r="B199" s="1390">
        <v>38473</v>
      </c>
      <c r="C199" s="1391">
        <v>338.29899999999998</v>
      </c>
      <c r="D199" s="1391">
        <v>2475.1799999999998</v>
      </c>
      <c r="E199" s="1391">
        <v>1.0150306502044895</v>
      </c>
      <c r="F199" s="1391">
        <v>13.044823254196018</v>
      </c>
      <c r="K199" s="1471">
        <v>42256</v>
      </c>
      <c r="L199" s="1472" t="s">
        <v>2127</v>
      </c>
      <c r="M199" s="1473">
        <v>5.2531000000000001E-2</v>
      </c>
      <c r="N199" s="1474">
        <v>1.0683622838895335</v>
      </c>
      <c r="O199" s="1474">
        <v>1.0683622838895335</v>
      </c>
    </row>
    <row r="200" spans="2:15">
      <c r="B200" s="1390">
        <v>38504</v>
      </c>
      <c r="C200" s="1391">
        <v>336.80099999999999</v>
      </c>
      <c r="D200" s="1391">
        <v>2474.6799999999998</v>
      </c>
      <c r="E200" s="1391">
        <v>1.0158560276185216</v>
      </c>
      <c r="F200" s="1391">
        <v>13.251662331993282</v>
      </c>
      <c r="K200" s="1471">
        <v>42257</v>
      </c>
      <c r="L200" s="1472" t="s">
        <v>2127</v>
      </c>
      <c r="M200" s="1473">
        <v>5.2531000000000001E-2</v>
      </c>
      <c r="N200" s="1474">
        <v>1.0689235052808834</v>
      </c>
      <c r="O200" s="1474">
        <v>1.0689235052808834</v>
      </c>
    </row>
    <row r="201" spans="2:15">
      <c r="B201" s="1390">
        <v>38534</v>
      </c>
      <c r="C201" s="1391">
        <v>335.66300000000001</v>
      </c>
      <c r="D201" s="1391">
        <v>2480.87</v>
      </c>
      <c r="E201" s="1391">
        <v>1.0151134516871545</v>
      </c>
      <c r="F201" s="1391">
        <v>13.451940690422347</v>
      </c>
      <c r="K201" s="1471">
        <v>42258</v>
      </c>
      <c r="L201" s="1472" t="s">
        <v>2127</v>
      </c>
      <c r="M201" s="1473">
        <v>5.2531000000000001E-2</v>
      </c>
      <c r="N201" s="1474">
        <v>1.0694850214874425</v>
      </c>
      <c r="O201" s="1474">
        <v>1.0694850214874425</v>
      </c>
    </row>
    <row r="202" spans="2:15">
      <c r="B202" s="1390">
        <v>38565</v>
      </c>
      <c r="C202" s="1391">
        <v>333.47399999999999</v>
      </c>
      <c r="D202" s="1391">
        <v>2485.09</v>
      </c>
      <c r="E202" s="1391">
        <v>1.0165848332092207</v>
      </c>
      <c r="F202" s="1391">
        <v>13.675038883113331</v>
      </c>
      <c r="K202" s="1471">
        <v>42259</v>
      </c>
      <c r="L202" s="1472"/>
      <c r="M202" s="1473">
        <v>0</v>
      </c>
      <c r="N202" s="1474">
        <v>1.0694850214874425</v>
      </c>
      <c r="O202" s="1474">
        <v>1.0694850214874425</v>
      </c>
    </row>
    <row r="203" spans="2:15">
      <c r="B203" s="1390">
        <v>38596</v>
      </c>
      <c r="C203" s="1391">
        <v>331.69</v>
      </c>
      <c r="D203" s="1391">
        <v>2493.79</v>
      </c>
      <c r="E203" s="1391">
        <v>1.0150313602253485</v>
      </c>
      <c r="F203" s="1391">
        <v>13.880593318661054</v>
      </c>
      <c r="K203" s="1471">
        <v>42260</v>
      </c>
      <c r="L203" s="1472"/>
      <c r="M203" s="1473">
        <v>0</v>
      </c>
      <c r="N203" s="1474">
        <v>1.0694850214874425</v>
      </c>
      <c r="O203" s="1474">
        <v>1.0694850214874425</v>
      </c>
    </row>
    <row r="204" spans="2:15">
      <c r="B204" s="1390">
        <v>38626</v>
      </c>
      <c r="C204" s="1391">
        <v>333.69400000000002</v>
      </c>
      <c r="D204" s="1391">
        <v>2512.4899999999998</v>
      </c>
      <c r="E204" s="1391">
        <v>1.0140716431638075</v>
      </c>
      <c r="F204" s="1391">
        <v>14.075916074743184</v>
      </c>
      <c r="K204" s="1471">
        <v>42261</v>
      </c>
      <c r="L204" s="1472" t="s">
        <v>2127</v>
      </c>
      <c r="M204" s="1473">
        <v>5.2531000000000001E-2</v>
      </c>
      <c r="N204" s="1474">
        <v>1.0700468326640802</v>
      </c>
      <c r="O204" s="1474">
        <v>1.0700468326640802</v>
      </c>
    </row>
    <row r="205" spans="2:15">
      <c r="B205" s="1390">
        <v>38657</v>
      </c>
      <c r="C205" s="1391">
        <v>335.03300000000002</v>
      </c>
      <c r="D205" s="1391">
        <v>2526.31</v>
      </c>
      <c r="E205" s="1391">
        <v>1.0138104099310956</v>
      </c>
      <c r="F205" s="1391">
        <v>14.270310245891086</v>
      </c>
      <c r="K205" s="1471">
        <v>42262</v>
      </c>
      <c r="L205" s="1472" t="s">
        <v>2127</v>
      </c>
      <c r="M205" s="1473">
        <v>5.2531000000000001E-2</v>
      </c>
      <c r="N205" s="1474">
        <v>1.0706089389657469</v>
      </c>
      <c r="O205" s="1474">
        <v>1.0706089389657469</v>
      </c>
    </row>
    <row r="206" spans="2:15">
      <c r="B206" s="1390">
        <v>38687</v>
      </c>
      <c r="C206" s="1391">
        <v>335.00599999999997</v>
      </c>
      <c r="D206" s="1391">
        <v>2535.4</v>
      </c>
      <c r="E206" s="1391">
        <v>1.0147357208231795</v>
      </c>
      <c r="F206" s="1391">
        <v>14.480593553734694</v>
      </c>
      <c r="K206" s="1471">
        <v>42263</v>
      </c>
      <c r="L206" s="1472" t="s">
        <v>2127</v>
      </c>
      <c r="M206" s="1473">
        <v>5.2531000000000001E-2</v>
      </c>
      <c r="N206" s="1474">
        <v>1.071171340547475</v>
      </c>
      <c r="O206" s="1474">
        <v>1.071171340547475</v>
      </c>
    </row>
    <row r="207" spans="2:15">
      <c r="B207" s="1390">
        <v>38718</v>
      </c>
      <c r="C207" s="1391">
        <v>338.08300000000003</v>
      </c>
      <c r="D207" s="1391">
        <v>2550.36</v>
      </c>
      <c r="E207" s="1391">
        <v>1.0142931741687891</v>
      </c>
      <c r="F207" s="1391">
        <v>14.687567199465668</v>
      </c>
      <c r="K207" s="1471">
        <v>42264</v>
      </c>
      <c r="L207" s="1472" t="s">
        <v>2127</v>
      </c>
      <c r="M207" s="1473">
        <v>5.2531000000000001E-2</v>
      </c>
      <c r="N207" s="1474">
        <v>1.071734037564378</v>
      </c>
      <c r="O207" s="1474">
        <v>1.071734037564378</v>
      </c>
    </row>
    <row r="208" spans="2:15">
      <c r="B208" s="1390">
        <v>38749</v>
      </c>
      <c r="C208" s="1391">
        <v>338.12799999999999</v>
      </c>
      <c r="D208" s="1391">
        <v>2560.8200000000002</v>
      </c>
      <c r="E208" s="1391">
        <v>1.0114506306443078</v>
      </c>
      <c r="F208" s="1391">
        <v>14.855749106530201</v>
      </c>
      <c r="K208" s="1471">
        <v>42265</v>
      </c>
      <c r="L208" s="1472" t="s">
        <v>2127</v>
      </c>
      <c r="M208" s="1473">
        <v>5.2531000000000001E-2</v>
      </c>
      <c r="N208" s="1474">
        <v>1.072297030171651</v>
      </c>
      <c r="O208" s="1474">
        <v>1.072297030171651</v>
      </c>
    </row>
    <row r="209" spans="2:15">
      <c r="B209" s="1390">
        <v>38777</v>
      </c>
      <c r="C209" s="1391">
        <v>337.339</v>
      </c>
      <c r="D209" s="1391">
        <v>2571.83</v>
      </c>
      <c r="E209" s="1391">
        <v>1.0142230199009199</v>
      </c>
      <c r="F209" s="1391">
        <v>15.067042721715453</v>
      </c>
      <c r="K209" s="1471">
        <v>42266</v>
      </c>
      <c r="L209" s="1472"/>
      <c r="M209" s="1473">
        <v>0</v>
      </c>
      <c r="N209" s="1474">
        <v>1.072297030171651</v>
      </c>
      <c r="O209" s="1474">
        <v>1.072297030171651</v>
      </c>
    </row>
    <row r="210" spans="2:15">
      <c r="B210" s="1390">
        <v>38808</v>
      </c>
      <c r="C210" s="1391">
        <v>335.92099999999999</v>
      </c>
      <c r="D210" s="1391">
        <v>2577.23</v>
      </c>
      <c r="E210" s="1391">
        <v>1.0107787821533378</v>
      </c>
      <c r="F210" s="1391">
        <v>15.229447092907858</v>
      </c>
      <c r="K210" s="1471">
        <v>42267</v>
      </c>
      <c r="L210" s="1472"/>
      <c r="M210" s="1473">
        <v>0</v>
      </c>
      <c r="N210" s="1474">
        <v>1.072297030171651</v>
      </c>
      <c r="O210" s="1474">
        <v>1.072297030171651</v>
      </c>
    </row>
    <row r="211" spans="2:15">
      <c r="B211" s="1390">
        <v>38838</v>
      </c>
      <c r="C211" s="1391">
        <v>337.185</v>
      </c>
      <c r="D211" s="1391">
        <v>2579.81</v>
      </c>
      <c r="E211" s="1391">
        <v>1.0128136552027243</v>
      </c>
      <c r="F211" s="1391">
        <v>15.424591976884511</v>
      </c>
      <c r="K211" s="1471">
        <v>42268</v>
      </c>
      <c r="L211" s="1472" t="s">
        <v>2127</v>
      </c>
      <c r="M211" s="1473">
        <v>5.2531000000000001E-2</v>
      </c>
      <c r="N211" s="1474">
        <v>1.0728603185245704</v>
      </c>
      <c r="O211" s="1474">
        <v>1.0728603185245704</v>
      </c>
    </row>
    <row r="212" spans="2:15">
      <c r="B212" s="1390">
        <v>38869</v>
      </c>
      <c r="C212" s="1391">
        <v>339.71199999999999</v>
      </c>
      <c r="D212" s="1391">
        <v>2574.39</v>
      </c>
      <c r="E212" s="1391">
        <v>1.0118439390435949</v>
      </c>
      <c r="F212" s="1391">
        <v>15.607279904031055</v>
      </c>
      <c r="K212" s="1471">
        <v>42269</v>
      </c>
      <c r="L212" s="1472" t="s">
        <v>2127</v>
      </c>
      <c r="M212" s="1473">
        <v>5.2531000000000001E-2</v>
      </c>
      <c r="N212" s="1474">
        <v>1.0734239027784946</v>
      </c>
      <c r="O212" s="1474">
        <v>1.0734239027784946</v>
      </c>
    </row>
    <row r="213" spans="2:15">
      <c r="B213" s="1390">
        <v>38899</v>
      </c>
      <c r="C213" s="1391">
        <v>340.31200000000001</v>
      </c>
      <c r="D213" s="1391">
        <v>2579.2800000000002</v>
      </c>
      <c r="E213" s="1391">
        <v>1.0116996590630269</v>
      </c>
      <c r="F213" s="1391">
        <v>15.78987975780945</v>
      </c>
      <c r="K213" s="1471">
        <v>42270</v>
      </c>
      <c r="L213" s="1472" t="s">
        <v>2127</v>
      </c>
      <c r="M213" s="1473">
        <v>5.2531000000000001E-2</v>
      </c>
      <c r="N213" s="1474">
        <v>1.0739877830888631</v>
      </c>
      <c r="O213" s="1474">
        <v>1.0739877830888631</v>
      </c>
    </row>
    <row r="214" spans="2:15">
      <c r="B214" s="1390">
        <v>38930</v>
      </c>
      <c r="C214" s="1391">
        <v>341.57400000000001</v>
      </c>
      <c r="D214" s="1391">
        <v>2580.5700000000002</v>
      </c>
      <c r="E214" s="1391">
        <v>1.012562646303421</v>
      </c>
      <c r="F214" s="1391">
        <v>15.988242432380357</v>
      </c>
      <c r="K214" s="1471">
        <v>42271</v>
      </c>
      <c r="L214" s="1472" t="s">
        <v>2127</v>
      </c>
      <c r="M214" s="1473">
        <v>5.2531000000000001E-2</v>
      </c>
      <c r="N214" s="1474">
        <v>1.0745519596111974</v>
      </c>
      <c r="O214" s="1474">
        <v>1.0745519596111974</v>
      </c>
    </row>
    <row r="215" spans="2:15" ht="13.5" customHeight="1">
      <c r="B215" s="1390">
        <v>38961</v>
      </c>
      <c r="C215" s="1391">
        <v>342.56099999999998</v>
      </c>
      <c r="D215" s="1391">
        <v>2585.9899999999998</v>
      </c>
      <c r="E215" s="1391">
        <v>1.0105730983323107</v>
      </c>
      <c r="F215" s="1391">
        <v>16.157287691778738</v>
      </c>
      <c r="K215" s="1471">
        <v>42272</v>
      </c>
      <c r="L215" s="1472" t="s">
        <v>2127</v>
      </c>
      <c r="M215" s="1473">
        <v>5.2531000000000001E-2</v>
      </c>
      <c r="N215" s="1474">
        <v>1.0751164325011009</v>
      </c>
      <c r="O215" s="1474">
        <v>1.0751164325011009</v>
      </c>
    </row>
    <row r="216" spans="2:15">
      <c r="B216" s="1390">
        <v>38991</v>
      </c>
      <c r="C216" s="1391">
        <v>344.15499999999997</v>
      </c>
      <c r="D216" s="1391">
        <v>2594.52</v>
      </c>
      <c r="E216" s="1391">
        <v>1.0109424441222723</v>
      </c>
      <c r="F216" s="1391">
        <v>16.334087909513503</v>
      </c>
      <c r="K216" s="1471">
        <v>42273</v>
      </c>
      <c r="L216" s="1472"/>
      <c r="M216" s="1473">
        <v>0</v>
      </c>
      <c r="N216" s="1474">
        <v>1.0751164325011009</v>
      </c>
      <c r="O216" s="1474">
        <v>1.0751164325011009</v>
      </c>
    </row>
    <row r="217" spans="2:15">
      <c r="B217" s="1390">
        <v>39022</v>
      </c>
      <c r="C217" s="1391">
        <v>346.74599999999998</v>
      </c>
      <c r="D217" s="1391">
        <v>2602.56</v>
      </c>
      <c r="E217" s="1391">
        <v>1.0102060517349183</v>
      </c>
      <c r="F217" s="1391">
        <v>16.500794455760701</v>
      </c>
      <c r="K217" s="1471">
        <v>42274</v>
      </c>
      <c r="L217" s="1472"/>
      <c r="M217" s="1473">
        <v>0</v>
      </c>
      <c r="N217" s="1474">
        <v>1.0751164325011009</v>
      </c>
      <c r="O217" s="1474">
        <v>1.0751164325011009</v>
      </c>
    </row>
    <row r="218" spans="2:15">
      <c r="B218" s="1390">
        <v>39052</v>
      </c>
      <c r="C218" s="1391">
        <v>347.84199999999998</v>
      </c>
      <c r="D218" s="1391">
        <v>2615.0500000000002</v>
      </c>
      <c r="E218" s="1391">
        <v>1.0098788606332807</v>
      </c>
      <c r="F218" s="1391">
        <v>16.663803504527571</v>
      </c>
      <c r="K218" s="1471">
        <v>42275</v>
      </c>
      <c r="L218" s="1472" t="s">
        <v>2127</v>
      </c>
      <c r="M218" s="1473">
        <v>5.2531000000000001E-2</v>
      </c>
      <c r="N218" s="1474">
        <v>1.0756812019142581</v>
      </c>
      <c r="O218" s="1474">
        <v>1.0756812019142581</v>
      </c>
    </row>
    <row r="219" spans="2:15">
      <c r="B219" s="1390">
        <v>39083</v>
      </c>
      <c r="C219" s="1391">
        <v>349.59300000000002</v>
      </c>
      <c r="D219" s="1391">
        <v>2626.56</v>
      </c>
      <c r="E219" s="1391">
        <v>1.0108280266006449</v>
      </c>
      <c r="F219" s="1391">
        <v>16.844239612142516</v>
      </c>
      <c r="K219" s="1471">
        <v>42276</v>
      </c>
      <c r="L219" s="1472" t="s">
        <v>2127</v>
      </c>
      <c r="M219" s="1473">
        <v>5.2531000000000001E-2</v>
      </c>
      <c r="N219" s="1474">
        <v>1.0762462680064357</v>
      </c>
      <c r="O219" s="1474">
        <v>1.0762462680064357</v>
      </c>
    </row>
    <row r="220" spans="2:15">
      <c r="B220" s="1390">
        <v>39114</v>
      </c>
      <c r="C220" s="1391">
        <v>350.524</v>
      </c>
      <c r="D220" s="1391">
        <v>2638.12</v>
      </c>
      <c r="E220" s="1391">
        <v>1.008724844950982</v>
      </c>
      <c r="F220" s="1391">
        <v>16.991202991075649</v>
      </c>
      <c r="K220" s="1471">
        <v>42277</v>
      </c>
      <c r="L220" s="1472" t="s">
        <v>2127</v>
      </c>
      <c r="M220" s="1473">
        <v>5.2531000000000001E-2</v>
      </c>
      <c r="N220" s="1474">
        <v>1.0768116309334823</v>
      </c>
      <c r="O220" s="1474">
        <v>1.0768116309334823</v>
      </c>
    </row>
    <row r="221" spans="2:15">
      <c r="B221" s="1390">
        <v>39142</v>
      </c>
      <c r="C221" s="1391">
        <v>351.71699999999998</v>
      </c>
      <c r="D221" s="1391">
        <v>2647.88</v>
      </c>
      <c r="E221" s="1391">
        <v>1.0105222327764332</v>
      </c>
      <c r="F221" s="1391">
        <v>17.169988384099376</v>
      </c>
      <c r="K221" s="1471">
        <v>42278</v>
      </c>
      <c r="L221" s="1472" t="s">
        <v>2127</v>
      </c>
      <c r="M221" s="1473">
        <v>5.2531000000000001E-2</v>
      </c>
      <c r="N221" s="1474">
        <v>1.0773772908513279</v>
      </c>
      <c r="O221" s="1474">
        <v>1.0773772908513279</v>
      </c>
    </row>
    <row r="222" spans="2:15">
      <c r="B222" s="1390">
        <v>39173</v>
      </c>
      <c r="C222" s="1391">
        <v>351.86900000000003</v>
      </c>
      <c r="D222" s="1391">
        <v>2654.5</v>
      </c>
      <c r="E222" s="1391">
        <v>1.0094482340398951</v>
      </c>
      <c r="F222" s="1391">
        <v>17.332214452814629</v>
      </c>
      <c r="K222" s="1471">
        <v>42279</v>
      </c>
      <c r="L222" s="1472" t="s">
        <v>2127</v>
      </c>
      <c r="M222" s="1473">
        <v>5.2531000000000001E-2</v>
      </c>
      <c r="N222" s="1474">
        <v>1.0779432479159849</v>
      </c>
      <c r="O222" s="1474">
        <v>1.0779432479159849</v>
      </c>
    </row>
    <row r="223" spans="2:15">
      <c r="B223" s="1390">
        <v>39203</v>
      </c>
      <c r="C223" s="1391">
        <v>352.02</v>
      </c>
      <c r="D223" s="1391">
        <v>2661.93</v>
      </c>
      <c r="E223" s="1391">
        <v>1.0102807696314628</v>
      </c>
      <c r="F223" s="1391">
        <v>17.510402956807127</v>
      </c>
      <c r="K223" s="1471">
        <v>42280</v>
      </c>
      <c r="L223" s="1472"/>
      <c r="M223" s="1473">
        <v>0</v>
      </c>
      <c r="N223" s="1474">
        <v>1.0779432479159849</v>
      </c>
      <c r="O223" s="1474">
        <v>1.0779432479159849</v>
      </c>
    </row>
    <row r="224" spans="2:15">
      <c r="B224" s="1390">
        <v>39234</v>
      </c>
      <c r="C224" s="1391">
        <v>352.93599999999998</v>
      </c>
      <c r="D224" s="1391">
        <v>2669.38</v>
      </c>
      <c r="E224" s="1391">
        <v>1.0090562894719608</v>
      </c>
      <c r="F224" s="1391">
        <v>17.668982234754651</v>
      </c>
      <c r="K224" s="1471">
        <v>42281</v>
      </c>
      <c r="L224" s="1472"/>
      <c r="M224" s="1473">
        <v>0</v>
      </c>
      <c r="N224" s="1474">
        <v>1.0779432479159849</v>
      </c>
      <c r="O224" s="1474">
        <v>1.0779432479159849</v>
      </c>
    </row>
    <row r="225" spans="2:15">
      <c r="B225" s="1390">
        <v>39264</v>
      </c>
      <c r="C225" s="1391">
        <v>353.92</v>
      </c>
      <c r="D225" s="1391">
        <v>2675.79</v>
      </c>
      <c r="E225" s="1391">
        <v>1.0097263257608722</v>
      </c>
      <c r="F225" s="1391">
        <v>17.840836511832936</v>
      </c>
      <c r="K225" s="1471">
        <v>42282</v>
      </c>
      <c r="L225" s="1472" t="s">
        <v>2127</v>
      </c>
      <c r="M225" s="1473">
        <v>5.2531000000000001E-2</v>
      </c>
      <c r="N225" s="1474">
        <v>1.0785095022835478</v>
      </c>
      <c r="O225" s="1474">
        <v>1.0785095022835478</v>
      </c>
    </row>
    <row r="226" spans="2:15">
      <c r="B226" s="1390">
        <v>39295</v>
      </c>
      <c r="C226" s="1391">
        <v>357.404</v>
      </c>
      <c r="D226" s="1391">
        <v>2688.37</v>
      </c>
      <c r="E226" s="1391">
        <v>1.0099263513682912</v>
      </c>
      <c r="F226" s="1391">
        <v>18.017930923753628</v>
      </c>
      <c r="K226" s="1471">
        <v>42283</v>
      </c>
      <c r="L226" s="1472" t="s">
        <v>2127</v>
      </c>
      <c r="M226" s="1473">
        <v>5.2531000000000001E-2</v>
      </c>
      <c r="N226" s="1474">
        <v>1.0790760541101925</v>
      </c>
      <c r="O226" s="1474">
        <v>1.0790760541101925</v>
      </c>
    </row>
    <row r="227" spans="2:15">
      <c r="B227" s="1390">
        <v>39326</v>
      </c>
      <c r="C227" s="1391">
        <v>361.99700000000001</v>
      </c>
      <c r="D227" s="1391">
        <v>2693.21</v>
      </c>
      <c r="E227" s="1391">
        <v>1.0080496134415582</v>
      </c>
      <c r="F227" s="1391">
        <v>18.162968302706542</v>
      </c>
      <c r="K227" s="1471">
        <v>42284</v>
      </c>
      <c r="L227" s="1472" t="s">
        <v>2127</v>
      </c>
      <c r="M227" s="1473">
        <v>5.2531000000000001E-2</v>
      </c>
      <c r="N227" s="1474">
        <v>1.0796429035521771</v>
      </c>
      <c r="O227" s="1474">
        <v>1.0796429035521771</v>
      </c>
    </row>
    <row r="228" spans="2:15">
      <c r="B228" s="1390">
        <v>39356</v>
      </c>
      <c r="C228" s="1391">
        <v>365.79399999999998</v>
      </c>
      <c r="D228" s="1391">
        <v>2701.29</v>
      </c>
      <c r="E228" s="1391">
        <v>1.0092949262855189</v>
      </c>
      <c r="F228" s="1391">
        <v>18.331791754206414</v>
      </c>
      <c r="K228" s="1471">
        <v>42285</v>
      </c>
      <c r="L228" s="1472" t="s">
        <v>2127</v>
      </c>
      <c r="M228" s="1473">
        <v>5.2531000000000001E-2</v>
      </c>
      <c r="N228" s="1474">
        <v>1.0802100507658421</v>
      </c>
      <c r="O228" s="1474">
        <v>1.0802100507658421</v>
      </c>
    </row>
    <row r="229" spans="2:15">
      <c r="B229" s="1390">
        <v>39387</v>
      </c>
      <c r="C229" s="1391">
        <v>368.334</v>
      </c>
      <c r="D229" s="1391">
        <v>2711.55</v>
      </c>
      <c r="E229" s="1391">
        <v>1.0084467048252397</v>
      </c>
      <c r="F229" s="1391">
        <v>18.486634988071959</v>
      </c>
      <c r="K229" s="1471">
        <v>42286</v>
      </c>
      <c r="L229" s="1472" t="s">
        <v>2127</v>
      </c>
      <c r="M229" s="1473">
        <v>5.2531000000000001E-2</v>
      </c>
      <c r="N229" s="1474">
        <v>1.08077749590761</v>
      </c>
      <c r="O229" s="1474">
        <v>1.08077749590761</v>
      </c>
    </row>
    <row r="230" spans="2:15">
      <c r="B230" s="1390">
        <v>39417</v>
      </c>
      <c r="C230" s="1391">
        <v>374.815</v>
      </c>
      <c r="D230" s="1391">
        <v>2731.62</v>
      </c>
      <c r="E230" s="1391">
        <v>1.0084467048252395</v>
      </c>
      <c r="F230" s="1391">
        <v>18.642786137028146</v>
      </c>
      <c r="K230" s="1471">
        <v>42287</v>
      </c>
      <c r="L230" s="1472"/>
      <c r="M230" s="1473">
        <v>0</v>
      </c>
      <c r="N230" s="1474">
        <v>1.08077749590761</v>
      </c>
      <c r="O230" s="1474">
        <v>1.08077749590761</v>
      </c>
    </row>
    <row r="231" spans="2:15">
      <c r="B231" s="1390">
        <v>39448</v>
      </c>
      <c r="C231" s="1391">
        <v>378.9</v>
      </c>
      <c r="D231" s="1391">
        <v>2746.37</v>
      </c>
      <c r="E231" s="1391">
        <v>1.0092938367057227</v>
      </c>
      <c r="F231" s="1391">
        <v>18.816049147125398</v>
      </c>
      <c r="K231" s="1471">
        <v>42288</v>
      </c>
      <c r="L231" s="1472"/>
      <c r="M231" s="1473">
        <v>0</v>
      </c>
      <c r="N231" s="1474">
        <v>1.08077749590761</v>
      </c>
      <c r="O231" s="1474">
        <v>1.08077749590761</v>
      </c>
    </row>
    <row r="232" spans="2:15">
      <c r="B232" s="1390">
        <v>39479</v>
      </c>
      <c r="C232" s="1391">
        <v>380.90600000000001</v>
      </c>
      <c r="D232" s="1391">
        <v>2759.83</v>
      </c>
      <c r="E232" s="1391">
        <v>1.0080223173492819</v>
      </c>
      <c r="F232" s="1391">
        <v>18.966997464643324</v>
      </c>
      <c r="K232" s="1471">
        <v>42289</v>
      </c>
      <c r="L232" s="1472"/>
      <c r="M232" s="1473">
        <v>0</v>
      </c>
      <c r="N232" s="1474">
        <v>1.08077749590761</v>
      </c>
      <c r="O232" s="1474">
        <v>1.08077749590761</v>
      </c>
    </row>
    <row r="233" spans="2:15">
      <c r="B233" s="1390">
        <v>39508</v>
      </c>
      <c r="C233" s="1391">
        <v>383.73099999999999</v>
      </c>
      <c r="D233" s="1391">
        <v>2773.08</v>
      </c>
      <c r="E233" s="1391">
        <v>1.0084459790490408</v>
      </c>
      <c r="F233" s="1391">
        <v>19.12719232785291</v>
      </c>
      <c r="K233" s="1471">
        <v>42290</v>
      </c>
      <c r="L233" s="1472" t="s">
        <v>2127</v>
      </c>
      <c r="M233" s="1473">
        <v>5.2531000000000001E-2</v>
      </c>
      <c r="N233" s="1474">
        <v>1.0813452391339853</v>
      </c>
      <c r="O233" s="1474">
        <v>1.0813452391339853</v>
      </c>
    </row>
    <row r="234" spans="2:15">
      <c r="B234" s="1390">
        <v>39539</v>
      </c>
      <c r="C234" s="1391">
        <v>386.38</v>
      </c>
      <c r="D234" s="1391">
        <v>2788.33</v>
      </c>
      <c r="E234" s="1391">
        <v>1.0090142575644072</v>
      </c>
      <c r="F234" s="1391">
        <v>19.299609765980129</v>
      </c>
      <c r="K234" s="1471">
        <v>42291</v>
      </c>
      <c r="L234" s="1472" t="s">
        <v>2127</v>
      </c>
      <c r="M234" s="1473">
        <v>5.2531000000000001E-2</v>
      </c>
      <c r="N234" s="1474">
        <v>1.0819132806015548</v>
      </c>
      <c r="O234" s="1474">
        <v>1.0819132806015548</v>
      </c>
    </row>
    <row r="235" spans="2:15">
      <c r="B235" s="1390">
        <v>39569</v>
      </c>
      <c r="C235" s="1391">
        <v>392.59199999999998</v>
      </c>
      <c r="D235" s="1391">
        <v>2810.36</v>
      </c>
      <c r="E235" s="1391">
        <v>1.0087678287685495</v>
      </c>
      <c r="F235" s="1391">
        <v>19.46882543970807</v>
      </c>
      <c r="K235" s="1471">
        <v>42292</v>
      </c>
      <c r="L235" s="1472" t="s">
        <v>2127</v>
      </c>
      <c r="M235" s="1473">
        <v>5.2531000000000001E-2</v>
      </c>
      <c r="N235" s="1474">
        <v>1.0824816204669876</v>
      </c>
      <c r="O235" s="1474">
        <v>1.0824816204669876</v>
      </c>
    </row>
    <row r="236" spans="2:15">
      <c r="B236" s="1390">
        <v>39600</v>
      </c>
      <c r="C236" s="1391">
        <v>400.38200000000001</v>
      </c>
      <c r="D236" s="1391">
        <v>2831.16</v>
      </c>
      <c r="E236" s="1391">
        <v>1.0095559246898425</v>
      </c>
      <c r="F236" s="1391">
        <v>19.654868069409609</v>
      </c>
      <c r="K236" s="1471">
        <v>42293</v>
      </c>
      <c r="L236" s="1472" t="s">
        <v>2127</v>
      </c>
      <c r="M236" s="1473">
        <v>5.2531000000000001E-2</v>
      </c>
      <c r="N236" s="1474">
        <v>1.0830502588870352</v>
      </c>
      <c r="O236" s="1474">
        <v>1.0830502588870352</v>
      </c>
    </row>
    <row r="237" spans="2:15">
      <c r="B237" s="1390">
        <v>39630</v>
      </c>
      <c r="C237" s="1391">
        <v>407.44600000000003</v>
      </c>
      <c r="D237" s="1391">
        <v>2846.16</v>
      </c>
      <c r="E237" s="1391">
        <v>1.0106967121371</v>
      </c>
      <c r="F237" s="1391">
        <v>19.865110535240763</v>
      </c>
      <c r="K237" s="1471">
        <v>42294</v>
      </c>
      <c r="L237" s="1472"/>
      <c r="M237" s="1473">
        <v>0</v>
      </c>
      <c r="N237" s="1474">
        <v>1.0830502588870352</v>
      </c>
      <c r="O237" s="1474">
        <v>1.0830502588870352</v>
      </c>
    </row>
    <row r="238" spans="2:15">
      <c r="B238" s="1390">
        <v>39661</v>
      </c>
      <c r="C238" s="1391">
        <v>406.12700000000001</v>
      </c>
      <c r="D238" s="1391">
        <v>2854.13</v>
      </c>
      <c r="E238" s="1391">
        <v>1.0101765713502602</v>
      </c>
      <c r="F238" s="1391">
        <v>20.067269249983447</v>
      </c>
      <c r="K238" s="1471">
        <v>42295</v>
      </c>
      <c r="L238" s="1472"/>
      <c r="M238" s="1473">
        <v>0</v>
      </c>
      <c r="N238" s="1474">
        <v>1.0830502588870352</v>
      </c>
      <c r="O238" s="1474">
        <v>1.0830502588870352</v>
      </c>
    </row>
    <row r="239" spans="2:15">
      <c r="B239" s="1390">
        <v>39692</v>
      </c>
      <c r="C239" s="1391">
        <v>406.55700000000002</v>
      </c>
      <c r="D239" s="1391">
        <v>2861.55</v>
      </c>
      <c r="E239" s="1391">
        <v>1.011030909274969</v>
      </c>
      <c r="F239" s="1391">
        <v>20.288629476476387</v>
      </c>
      <c r="K239" s="1471">
        <v>42296</v>
      </c>
      <c r="L239" s="1472" t="s">
        <v>2127</v>
      </c>
      <c r="M239" s="1473">
        <v>5.2531000000000001E-2</v>
      </c>
      <c r="N239" s="1474">
        <v>1.0836191960185311</v>
      </c>
      <c r="O239" s="1474">
        <v>1.0836191960185311</v>
      </c>
    </row>
    <row r="240" spans="2:15">
      <c r="B240" s="1390">
        <v>39722</v>
      </c>
      <c r="C240" s="1391">
        <v>410.524</v>
      </c>
      <c r="D240" s="1391">
        <v>2874.43</v>
      </c>
      <c r="E240" s="1391">
        <v>1.0117587656900342</v>
      </c>
      <c r="F240" s="1391">
        <v>20.527198716662195</v>
      </c>
      <c r="K240" s="1471">
        <v>42297</v>
      </c>
      <c r="L240" s="1472" t="s">
        <v>2127</v>
      </c>
      <c r="M240" s="1473">
        <v>5.2531000000000001E-2</v>
      </c>
      <c r="N240" s="1474">
        <v>1.0841884320183917</v>
      </c>
      <c r="O240" s="1474">
        <v>1.0841884320183917</v>
      </c>
    </row>
    <row r="241" spans="2:15">
      <c r="B241" s="1390">
        <v>39753</v>
      </c>
      <c r="C241" s="1391">
        <v>412.10399999999998</v>
      </c>
      <c r="D241" s="1391">
        <v>2884.78</v>
      </c>
      <c r="E241" s="1391">
        <v>1.0101996908301405</v>
      </c>
      <c r="F241" s="1391">
        <v>20.736569797181005</v>
      </c>
      <c r="K241" s="1471">
        <v>42298</v>
      </c>
      <c r="L241" s="1472" t="s">
        <v>2127</v>
      </c>
      <c r="M241" s="1473">
        <v>5.2531000000000001E-2</v>
      </c>
      <c r="N241" s="1474">
        <v>1.0847579670436152</v>
      </c>
      <c r="O241" s="1474">
        <v>1.0847579670436152</v>
      </c>
    </row>
    <row r="242" spans="2:15">
      <c r="B242" s="1390">
        <v>39783</v>
      </c>
      <c r="C242" s="1391">
        <v>411.57499999999999</v>
      </c>
      <c r="D242" s="1391">
        <v>2892.86</v>
      </c>
      <c r="E242" s="1391">
        <v>1.0112409294280835</v>
      </c>
      <c r="F242" s="1391">
        <v>20.969668114851643</v>
      </c>
      <c r="K242" s="1471">
        <v>42299</v>
      </c>
      <c r="L242" s="1472" t="s">
        <v>2127</v>
      </c>
      <c r="M242" s="1473">
        <v>5.2531000000000001E-2</v>
      </c>
      <c r="N242" s="1474">
        <v>1.0853278012512828</v>
      </c>
      <c r="O242" s="1474">
        <v>1.0853278012512828</v>
      </c>
    </row>
    <row r="243" spans="2:15">
      <c r="B243" s="1390">
        <v>39814</v>
      </c>
      <c r="C243" s="1391">
        <v>409.78199999999998</v>
      </c>
      <c r="D243" s="1391">
        <v>2906.74</v>
      </c>
      <c r="E243" s="1391">
        <v>1.0104780743150839</v>
      </c>
      <c r="F243" s="1391">
        <v>21.189389855721704</v>
      </c>
      <c r="K243" s="1471">
        <v>42300</v>
      </c>
      <c r="L243" s="1472" t="s">
        <v>2127</v>
      </c>
      <c r="M243" s="1473">
        <v>5.2531000000000001E-2</v>
      </c>
      <c r="N243" s="1474">
        <v>1.0858979347985582</v>
      </c>
      <c r="O243" s="1474">
        <v>1.0858979347985582</v>
      </c>
    </row>
    <row r="244" spans="2:15">
      <c r="B244" s="1390">
        <v>39845</v>
      </c>
      <c r="C244" s="1391">
        <v>410.84899999999999</v>
      </c>
      <c r="D244" s="1391">
        <v>2922.73</v>
      </c>
      <c r="E244" s="1391">
        <v>1.0085508573858042</v>
      </c>
      <c r="F244" s="1391">
        <v>21.370577306470185</v>
      </c>
      <c r="K244" s="1471">
        <v>42301</v>
      </c>
      <c r="L244" s="1472"/>
      <c r="M244" s="1473">
        <v>0</v>
      </c>
      <c r="N244" s="1474">
        <v>1.0858979347985582</v>
      </c>
      <c r="O244" s="1474">
        <v>1.0858979347985582</v>
      </c>
    </row>
    <row r="245" spans="2:15">
      <c r="B245" s="1390">
        <v>39873</v>
      </c>
      <c r="C245" s="1391">
        <v>407.80799999999999</v>
      </c>
      <c r="D245" s="1391">
        <v>2928.57</v>
      </c>
      <c r="E245" s="1391">
        <v>1.0097088387156097</v>
      </c>
      <c r="F245" s="1391">
        <v>21.578060794798173</v>
      </c>
      <c r="K245" s="1471">
        <v>42302</v>
      </c>
      <c r="L245" s="1472"/>
      <c r="M245" s="1473">
        <v>0</v>
      </c>
      <c r="N245" s="1474">
        <v>1.0858979347985582</v>
      </c>
      <c r="O245" s="1474">
        <v>1.0858979347985582</v>
      </c>
    </row>
    <row r="246" spans="2:15">
      <c r="B246" s="1390">
        <v>39904</v>
      </c>
      <c r="C246" s="1391">
        <v>407.18099999999998</v>
      </c>
      <c r="D246" s="1391">
        <v>2942.63</v>
      </c>
      <c r="E246" s="1391">
        <v>1.008395669248594</v>
      </c>
      <c r="F246" s="1391">
        <v>21.759223056257351</v>
      </c>
      <c r="K246" s="1471">
        <v>42303</v>
      </c>
      <c r="L246" s="1472" t="s">
        <v>2127</v>
      </c>
      <c r="M246" s="1473">
        <v>5.2531000000000001E-2</v>
      </c>
      <c r="N246" s="1474">
        <v>1.0864683678426872</v>
      </c>
      <c r="O246" s="1474">
        <v>1.0864683678426872</v>
      </c>
    </row>
    <row r="247" spans="2:15">
      <c r="B247" s="1390">
        <v>39934</v>
      </c>
      <c r="C247" s="1391">
        <v>406.88499999999999</v>
      </c>
      <c r="D247" s="1391">
        <v>2956.46</v>
      </c>
      <c r="E247" s="1391">
        <v>1.0077089274459567</v>
      </c>
      <c r="F247" s="1391">
        <v>21.926963328078429</v>
      </c>
      <c r="K247" s="1471">
        <v>42304</v>
      </c>
      <c r="L247" s="1472" t="s">
        <v>2127</v>
      </c>
      <c r="M247" s="1473">
        <v>5.2531000000000001E-2</v>
      </c>
      <c r="N247" s="1474">
        <v>1.0870391005409987</v>
      </c>
      <c r="O247" s="1474">
        <v>1.0870391005409987</v>
      </c>
    </row>
    <row r="248" spans="2:15">
      <c r="B248" s="1390">
        <v>39965</v>
      </c>
      <c r="C248" s="1391">
        <v>406.48599999999999</v>
      </c>
      <c r="D248" s="1391">
        <v>2967.1</v>
      </c>
      <c r="E248" s="1391">
        <v>1.0076218232644543</v>
      </c>
      <c r="F248" s="1391">
        <v>22.094086767291213</v>
      </c>
      <c r="K248" s="1471">
        <v>42305</v>
      </c>
      <c r="L248" s="1472" t="s">
        <v>2127</v>
      </c>
      <c r="M248" s="1473">
        <v>5.2531000000000001E-2</v>
      </c>
      <c r="N248" s="1474">
        <v>1.0876101330509038</v>
      </c>
      <c r="O248" s="1474">
        <v>1.0876101330509038</v>
      </c>
    </row>
    <row r="249" spans="2:15">
      <c r="B249" s="1390">
        <v>39995</v>
      </c>
      <c r="C249" s="1391">
        <v>404.71800000000002</v>
      </c>
      <c r="D249" s="1391">
        <v>2974.22</v>
      </c>
      <c r="E249" s="1391">
        <v>1.0079014252372847</v>
      </c>
      <c r="F249" s="1391">
        <v>22.268661542069044</v>
      </c>
      <c r="K249" s="1471">
        <v>42306</v>
      </c>
      <c r="L249" s="1472" t="s">
        <v>2127</v>
      </c>
      <c r="M249" s="1473">
        <v>5.2531000000000001E-2</v>
      </c>
      <c r="N249" s="1474">
        <v>1.0881814655298967</v>
      </c>
      <c r="O249" s="1474">
        <v>1.0881814655298967</v>
      </c>
    </row>
    <row r="250" spans="2:15">
      <c r="B250" s="1390">
        <v>40026</v>
      </c>
      <c r="C250" s="1391">
        <v>403.25299999999999</v>
      </c>
      <c r="D250" s="1391">
        <v>2978.68</v>
      </c>
      <c r="E250" s="1391">
        <v>1.0069374854840563</v>
      </c>
      <c r="F250" s="1391">
        <v>22.423150058266511</v>
      </c>
      <c r="K250" s="1471">
        <v>42307</v>
      </c>
      <c r="L250" s="1472" t="s">
        <v>2127</v>
      </c>
      <c r="M250" s="1473">
        <v>5.2531000000000001E-2</v>
      </c>
      <c r="N250" s="1474">
        <v>1.0887530981355542</v>
      </c>
      <c r="O250" s="1474">
        <v>1.0887530981355542</v>
      </c>
    </row>
    <row r="251" spans="2:15">
      <c r="B251" s="1390">
        <v>40057</v>
      </c>
      <c r="C251" s="1391">
        <v>404.94499999999999</v>
      </c>
      <c r="D251" s="1391">
        <v>2985.83</v>
      </c>
      <c r="E251" s="1391">
        <v>1.0069374854840563</v>
      </c>
      <c r="F251" s="1391">
        <v>22.578710336302549</v>
      </c>
      <c r="K251" s="1471">
        <v>42308</v>
      </c>
      <c r="L251" s="1472"/>
      <c r="M251" s="1473">
        <v>0</v>
      </c>
      <c r="N251" s="1474">
        <v>1.0887530981355542</v>
      </c>
      <c r="O251" s="1474">
        <v>1.0887530981355542</v>
      </c>
    </row>
    <row r="252" spans="2:15">
      <c r="B252" s="1390">
        <v>40087</v>
      </c>
      <c r="C252" s="1391">
        <v>405.12900000000002</v>
      </c>
      <c r="D252" s="1391">
        <v>2994.19</v>
      </c>
      <c r="E252" s="1391">
        <v>1.006937485484056</v>
      </c>
      <c r="F252" s="1391">
        <v>22.735349811509355</v>
      </c>
      <c r="K252" s="1471">
        <v>42309</v>
      </c>
      <c r="L252" s="1472"/>
      <c r="M252" s="1473">
        <v>0</v>
      </c>
      <c r="N252" s="1474">
        <v>1.0887530981355542</v>
      </c>
      <c r="O252" s="1474">
        <v>1.0887530981355542</v>
      </c>
    </row>
    <row r="253" spans="2:15">
      <c r="B253" s="1390">
        <v>40118</v>
      </c>
      <c r="C253" s="1391">
        <v>405.548</v>
      </c>
      <c r="D253" s="1391">
        <v>3006.47</v>
      </c>
      <c r="E253" s="1391">
        <v>1.006606040313162</v>
      </c>
      <c r="F253" s="1391">
        <v>22.885540448898027</v>
      </c>
      <c r="K253" s="1471">
        <v>42310</v>
      </c>
      <c r="L253" s="1472"/>
      <c r="M253" s="1473">
        <v>0</v>
      </c>
      <c r="N253" s="1474">
        <v>1.0887530981355542</v>
      </c>
      <c r="O253" s="1474">
        <v>1.0887530981355542</v>
      </c>
    </row>
    <row r="254" spans="2:15">
      <c r="B254" s="1390">
        <v>40148</v>
      </c>
      <c r="C254" s="1391">
        <v>404.49900000000002</v>
      </c>
      <c r="D254" s="1391">
        <v>3017.59</v>
      </c>
      <c r="E254" s="1391">
        <v>1.0072686672230315</v>
      </c>
      <c r="F254" s="1391">
        <v>23.051887826640293</v>
      </c>
      <c r="K254" s="1471">
        <v>42311</v>
      </c>
      <c r="L254" s="1472" t="s">
        <v>2127</v>
      </c>
      <c r="M254" s="1473">
        <v>5.2531000000000001E-2</v>
      </c>
      <c r="N254" s="1474">
        <v>1.0893250310255358</v>
      </c>
      <c r="O254" s="1474">
        <v>1.0893250310255358</v>
      </c>
    </row>
    <row r="255" spans="2:15">
      <c r="B255" s="1390">
        <v>40179</v>
      </c>
      <c r="C255" s="1391">
        <v>407.04899999999998</v>
      </c>
      <c r="D255" s="1391">
        <v>3040.22</v>
      </c>
      <c r="E255" s="1391">
        <v>1.0066056679915218</v>
      </c>
      <c r="F255" s="1391">
        <v>23.204160944200883</v>
      </c>
      <c r="K255" s="1471">
        <v>42312</v>
      </c>
      <c r="L255" s="1472" t="s">
        <v>2127</v>
      </c>
      <c r="M255" s="1473">
        <v>5.2531000000000001E-2</v>
      </c>
      <c r="N255" s="1474">
        <v>1.0898972643575837</v>
      </c>
      <c r="O255" s="1474">
        <v>1.0898972643575837</v>
      </c>
    </row>
    <row r="256" spans="2:15">
      <c r="B256" s="1390">
        <v>40210</v>
      </c>
      <c r="C256" s="1391">
        <v>411.84300000000002</v>
      </c>
      <c r="D256" s="1391">
        <v>3063.93</v>
      </c>
      <c r="E256" s="1391">
        <v>1.0059434772325486</v>
      </c>
      <c r="F256" s="1391">
        <v>23.342074346473133</v>
      </c>
      <c r="K256" s="1471">
        <v>42313</v>
      </c>
      <c r="L256" s="1472" t="s">
        <v>2127</v>
      </c>
      <c r="M256" s="1473">
        <v>5.2531000000000001E-2</v>
      </c>
      <c r="N256" s="1474">
        <v>1.0904697982895235</v>
      </c>
      <c r="O256" s="1474">
        <v>1.0904697982895235</v>
      </c>
    </row>
    <row r="257" spans="2:15">
      <c r="B257" s="1390">
        <v>40238</v>
      </c>
      <c r="C257" s="1391">
        <v>415.73399999999998</v>
      </c>
      <c r="D257" s="1391">
        <v>3079.86</v>
      </c>
      <c r="E257" s="1391">
        <v>1.0076007032666325</v>
      </c>
      <c r="F257" s="1391">
        <v>23.519490527208351</v>
      </c>
      <c r="K257" s="1471">
        <v>42314</v>
      </c>
      <c r="L257" s="1472" t="s">
        <v>2127</v>
      </c>
      <c r="M257" s="1473">
        <v>5.2531000000000001E-2</v>
      </c>
      <c r="N257" s="1474">
        <v>1.0910426329792631</v>
      </c>
      <c r="O257" s="1474">
        <v>1.0910426329792631</v>
      </c>
    </row>
    <row r="258" spans="2:15">
      <c r="B258" s="1390">
        <v>40269</v>
      </c>
      <c r="C258" s="1391">
        <v>418.91699999999997</v>
      </c>
      <c r="D258" s="1391">
        <v>3097.42</v>
      </c>
      <c r="E258" s="1391">
        <v>1.0066591320264642</v>
      </c>
      <c r="F258" s="1391">
        <v>23.676109919824206</v>
      </c>
      <c r="K258" s="1471">
        <v>42315</v>
      </c>
      <c r="L258" s="1472"/>
      <c r="M258" s="1473">
        <v>0</v>
      </c>
      <c r="N258" s="1474">
        <v>1.0910426329792631</v>
      </c>
      <c r="O258" s="1474">
        <v>1.0910426329792631</v>
      </c>
    </row>
    <row r="259" spans="2:15">
      <c r="B259" s="1390">
        <v>40299</v>
      </c>
      <c r="C259" s="1391">
        <v>423.88499999999999</v>
      </c>
      <c r="D259" s="1391">
        <v>3110.74</v>
      </c>
      <c r="E259" s="1391">
        <v>1.0075136425194853</v>
      </c>
      <c r="F259" s="1391">
        <v>23.854003746013806</v>
      </c>
      <c r="K259" s="1471">
        <v>42316</v>
      </c>
      <c r="L259" s="1472"/>
      <c r="M259" s="1473">
        <v>0</v>
      </c>
      <c r="N259" s="1474">
        <v>1.0910426329792631</v>
      </c>
      <c r="O259" s="1474">
        <v>1.0910426329792631</v>
      </c>
    </row>
    <row r="260" spans="2:15">
      <c r="B260" s="1390">
        <v>40330</v>
      </c>
      <c r="C260" s="1391">
        <v>427.48899999999998</v>
      </c>
      <c r="D260" s="1391">
        <v>3110.74</v>
      </c>
      <c r="E260" s="1391">
        <v>1.0079257581819461</v>
      </c>
      <c r="F260" s="1391">
        <v>24.043064811375949</v>
      </c>
      <c r="K260" s="1471">
        <v>42317</v>
      </c>
      <c r="L260" s="1472" t="s">
        <v>2127</v>
      </c>
      <c r="M260" s="1473">
        <v>5.2531000000000001E-2</v>
      </c>
      <c r="N260" s="1474">
        <v>1.0916157685847934</v>
      </c>
      <c r="O260" s="1474">
        <v>1.0916157685847934</v>
      </c>
    </row>
    <row r="261" spans="2:15">
      <c r="B261" s="1390">
        <v>40360</v>
      </c>
      <c r="C261" s="1391">
        <v>428.15</v>
      </c>
      <c r="D261" s="1391">
        <v>3111.05</v>
      </c>
      <c r="E261" s="1391">
        <v>1.0086102956499179</v>
      </c>
      <c r="F261" s="1391">
        <v>24.250082707732034</v>
      </c>
      <c r="K261" s="1471">
        <v>42318</v>
      </c>
      <c r="L261" s="1472" t="s">
        <v>2127</v>
      </c>
      <c r="M261" s="1473">
        <v>5.2531000000000001E-2</v>
      </c>
      <c r="N261" s="1474">
        <v>1.0921892052641886</v>
      </c>
      <c r="O261" s="1474">
        <v>1.0921892052641886</v>
      </c>
    </row>
    <row r="262" spans="2:15">
      <c r="B262" s="1390">
        <v>40391</v>
      </c>
      <c r="C262" s="1391">
        <v>431.44499999999999</v>
      </c>
      <c r="D262" s="1391">
        <v>3112.29</v>
      </c>
      <c r="E262" s="1391">
        <v>1.0088820963555043</v>
      </c>
      <c r="F262" s="1391">
        <v>24.465474278971058</v>
      </c>
      <c r="K262" s="1471">
        <v>42319</v>
      </c>
      <c r="L262" s="1472" t="s">
        <v>2127</v>
      </c>
      <c r="M262" s="1473">
        <v>5.2531000000000001E-2</v>
      </c>
      <c r="N262" s="1474">
        <v>1.0927629431756058</v>
      </c>
      <c r="O262" s="1474">
        <v>1.0927629431756058</v>
      </c>
    </row>
    <row r="263" spans="2:15">
      <c r="B263" s="1390">
        <v>40422</v>
      </c>
      <c r="C263" s="1391">
        <v>436.423</v>
      </c>
      <c r="D263" s="1391">
        <v>3126.29</v>
      </c>
      <c r="E263" s="1391">
        <v>1.0084766584844942</v>
      </c>
      <c r="F263" s="1391">
        <v>24.672859749095071</v>
      </c>
      <c r="K263" s="1471">
        <v>42320</v>
      </c>
      <c r="L263" s="1472" t="s">
        <v>2127</v>
      </c>
      <c r="M263" s="1473">
        <v>5.2531000000000001E-2</v>
      </c>
      <c r="N263" s="1474">
        <v>1.0933369824772854</v>
      </c>
      <c r="O263" s="1474">
        <v>1.0933369824772854</v>
      </c>
    </row>
    <row r="264" spans="2:15">
      <c r="B264" s="1390">
        <v>40452</v>
      </c>
      <c r="C264" s="1391">
        <v>440.82900000000001</v>
      </c>
      <c r="D264" s="1391">
        <v>3149.74</v>
      </c>
      <c r="E264" s="1391">
        <v>1.0080713835461668</v>
      </c>
      <c r="F264" s="1391">
        <v>24.872003863310798</v>
      </c>
      <c r="K264" s="1471">
        <v>42321</v>
      </c>
      <c r="L264" s="1472" t="s">
        <v>2127</v>
      </c>
      <c r="M264" s="1473">
        <v>5.2531000000000001E-2</v>
      </c>
      <c r="N264" s="1474">
        <v>1.0939113233275506</v>
      </c>
      <c r="O264" s="1474">
        <v>1.0939113233275506</v>
      </c>
    </row>
    <row r="265" spans="2:15">
      <c r="B265" s="1390">
        <v>40483</v>
      </c>
      <c r="C265" s="1391">
        <v>447.20600000000002</v>
      </c>
      <c r="D265" s="1391">
        <v>3175.88</v>
      </c>
      <c r="E265" s="1391">
        <v>1.008071383546167</v>
      </c>
      <c r="F265" s="1391">
        <v>25.072755346053327</v>
      </c>
      <c r="K265" s="1471">
        <v>42322</v>
      </c>
      <c r="L265" s="1472"/>
      <c r="M265" s="1473">
        <v>0</v>
      </c>
      <c r="N265" s="1474">
        <v>1.0939113233275506</v>
      </c>
      <c r="O265" s="1474">
        <v>1.0939113233275506</v>
      </c>
    </row>
    <row r="266" spans="2:15">
      <c r="B266" s="1390">
        <v>40513</v>
      </c>
      <c r="C266" s="1391">
        <v>450.30099999999999</v>
      </c>
      <c r="D266" s="1391">
        <v>3195.89</v>
      </c>
      <c r="E266" s="1391">
        <v>1.0092887868177591</v>
      </c>
      <c r="F266" s="1391">
        <v>25.305650825396647</v>
      </c>
      <c r="K266" s="1471">
        <v>42323</v>
      </c>
      <c r="L266" s="1472"/>
      <c r="M266" s="1473">
        <v>0</v>
      </c>
      <c r="N266" s="1474">
        <v>1.0939113233275506</v>
      </c>
      <c r="O266" s="1474">
        <v>1.0939113233275506</v>
      </c>
    </row>
    <row r="267" spans="2:15">
      <c r="B267" s="1390">
        <v>40544</v>
      </c>
      <c r="C267" s="1391">
        <v>453.875</v>
      </c>
      <c r="D267" s="1391">
        <v>3222.42</v>
      </c>
      <c r="E267" s="1391">
        <v>1.0086232010755674</v>
      </c>
      <c r="F267" s="1391">
        <v>25.52386654081214</v>
      </c>
      <c r="K267" s="1471">
        <v>42324</v>
      </c>
      <c r="L267" s="1472" t="s">
        <v>2127</v>
      </c>
      <c r="M267" s="1473">
        <v>5.2531000000000001E-2</v>
      </c>
      <c r="N267" s="1474">
        <v>1.0944859658848078</v>
      </c>
      <c r="O267" s="1474">
        <v>1.0944859658848078</v>
      </c>
    </row>
    <row r="268" spans="2:15">
      <c r="B268" s="1390">
        <v>40575</v>
      </c>
      <c r="C268" s="1391">
        <v>458.39699999999999</v>
      </c>
      <c r="D268" s="1391">
        <v>3248.2</v>
      </c>
      <c r="E268" s="1391">
        <v>1.0084390842010735</v>
      </c>
      <c r="F268" s="1391">
        <v>25.739264599687019</v>
      </c>
      <c r="K268" s="1471">
        <v>42325</v>
      </c>
      <c r="L268" s="1472" t="s">
        <v>2127</v>
      </c>
      <c r="M268" s="1473">
        <v>5.2531000000000001E-2</v>
      </c>
      <c r="N268" s="1474">
        <v>1.0950609103075468</v>
      </c>
      <c r="O268" s="1474">
        <v>1.0950609103075468</v>
      </c>
    </row>
    <row r="269" spans="2:15">
      <c r="B269" s="1390">
        <v>40603</v>
      </c>
      <c r="C269" s="1391">
        <v>461.24900000000002</v>
      </c>
      <c r="D269" s="1391">
        <v>3273.86</v>
      </c>
      <c r="E269" s="1391">
        <v>1.0092045846073012</v>
      </c>
      <c r="F269" s="1391">
        <v>25.97618383842455</v>
      </c>
      <c r="K269" s="1471">
        <v>42326</v>
      </c>
      <c r="L269" s="1472" t="s">
        <v>2127</v>
      </c>
      <c r="M269" s="1473">
        <v>5.2531000000000001E-2</v>
      </c>
      <c r="N269" s="1474">
        <v>1.0956361567543405</v>
      </c>
      <c r="O269" s="1474">
        <v>1.0956361567543405</v>
      </c>
    </row>
    <row r="270" spans="2:15">
      <c r="B270" s="1390">
        <v>40634</v>
      </c>
      <c r="C270" s="1391">
        <v>463.31099999999998</v>
      </c>
      <c r="D270" s="1391">
        <v>3299.07</v>
      </c>
      <c r="E270" s="1391">
        <v>1.0084015541577225</v>
      </c>
      <c r="F270" s="1391">
        <v>26.194424153754028</v>
      </c>
      <c r="K270" s="1471">
        <v>42327</v>
      </c>
      <c r="L270" s="1472" t="s">
        <v>2127</v>
      </c>
      <c r="M270" s="1473">
        <v>5.2531000000000001E-2</v>
      </c>
      <c r="N270" s="1474">
        <v>1.0962117053838452</v>
      </c>
      <c r="O270" s="1474">
        <v>1.0962117053838452</v>
      </c>
    </row>
    <row r="271" spans="2:15">
      <c r="B271" s="1390">
        <v>40664</v>
      </c>
      <c r="C271" s="1391">
        <v>465.31099999999998</v>
      </c>
      <c r="D271" s="1391">
        <v>3314.58</v>
      </c>
      <c r="E271" s="1391">
        <v>1.0098798495673293</v>
      </c>
      <c r="F271" s="1391">
        <v>26.453221123895936</v>
      </c>
      <c r="K271" s="1471">
        <v>42328</v>
      </c>
      <c r="L271" s="1472" t="s">
        <v>2127</v>
      </c>
      <c r="M271" s="1473">
        <v>5.2531000000000001E-2</v>
      </c>
      <c r="N271" s="1474">
        <v>1.0967875563548004</v>
      </c>
      <c r="O271" s="1474">
        <v>1.0967875563548004</v>
      </c>
    </row>
    <row r="272" spans="2:15">
      <c r="B272" s="1390">
        <v>40695</v>
      </c>
      <c r="C272" s="1391">
        <v>464.46300000000002</v>
      </c>
      <c r="D272" s="1391">
        <v>3319.55</v>
      </c>
      <c r="E272" s="1391">
        <v>1.0095627565914342</v>
      </c>
      <c r="F272" s="1391">
        <v>26.706186838563141</v>
      </c>
      <c r="K272" s="1471">
        <v>42329</v>
      </c>
      <c r="L272" s="1472"/>
      <c r="M272" s="1473">
        <v>0</v>
      </c>
      <c r="N272" s="1474">
        <v>1.0967875563548004</v>
      </c>
      <c r="O272" s="1474">
        <v>1.0967875563548004</v>
      </c>
    </row>
    <row r="273" spans="2:15">
      <c r="B273" s="1390">
        <v>40725</v>
      </c>
      <c r="C273" s="1391">
        <v>463.92700000000002</v>
      </c>
      <c r="D273" s="1391">
        <v>3324.86</v>
      </c>
      <c r="E273" s="1391">
        <v>1.0096788504099796</v>
      </c>
      <c r="F273" s="1391">
        <v>26.96467202599456</v>
      </c>
      <c r="K273" s="1471">
        <v>42330</v>
      </c>
      <c r="L273" s="1472"/>
      <c r="M273" s="1473">
        <v>0</v>
      </c>
      <c r="N273" s="1474">
        <v>1.0967875563548004</v>
      </c>
      <c r="O273" s="1474">
        <v>1.0967875563548004</v>
      </c>
    </row>
    <row r="274" spans="2:15">
      <c r="B274" s="1390">
        <v>40756</v>
      </c>
      <c r="C274" s="1391">
        <v>465.96800000000002</v>
      </c>
      <c r="D274" s="1391">
        <v>3337.16</v>
      </c>
      <c r="E274" s="1391">
        <v>1.0107406292787873</v>
      </c>
      <c r="F274" s="1391">
        <v>27.254289571849853</v>
      </c>
      <c r="K274" s="1471">
        <v>42331</v>
      </c>
      <c r="L274" s="1472" t="s">
        <v>2127</v>
      </c>
      <c r="M274" s="1473">
        <v>5.2531000000000001E-2</v>
      </c>
      <c r="N274" s="1474">
        <v>1.0973637098260292</v>
      </c>
      <c r="O274" s="1474">
        <v>1.0973637098260292</v>
      </c>
    </row>
    <row r="275" spans="2:15">
      <c r="B275" s="1390">
        <v>40787</v>
      </c>
      <c r="C275" s="1391">
        <v>468.97500000000002</v>
      </c>
      <c r="D275" s="1391">
        <v>3354.85</v>
      </c>
      <c r="E275" s="1391">
        <v>1.00941760689889</v>
      </c>
      <c r="F275" s="1391">
        <v>27.510959757346054</v>
      </c>
      <c r="K275" s="1471">
        <v>42332</v>
      </c>
      <c r="L275" s="1472" t="s">
        <v>2127</v>
      </c>
      <c r="M275" s="1473">
        <v>5.2531000000000001E-2</v>
      </c>
      <c r="N275" s="1474">
        <v>1.0979401659564378</v>
      </c>
      <c r="O275" s="1474">
        <v>1.0979401659564378</v>
      </c>
    </row>
    <row r="276" spans="2:15">
      <c r="B276" s="1390">
        <v>40817</v>
      </c>
      <c r="C276" s="1391">
        <v>471.46600000000001</v>
      </c>
      <c r="D276" s="1391">
        <v>3369.28</v>
      </c>
      <c r="E276" s="1391">
        <v>1.0088195463919019</v>
      </c>
      <c r="F276" s="1391">
        <v>27.753593943211712</v>
      </c>
      <c r="K276" s="1471">
        <v>42333</v>
      </c>
      <c r="L276" s="1472" t="s">
        <v>2127</v>
      </c>
      <c r="M276" s="1473">
        <v>5.2531000000000001E-2</v>
      </c>
      <c r="N276" s="1474">
        <v>1.0985169249050164</v>
      </c>
      <c r="O276" s="1474">
        <v>1.0985169249050164</v>
      </c>
    </row>
    <row r="277" spans="2:15">
      <c r="B277" s="1390">
        <v>40848</v>
      </c>
      <c r="C277" s="1391">
        <v>473.80799999999999</v>
      </c>
      <c r="D277" s="1391">
        <v>3386.8</v>
      </c>
      <c r="E277" s="1391">
        <v>1.0086047745492386</v>
      </c>
      <c r="F277" s="1391">
        <v>27.992407362024164</v>
      </c>
      <c r="K277" s="1471">
        <v>42334</v>
      </c>
      <c r="L277" s="1472" t="s">
        <v>2127</v>
      </c>
      <c r="M277" s="1473">
        <v>5.2531000000000001E-2</v>
      </c>
      <c r="N277" s="1474">
        <v>1.0990939868308383</v>
      </c>
      <c r="O277" s="1474">
        <v>1.0990939868308383</v>
      </c>
    </row>
    <row r="278" spans="2:15">
      <c r="B278" s="1390">
        <v>40878</v>
      </c>
      <c r="C278" s="1391">
        <v>473.25200000000001</v>
      </c>
      <c r="D278" s="1391">
        <v>3403.73</v>
      </c>
      <c r="E278" s="1391">
        <v>1.0090732804800764</v>
      </c>
      <c r="F278" s="1391">
        <v>28.246390325332364</v>
      </c>
      <c r="K278" s="1471">
        <v>42335</v>
      </c>
      <c r="L278" s="1472" t="s">
        <v>2127</v>
      </c>
      <c r="M278" s="1473">
        <v>5.2531000000000001E-2</v>
      </c>
      <c r="N278" s="1474">
        <v>1.0996713518930603</v>
      </c>
      <c r="O278" s="1474">
        <v>1.0996713518930603</v>
      </c>
    </row>
    <row r="279" spans="2:15">
      <c r="B279" s="1390">
        <v>40909</v>
      </c>
      <c r="C279" s="1391">
        <v>474.42899999999997</v>
      </c>
      <c r="D279" s="1391">
        <v>3422.79</v>
      </c>
      <c r="E279" s="1391">
        <v>1.0089101617717657</v>
      </c>
      <c r="F279" s="1391">
        <v>28.498070232599513</v>
      </c>
      <c r="K279" s="1471">
        <v>42336</v>
      </c>
      <c r="L279" s="1472"/>
      <c r="M279" s="1473">
        <v>0</v>
      </c>
      <c r="N279" s="1474">
        <v>1.0996713518930603</v>
      </c>
      <c r="O279" s="1474">
        <v>1.0996713518930603</v>
      </c>
    </row>
    <row r="280" spans="2:15">
      <c r="B280" s="1390">
        <v>40940</v>
      </c>
      <c r="C280" s="1391">
        <v>474.13799999999998</v>
      </c>
      <c r="D280" s="1391">
        <v>3438.19</v>
      </c>
      <c r="E280" s="1391">
        <v>1.0074877292470876</v>
      </c>
      <c r="F280" s="1391">
        <v>28.711456066565706</v>
      </c>
      <c r="K280" s="1471">
        <v>42337</v>
      </c>
      <c r="L280" s="1472"/>
      <c r="M280" s="1473">
        <v>0</v>
      </c>
      <c r="N280" s="1474">
        <v>1.0996713518930603</v>
      </c>
      <c r="O280" s="1474">
        <v>1.0996713518930603</v>
      </c>
    </row>
    <row r="281" spans="2:15">
      <c r="B281" s="1390">
        <v>40969</v>
      </c>
      <c r="C281" s="1391">
        <v>476.166</v>
      </c>
      <c r="D281" s="1391">
        <v>3445.41</v>
      </c>
      <c r="E281" s="1391">
        <v>1.0082113884808406</v>
      </c>
      <c r="F281" s="1391">
        <v>28.947216986178862</v>
      </c>
      <c r="K281" s="1471">
        <v>42338</v>
      </c>
      <c r="L281" s="1472" t="s">
        <v>2127</v>
      </c>
      <c r="M281" s="1473">
        <v>5.2531000000000001E-2</v>
      </c>
      <c r="N281" s="1474">
        <v>1.1002490202509232</v>
      </c>
      <c r="O281" s="1474">
        <v>1.1002490202509232</v>
      </c>
    </row>
    <row r="282" spans="2:15">
      <c r="B282" s="1390">
        <v>41000</v>
      </c>
      <c r="C282" s="1391">
        <v>480.22899999999998</v>
      </c>
      <c r="D282" s="1391">
        <v>3467.46</v>
      </c>
      <c r="E282" s="1391">
        <v>1.0071187588624242</v>
      </c>
      <c r="F282" s="1391">
        <v>29.15328524364174</v>
      </c>
      <c r="K282" s="1471">
        <v>42339</v>
      </c>
      <c r="L282" s="1472" t="s">
        <v>2127</v>
      </c>
      <c r="M282" s="1473">
        <v>5.2531000000000001E-2</v>
      </c>
      <c r="N282" s="1474">
        <v>1.1008269920637512</v>
      </c>
      <c r="O282" s="1474">
        <v>1.1008269920637512</v>
      </c>
    </row>
    <row r="283" spans="2:15">
      <c r="B283" s="1390">
        <v>41030</v>
      </c>
      <c r="C283" s="1391">
        <v>485.14</v>
      </c>
      <c r="D283" s="1391">
        <v>3479.94</v>
      </c>
      <c r="E283" s="1391">
        <v>1.007447242329657</v>
      </c>
      <c r="F283" s="1391">
        <v>29.370396823556753</v>
      </c>
      <c r="G283" s="11"/>
      <c r="K283" s="1471">
        <v>42340</v>
      </c>
      <c r="L283" s="1472" t="s">
        <v>2127</v>
      </c>
      <c r="M283" s="1473">
        <v>5.2531000000000001E-2</v>
      </c>
      <c r="N283" s="1474">
        <v>1.1014052674909522</v>
      </c>
      <c r="O283" s="1474">
        <v>1.1014052674909522</v>
      </c>
    </row>
    <row r="284" spans="2:15">
      <c r="B284" s="1390">
        <v>41061</v>
      </c>
      <c r="C284" s="1391">
        <v>488.34199999999998</v>
      </c>
      <c r="D284" s="1391">
        <v>3482.72</v>
      </c>
      <c r="E284" s="1391">
        <v>1.0064150263426446</v>
      </c>
      <c r="F284" s="1391">
        <v>29.558808692873793</v>
      </c>
      <c r="K284" s="1471">
        <v>42341</v>
      </c>
      <c r="L284" s="1472" t="s">
        <v>2127</v>
      </c>
      <c r="M284" s="1473">
        <v>5.2531000000000001E-2</v>
      </c>
      <c r="N284" s="1474">
        <v>1.101983846692018</v>
      </c>
      <c r="O284" s="1474">
        <v>1.101983846692018</v>
      </c>
    </row>
    <row r="285" spans="2:15">
      <c r="B285" s="1390">
        <v>41091</v>
      </c>
      <c r="C285" s="1391">
        <v>494.89100000000002</v>
      </c>
      <c r="D285" s="1391">
        <v>3497.7</v>
      </c>
      <c r="E285" s="1391">
        <v>1.0067996486835762</v>
      </c>
      <c r="F285" s="1391">
        <v>29.759798207490373</v>
      </c>
      <c r="K285" s="1471">
        <v>42342</v>
      </c>
      <c r="L285" s="1472" t="s">
        <v>2127</v>
      </c>
      <c r="M285" s="1473">
        <v>5.2531000000000001E-2</v>
      </c>
      <c r="N285" s="1474">
        <v>1.1025627298265237</v>
      </c>
      <c r="O285" s="1474">
        <v>1.1025627298265237</v>
      </c>
    </row>
    <row r="286" spans="2:15">
      <c r="B286" s="1390">
        <v>41122</v>
      </c>
      <c r="C286" s="1391">
        <v>501.95699999999999</v>
      </c>
      <c r="D286" s="1391">
        <v>3512.04</v>
      </c>
      <c r="E286" s="1391">
        <v>1.0069181066014252</v>
      </c>
      <c r="F286" s="1391">
        <v>29.965679663926696</v>
      </c>
      <c r="K286" s="1471">
        <v>42343</v>
      </c>
      <c r="L286" s="1472"/>
      <c r="M286" s="1473">
        <v>0</v>
      </c>
      <c r="N286" s="1474">
        <v>1.1025627298265237</v>
      </c>
      <c r="O286" s="1474">
        <v>1.1025627298265237</v>
      </c>
    </row>
    <row r="287" spans="2:15">
      <c r="B287" s="1390">
        <v>41153</v>
      </c>
      <c r="C287" s="1391">
        <v>506.80399999999997</v>
      </c>
      <c r="D287" s="1391">
        <v>3532.06</v>
      </c>
      <c r="E287" s="1391">
        <v>1.0053899533259578</v>
      </c>
      <c r="F287" s="1391">
        <v>30.127193278695866</v>
      </c>
      <c r="K287" s="1471">
        <v>42344</v>
      </c>
      <c r="L287" s="1472"/>
      <c r="M287" s="1473">
        <v>0</v>
      </c>
      <c r="N287" s="1474">
        <v>1.1025627298265237</v>
      </c>
      <c r="O287" s="1474">
        <v>1.1025627298265237</v>
      </c>
    </row>
    <row r="288" spans="2:15">
      <c r="B288" s="1390">
        <v>41183</v>
      </c>
      <c r="C288" s="1391">
        <v>506.92599999999999</v>
      </c>
      <c r="D288" s="1391">
        <v>3552.9</v>
      </c>
      <c r="E288" s="1391">
        <v>1.0061133864051108</v>
      </c>
      <c r="F288" s="1391">
        <v>30.311372452509993</v>
      </c>
      <c r="K288" s="1471">
        <v>42345</v>
      </c>
      <c r="L288" s="1472" t="s">
        <v>2127</v>
      </c>
      <c r="M288" s="1473">
        <v>5.2531000000000001E-2</v>
      </c>
      <c r="N288" s="1474">
        <v>1.1031419170541288</v>
      </c>
      <c r="O288" s="1474">
        <v>1.1031419170541288</v>
      </c>
    </row>
    <row r="289" spans="2:15">
      <c r="B289" s="1390">
        <v>41214</v>
      </c>
      <c r="C289" s="1391">
        <v>506.79500000000002</v>
      </c>
      <c r="D289" s="1391">
        <v>3574.22</v>
      </c>
      <c r="E289" s="1391">
        <v>1.0054884576647556</v>
      </c>
      <c r="F289" s="1391">
        <v>30.477735136976232</v>
      </c>
      <c r="K289" s="1471">
        <v>42346</v>
      </c>
      <c r="L289" s="1472" t="s">
        <v>2127</v>
      </c>
      <c r="M289" s="1473">
        <v>5.2531000000000001E-2</v>
      </c>
      <c r="N289" s="1474">
        <v>1.1037214085345766</v>
      </c>
      <c r="O289" s="1474">
        <v>1.1037214085345766</v>
      </c>
    </row>
    <row r="290" spans="2:15">
      <c r="B290" s="1390">
        <v>41244</v>
      </c>
      <c r="C290" s="1391">
        <v>510.25200000000001</v>
      </c>
      <c r="D290" s="1391">
        <v>3602.46</v>
      </c>
      <c r="E290" s="1391">
        <v>1.0055015154231364</v>
      </c>
      <c r="F290" s="1391">
        <v>30.645408866894574</v>
      </c>
      <c r="K290" s="1471">
        <v>42347</v>
      </c>
      <c r="L290" s="1472" t="s">
        <v>2127</v>
      </c>
      <c r="M290" s="1473">
        <v>5.2531000000000001E-2</v>
      </c>
      <c r="N290" s="1474">
        <v>1.1043012044276939</v>
      </c>
      <c r="O290" s="1474">
        <v>1.1043012044276939</v>
      </c>
    </row>
    <row r="291" spans="2:15">
      <c r="B291" s="1390">
        <v>41275</v>
      </c>
      <c r="C291" s="1391">
        <v>511.97699999999998</v>
      </c>
      <c r="D291" s="1391">
        <v>3633.44</v>
      </c>
      <c r="E291" s="1391">
        <v>1.0060143970219473</v>
      </c>
      <c r="F291" s="1391">
        <v>30.82972252271998</v>
      </c>
      <c r="K291" s="1471">
        <v>42348</v>
      </c>
      <c r="L291" s="1472" t="s">
        <v>2127</v>
      </c>
      <c r="M291" s="1473">
        <v>5.2531000000000001E-2</v>
      </c>
      <c r="N291" s="1474">
        <v>1.1048813048933919</v>
      </c>
      <c r="O291" s="1474">
        <v>1.1048813048933919</v>
      </c>
    </row>
    <row r="292" spans="2:15">
      <c r="B292" s="1390">
        <v>41306</v>
      </c>
      <c r="C292" s="1391">
        <v>513.46699999999998</v>
      </c>
      <c r="D292" s="1391">
        <v>3655.24</v>
      </c>
      <c r="E292" s="1391">
        <v>1.0049274991744226</v>
      </c>
      <c r="F292" s="1391">
        <v>30.98163595499836</v>
      </c>
      <c r="K292" s="1471">
        <v>42349</v>
      </c>
      <c r="L292" s="1472" t="s">
        <v>2127</v>
      </c>
      <c r="M292" s="1473">
        <v>5.2531000000000001E-2</v>
      </c>
      <c r="N292" s="1474">
        <v>1.1054617100916655</v>
      </c>
      <c r="O292" s="1474">
        <v>1.1054617100916655</v>
      </c>
    </row>
    <row r="293" spans="2:15">
      <c r="B293" s="1390">
        <v>41334</v>
      </c>
      <c r="C293" s="1391">
        <v>514.52599999999995</v>
      </c>
      <c r="D293" s="1391">
        <v>3672.42</v>
      </c>
      <c r="E293" s="1391">
        <v>1.0054940366101026</v>
      </c>
      <c r="F293" s="1391">
        <v>31.151850197175992</v>
      </c>
      <c r="K293" s="1471">
        <v>42350</v>
      </c>
      <c r="L293" s="1472"/>
      <c r="M293" s="1473">
        <v>0</v>
      </c>
      <c r="N293" s="1474">
        <v>1.1054617100916655</v>
      </c>
      <c r="O293" s="1474">
        <v>1.1054617100916655</v>
      </c>
    </row>
    <row r="294" spans="2:15">
      <c r="B294" s="1390">
        <v>41365</v>
      </c>
      <c r="C294" s="1391">
        <v>515.27599999999995</v>
      </c>
      <c r="D294" s="1391">
        <v>3692.62</v>
      </c>
      <c r="E294" s="1391">
        <v>1.0061364605097283</v>
      </c>
      <c r="F294" s="1391">
        <v>31.343012295715933</v>
      </c>
      <c r="K294" s="1471">
        <v>42351</v>
      </c>
      <c r="L294" s="1472"/>
      <c r="M294" s="1473">
        <v>0</v>
      </c>
      <c r="N294" s="1474">
        <v>1.1054617100916655</v>
      </c>
      <c r="O294" s="1474">
        <v>1.1054617100916655</v>
      </c>
    </row>
    <row r="295" spans="2:15">
      <c r="B295" s="1390">
        <v>41395</v>
      </c>
      <c r="C295" s="1391">
        <v>515.29899999999998</v>
      </c>
      <c r="D295" s="1391">
        <v>3706.28</v>
      </c>
      <c r="E295" s="1391">
        <v>1.0059853629993882</v>
      </c>
      <c r="F295" s="1391">
        <v>31.530611601800082</v>
      </c>
      <c r="K295" s="1471">
        <v>42352</v>
      </c>
      <c r="L295" s="1472" t="s">
        <v>2127</v>
      </c>
      <c r="M295" s="1473">
        <v>5.2531000000000001E-2</v>
      </c>
      <c r="N295" s="1474">
        <v>1.1060424201825938</v>
      </c>
      <c r="O295" s="1474">
        <v>1.1060424201825938</v>
      </c>
    </row>
    <row r="296" spans="2:15">
      <c r="B296" s="1390">
        <v>41426</v>
      </c>
      <c r="C296" s="1391">
        <v>519.15300000000002</v>
      </c>
      <c r="D296" s="1391">
        <v>3715.92</v>
      </c>
      <c r="E296" s="1391">
        <v>1.0060527337434972</v>
      </c>
      <c r="F296" s="1391">
        <v>31.721457998595405</v>
      </c>
      <c r="G296" s="66"/>
      <c r="K296" s="1471">
        <v>42353</v>
      </c>
      <c r="L296" s="1472" t="s">
        <v>2127</v>
      </c>
      <c r="M296" s="1473">
        <v>5.2531000000000001E-2</v>
      </c>
      <c r="N296" s="1474">
        <v>1.10662343532634</v>
      </c>
      <c r="O296" s="1474">
        <v>1.10662343532634</v>
      </c>
    </row>
    <row r="297" spans="2:15">
      <c r="B297" s="1390">
        <v>41456</v>
      </c>
      <c r="C297" s="1391">
        <v>520.50800000000004</v>
      </c>
      <c r="D297" s="1391">
        <v>3717.03</v>
      </c>
      <c r="E297" s="1391">
        <v>1.0072409169740031</v>
      </c>
      <c r="F297" s="1391">
        <v>31.951150442257561</v>
      </c>
      <c r="K297" s="1471">
        <v>42354</v>
      </c>
      <c r="L297" s="1472" t="s">
        <v>2127</v>
      </c>
      <c r="M297" s="1473">
        <v>5.2531000000000001E-2</v>
      </c>
      <c r="N297" s="1474">
        <v>1.1072047556831512</v>
      </c>
      <c r="O297" s="1474">
        <v>1.1072047556831512</v>
      </c>
    </row>
    <row r="298" spans="2:15">
      <c r="B298" s="1390">
        <v>41487</v>
      </c>
      <c r="C298" s="1391">
        <v>521.27</v>
      </c>
      <c r="D298" s="1391">
        <v>3725.95</v>
      </c>
      <c r="E298" s="1391">
        <v>1.0071031495053051</v>
      </c>
      <c r="F298" s="1391">
        <v>32.178104240715413</v>
      </c>
      <c r="K298" s="1471">
        <v>42355</v>
      </c>
      <c r="L298" s="1472" t="s">
        <v>2127</v>
      </c>
      <c r="M298" s="1473">
        <v>5.2531000000000001E-2</v>
      </c>
      <c r="N298" s="1474">
        <v>1.1077863814133591</v>
      </c>
      <c r="O298" s="1474">
        <v>1.1077863814133591</v>
      </c>
    </row>
    <row r="299" spans="2:15">
      <c r="B299" s="1390">
        <v>41518</v>
      </c>
      <c r="C299" s="1391">
        <v>529.08500000000004</v>
      </c>
      <c r="D299" s="1391">
        <v>3738.99</v>
      </c>
      <c r="E299" s="1391">
        <v>1.0071302882501354</v>
      </c>
      <c r="F299" s="1391">
        <v>32.407543399294617</v>
      </c>
      <c r="K299" s="1471">
        <v>42356</v>
      </c>
      <c r="L299" s="1472" t="s">
        <v>2127</v>
      </c>
      <c r="M299" s="1473">
        <v>5.2531000000000001E-2</v>
      </c>
      <c r="N299" s="1474">
        <v>1.1083683126773793</v>
      </c>
      <c r="O299" s="1474">
        <v>1.1083683126773793</v>
      </c>
    </row>
    <row r="300" spans="2:15">
      <c r="B300" s="1390">
        <v>41548</v>
      </c>
      <c r="C300" s="1391">
        <v>533.62099999999998</v>
      </c>
      <c r="D300" s="1391">
        <v>3760.3</v>
      </c>
      <c r="E300" s="1391">
        <v>1.0081051023495244</v>
      </c>
      <c r="F300" s="1391">
        <v>32.670209855442558</v>
      </c>
      <c r="G300" s="67"/>
      <c r="K300" s="1471">
        <v>42357</v>
      </c>
      <c r="L300" s="1472"/>
      <c r="M300" s="1473">
        <v>0</v>
      </c>
      <c r="N300" s="1474">
        <v>1.1083683126773793</v>
      </c>
      <c r="O300" s="1474">
        <v>1.1083683126773793</v>
      </c>
    </row>
    <row r="301" spans="2:15">
      <c r="B301" s="1390">
        <v>41579</v>
      </c>
      <c r="C301" s="1391">
        <v>535.16800000000001</v>
      </c>
      <c r="D301" s="1391">
        <v>3780.61</v>
      </c>
      <c r="E301" s="1391">
        <v>1.0071920752752215</v>
      </c>
      <c r="F301" s="1391">
        <v>32.905176463980183</v>
      </c>
      <c r="G301" s="67"/>
      <c r="K301" s="1471">
        <v>42358</v>
      </c>
      <c r="L301" s="1472"/>
      <c r="M301" s="1473">
        <v>0</v>
      </c>
      <c r="N301" s="1474">
        <v>1.1083683126773793</v>
      </c>
      <c r="O301" s="1474">
        <v>1.1083683126773793</v>
      </c>
    </row>
    <row r="302" spans="2:15">
      <c r="B302" s="1390">
        <v>41609</v>
      </c>
      <c r="C302" s="1391">
        <v>538.37</v>
      </c>
      <c r="D302" s="1391">
        <v>3815.39</v>
      </c>
      <c r="E302" s="1391">
        <v>1.0078974581644051</v>
      </c>
      <c r="F302" s="1391">
        <v>33.165043718496833</v>
      </c>
      <c r="G302" s="66"/>
      <c r="K302" s="1471">
        <v>42359</v>
      </c>
      <c r="L302" s="1472" t="s">
        <v>2127</v>
      </c>
      <c r="M302" s="1473">
        <v>5.2531000000000001E-2</v>
      </c>
      <c r="N302" s="1474">
        <v>1.1089505496357119</v>
      </c>
      <c r="O302" s="1474">
        <v>1.1089505496357119</v>
      </c>
    </row>
    <row r="303" spans="2:15">
      <c r="B303" s="1390">
        <v>41640</v>
      </c>
      <c r="C303" s="1391">
        <v>540.95899999999995</v>
      </c>
      <c r="D303" s="1391">
        <v>3836.38</v>
      </c>
      <c r="E303" s="1391">
        <v>1.0084934395272054</v>
      </c>
      <c r="F303" s="1391">
        <v>33.446729011737006</v>
      </c>
      <c r="K303" s="1471">
        <v>42360</v>
      </c>
      <c r="L303" s="1472" t="s">
        <v>2127</v>
      </c>
      <c r="M303" s="1473">
        <v>5.2531000000000001E-2</v>
      </c>
      <c r="N303" s="1474">
        <v>1.109533092448941</v>
      </c>
      <c r="O303" s="1474">
        <v>1.109533092448941</v>
      </c>
    </row>
    <row r="304" spans="2:15">
      <c r="B304" s="1390">
        <v>41671</v>
      </c>
      <c r="C304" s="1391">
        <v>543.03800000000001</v>
      </c>
      <c r="D304" s="1391">
        <v>3862.84</v>
      </c>
      <c r="E304" s="1391">
        <v>1.007901464239193</v>
      </c>
      <c r="F304" s="1391">
        <v>33.711007144941227</v>
      </c>
      <c r="K304" s="1471">
        <v>42361</v>
      </c>
      <c r="L304" s="1472" t="s">
        <v>2127</v>
      </c>
      <c r="M304" s="1473">
        <v>5.2531000000000001E-2</v>
      </c>
      <c r="N304" s="1474">
        <v>1.1101159412777355</v>
      </c>
      <c r="O304" s="1474">
        <v>1.1101159412777355</v>
      </c>
    </row>
    <row r="305" spans="2:15">
      <c r="B305" s="1390">
        <v>41699</v>
      </c>
      <c r="C305" s="1391">
        <v>552.08699999999999</v>
      </c>
      <c r="D305" s="1391">
        <v>3898.38</v>
      </c>
      <c r="E305" s="1391">
        <v>1.0076595732083427</v>
      </c>
      <c r="F305" s="1391">
        <v>33.969219072094866</v>
      </c>
      <c r="K305" s="1471">
        <v>42362</v>
      </c>
      <c r="L305" s="1472" t="s">
        <v>2127</v>
      </c>
      <c r="M305" s="1473">
        <v>5.2531000000000001E-2</v>
      </c>
      <c r="N305" s="1474">
        <v>1.110699096282848</v>
      </c>
      <c r="O305" s="1474">
        <v>1.110699096282848</v>
      </c>
    </row>
    <row r="306" spans="2:15">
      <c r="B306" s="1390">
        <v>41730</v>
      </c>
      <c r="C306" s="1391">
        <v>556.41999999999996</v>
      </c>
      <c r="D306" s="1391">
        <v>3924.5</v>
      </c>
      <c r="E306" s="1391">
        <v>1.0082266762081393</v>
      </c>
      <c r="F306" s="1391">
        <v>34.248672838444342</v>
      </c>
      <c r="K306" s="1471">
        <v>42363</v>
      </c>
      <c r="L306" s="1472"/>
      <c r="M306" s="1473">
        <v>0</v>
      </c>
      <c r="N306" s="1474">
        <v>1.110699096282848</v>
      </c>
      <c r="O306" s="1474">
        <v>1.110699096282848</v>
      </c>
    </row>
    <row r="307" spans="2:15">
      <c r="B307" s="1390">
        <v>41760</v>
      </c>
      <c r="C307" s="1391">
        <v>555.67899999999997</v>
      </c>
      <c r="D307" s="1391">
        <v>3942.55</v>
      </c>
      <c r="E307" s="1391">
        <v>1.0086587318278823</v>
      </c>
      <c r="F307" s="1391">
        <v>34.545222912013308</v>
      </c>
      <c r="K307" s="1471">
        <v>42364</v>
      </c>
      <c r="L307" s="1472"/>
      <c r="M307" s="1473">
        <v>0</v>
      </c>
      <c r="N307" s="1474">
        <v>1.110699096282848</v>
      </c>
      <c r="O307" s="1474">
        <v>1.110699096282848</v>
      </c>
    </row>
    <row r="308" spans="2:15">
      <c r="B308" s="1390">
        <v>41791</v>
      </c>
      <c r="C308" s="1391">
        <v>551.55399999999997</v>
      </c>
      <c r="D308" s="1391">
        <v>3958.32</v>
      </c>
      <c r="E308" s="1391">
        <v>1.0082447163000285</v>
      </c>
      <c r="F308" s="1391">
        <v>34.830038474444102</v>
      </c>
      <c r="K308" s="1471">
        <v>42365</v>
      </c>
      <c r="L308" s="1472"/>
      <c r="M308" s="1473">
        <v>0</v>
      </c>
      <c r="N308" s="1474">
        <v>1.110699096282848</v>
      </c>
      <c r="O308" s="1474">
        <v>1.110699096282848</v>
      </c>
    </row>
    <row r="309" spans="2:15">
      <c r="B309" s="1390">
        <v>41821</v>
      </c>
      <c r="C309" s="1391">
        <v>548.202</v>
      </c>
      <c r="D309" s="1391">
        <v>3958.72</v>
      </c>
      <c r="E309" s="1391">
        <v>1.0094872729749897</v>
      </c>
      <c r="F309" s="1391">
        <v>35.160480557180549</v>
      </c>
      <c r="K309" s="1471">
        <v>42366</v>
      </c>
      <c r="L309" s="1472" t="s">
        <v>2127</v>
      </c>
      <c r="M309" s="1473">
        <v>5.2531000000000001E-2</v>
      </c>
      <c r="N309" s="1474">
        <v>1.1112825576251164</v>
      </c>
      <c r="O309" s="1474">
        <v>1.1112825576251164</v>
      </c>
    </row>
    <row r="310" spans="2:15">
      <c r="B310" s="1390">
        <v>41852</v>
      </c>
      <c r="C310" s="1391">
        <v>546.745</v>
      </c>
      <c r="D310" s="1391">
        <v>3968.62</v>
      </c>
      <c r="E310" s="1391">
        <v>1.0086598207325679</v>
      </c>
      <c r="F310" s="1391">
        <v>35.464964015676671</v>
      </c>
      <c r="K310" s="1471">
        <v>42367</v>
      </c>
      <c r="L310" s="1472" t="s">
        <v>2127</v>
      </c>
      <c r="M310" s="1473">
        <v>5.2531000000000001E-2</v>
      </c>
      <c r="N310" s="1474">
        <v>1.1118663254654624</v>
      </c>
      <c r="O310" s="1474">
        <v>1.1118663254654624</v>
      </c>
    </row>
    <row r="311" spans="2:15">
      <c r="B311" s="1390">
        <v>41883</v>
      </c>
      <c r="C311" s="1391">
        <v>547.83900000000006</v>
      </c>
      <c r="D311" s="1391">
        <v>3991.24</v>
      </c>
      <c r="E311" s="1391">
        <v>1.0090729173629331</v>
      </c>
      <c r="F311" s="1391">
        <v>35.786734703470302</v>
      </c>
      <c r="K311" s="1471">
        <v>42368</v>
      </c>
      <c r="L311" s="1472" t="s">
        <v>2127</v>
      </c>
      <c r="M311" s="1473">
        <v>5.2531000000000001E-2</v>
      </c>
      <c r="N311" s="1474">
        <v>1.1124503999648927</v>
      </c>
      <c r="O311" s="1474">
        <v>1.1124503999648927</v>
      </c>
    </row>
    <row r="312" spans="2:15">
      <c r="B312" s="1390">
        <v>41913</v>
      </c>
      <c r="C312" s="1391">
        <v>549.39599999999996</v>
      </c>
      <c r="D312" s="1391">
        <v>4008</v>
      </c>
      <c r="E312" s="1391">
        <v>1.009505315279368</v>
      </c>
      <c r="F312" s="1391">
        <v>36.126898899645887</v>
      </c>
      <c r="K312" s="1471">
        <v>42369</v>
      </c>
      <c r="L312" s="1472" t="s">
        <v>2127</v>
      </c>
      <c r="M312" s="1473">
        <v>5.2531000000000001E-2</v>
      </c>
      <c r="N312" s="1474">
        <v>1.1130347812844983</v>
      </c>
      <c r="O312" s="1474">
        <v>1.1130347812844983</v>
      </c>
    </row>
    <row r="313" spans="2:15">
      <c r="B313" s="1390">
        <v>41944</v>
      </c>
      <c r="C313" s="1391">
        <v>554.76900000000001</v>
      </c>
      <c r="D313" s="1391">
        <v>4028.44</v>
      </c>
      <c r="E313" s="1391">
        <v>1.0084249317586502</v>
      </c>
      <c r="F313" s="1391">
        <v>36.431265557527063</v>
      </c>
      <c r="K313" s="1471">
        <v>42370</v>
      </c>
      <c r="L313" s="1472"/>
      <c r="M313" s="1473">
        <v>0</v>
      </c>
      <c r="N313" s="1474">
        <v>1.1130347812844983</v>
      </c>
      <c r="O313" s="1474">
        <v>1.1130347812844983</v>
      </c>
    </row>
    <row r="314" spans="2:15">
      <c r="B314" s="1390">
        <v>41974</v>
      </c>
      <c r="C314" s="1391">
        <v>558.21299999999997</v>
      </c>
      <c r="D314" s="1391">
        <v>4059.86</v>
      </c>
      <c r="E314" s="1391">
        <v>1.0096129495106978</v>
      </c>
      <c r="F314" s="1391">
        <v>36.781477473942395</v>
      </c>
      <c r="K314" s="1471">
        <v>42371</v>
      </c>
      <c r="L314" s="1472"/>
      <c r="M314" s="1473">
        <v>0</v>
      </c>
      <c r="N314" s="1474">
        <v>1.1130347812844983</v>
      </c>
      <c r="O314" s="1474">
        <v>1.1130347812844983</v>
      </c>
    </row>
    <row r="315" spans="2:15">
      <c r="B315" s="1390">
        <v>42005</v>
      </c>
      <c r="C315" s="1391">
        <v>562.48199999999997</v>
      </c>
      <c r="D315" s="1391">
        <v>4110.2</v>
      </c>
      <c r="E315" s="1391">
        <v>1.0093507541041149</v>
      </c>
      <c r="F315" s="1391">
        <v>37.12541202538727</v>
      </c>
      <c r="K315" s="1471">
        <v>42372</v>
      </c>
      <c r="L315" s="1472"/>
      <c r="M315" s="1473">
        <v>0</v>
      </c>
      <c r="N315" s="1474">
        <v>1.1130347812844983</v>
      </c>
      <c r="O315" s="1474">
        <v>1.1130347812844983</v>
      </c>
    </row>
    <row r="316" spans="2:15">
      <c r="B316" s="1390">
        <v>42036</v>
      </c>
      <c r="C316" s="1391">
        <v>564.00400000000002</v>
      </c>
      <c r="D316" s="1391">
        <v>4160.34</v>
      </c>
      <c r="E316" s="1391">
        <v>1.0082241099890967</v>
      </c>
      <c r="F316" s="1391">
        <v>37.43073549727459</v>
      </c>
      <c r="K316" s="1471">
        <v>42373</v>
      </c>
      <c r="L316" s="1472" t="s">
        <v>2127</v>
      </c>
      <c r="M316" s="1473">
        <v>5.2531000000000001E-2</v>
      </c>
      <c r="N316" s="1474">
        <v>1.1136194695854549</v>
      </c>
      <c r="O316" s="1474">
        <v>1.1136194695854549</v>
      </c>
    </row>
    <row r="317" spans="2:15">
      <c r="B317" s="1390">
        <v>42064</v>
      </c>
      <c r="C317" s="1391">
        <v>569.53599999999994</v>
      </c>
      <c r="D317" s="1391">
        <v>4215.26</v>
      </c>
      <c r="E317" s="1391">
        <v>1.0103996710699541</v>
      </c>
      <c r="F317" s="1391">
        <v>37.820002834352699</v>
      </c>
      <c r="K317" s="1471">
        <v>42374</v>
      </c>
      <c r="L317" s="1472" t="s">
        <v>2127</v>
      </c>
      <c r="M317" s="1473">
        <v>5.2531000000000001E-2</v>
      </c>
      <c r="N317" s="1474">
        <v>1.1142044650290228</v>
      </c>
      <c r="O317" s="1474">
        <v>1.1142044650290228</v>
      </c>
    </row>
    <row r="318" spans="2:15">
      <c r="B318" s="1390">
        <v>42095</v>
      </c>
      <c r="C318" s="1391">
        <v>576.17499999999995</v>
      </c>
      <c r="D318" s="1391">
        <v>4245.1899999999996</v>
      </c>
      <c r="E318" s="1391">
        <v>1.0095179160892187</v>
      </c>
      <c r="F318" s="1391">
        <v>38.179970447824083</v>
      </c>
      <c r="K318" s="1471">
        <v>42375</v>
      </c>
      <c r="L318" s="1472" t="s">
        <v>2127</v>
      </c>
      <c r="M318" s="1473">
        <v>5.2531000000000001E-2</v>
      </c>
      <c r="N318" s="1474">
        <v>1.1147897677765473</v>
      </c>
      <c r="O318" s="1474">
        <v>1.1147897677765473</v>
      </c>
    </row>
    <row r="319" spans="2:15">
      <c r="B319" s="1390">
        <v>42125</v>
      </c>
      <c r="C319" s="1391">
        <v>578.51599999999996</v>
      </c>
      <c r="D319" s="1391">
        <v>4276.6000000000004</v>
      </c>
      <c r="E319" s="1391">
        <v>1.0098532226245138</v>
      </c>
      <c r="F319" s="1391">
        <v>38.556166196443854</v>
      </c>
      <c r="K319" s="1471">
        <v>42376</v>
      </c>
      <c r="L319" s="1472" t="s">
        <v>2127</v>
      </c>
      <c r="M319" s="1473">
        <v>5.2531000000000001E-2</v>
      </c>
      <c r="N319" s="1474">
        <v>1.115375377989458</v>
      </c>
      <c r="O319" s="1474">
        <v>1.115375377989458</v>
      </c>
    </row>
    <row r="320" spans="2:15">
      <c r="B320" s="1390">
        <v>42156</v>
      </c>
      <c r="C320" s="1391">
        <v>582.40099999999995</v>
      </c>
      <c r="D320" s="1391">
        <v>4310.3900000000003</v>
      </c>
      <c r="E320" s="1391">
        <v>1.0106667572412273</v>
      </c>
      <c r="F320" s="1391">
        <v>38.967435461413736</v>
      </c>
      <c r="K320" s="1471">
        <v>42377</v>
      </c>
      <c r="L320" s="1472" t="s">
        <v>2127</v>
      </c>
      <c r="M320" s="1473">
        <v>5.2531000000000001E-2</v>
      </c>
      <c r="N320" s="1474">
        <v>1.1159612958292695</v>
      </c>
      <c r="O320" s="1474">
        <v>1.1159612958292695</v>
      </c>
    </row>
    <row r="321" spans="2:15">
      <c r="B321" s="1390">
        <v>42186</v>
      </c>
      <c r="C321" s="1391">
        <v>586.42600000000004</v>
      </c>
      <c r="D321" s="1391">
        <v>4337.1099999999997</v>
      </c>
      <c r="E321" s="1391">
        <v>1.0117819838421735</v>
      </c>
      <c r="F321" s="1391">
        <v>39.426549156391054</v>
      </c>
      <c r="K321" s="1471">
        <v>42378</v>
      </c>
      <c r="L321" s="1472"/>
      <c r="M321" s="1473">
        <v>0</v>
      </c>
      <c r="N321" s="1474">
        <v>1.1159612958292695</v>
      </c>
      <c r="O321" s="1474">
        <v>1.1159612958292695</v>
      </c>
    </row>
    <row r="322" spans="2:15">
      <c r="B322" s="1390">
        <v>42217</v>
      </c>
      <c r="C322" s="1391">
        <v>588.04200000000003</v>
      </c>
      <c r="D322" s="1391">
        <v>4346.6499999999996</v>
      </c>
      <c r="E322" s="1391">
        <v>1.0110896528780247</v>
      </c>
      <c r="F322" s="1391">
        <v>39.863775900713804</v>
      </c>
      <c r="K322" s="1471">
        <v>42379</v>
      </c>
      <c r="L322" s="1472"/>
      <c r="M322" s="1473">
        <v>0</v>
      </c>
      <c r="N322" s="1474">
        <v>1.1159612958292695</v>
      </c>
      <c r="O322" s="1474">
        <v>1.1159612958292695</v>
      </c>
    </row>
    <row r="323" spans="2:15">
      <c r="B323" s="1390">
        <v>42248</v>
      </c>
      <c r="C323" s="1391">
        <v>593.60599999999999</v>
      </c>
      <c r="D323" s="1391">
        <v>4370.12</v>
      </c>
      <c r="E323" s="1391">
        <v>1.0110896528780244</v>
      </c>
      <c r="F323" s="1391">
        <v>40.305851337860076</v>
      </c>
      <c r="K323" s="1471">
        <v>42380</v>
      </c>
      <c r="L323" s="1472" t="s">
        <v>2127</v>
      </c>
      <c r="M323" s="1473">
        <v>5.2531000000000001E-2</v>
      </c>
      <c r="N323" s="1474">
        <v>1.1165475214575815</v>
      </c>
      <c r="O323" s="1474">
        <v>1.1165475214575815</v>
      </c>
    </row>
    <row r="324" spans="2:15">
      <c r="B324" s="1390">
        <v>42278</v>
      </c>
      <c r="C324" s="1391">
        <v>604.83199999999999</v>
      </c>
      <c r="D324" s="1391">
        <v>4405.95</v>
      </c>
      <c r="E324" s="1391">
        <v>1.0110896528780242</v>
      </c>
      <c r="F324" s="1391">
        <v>40.752829238150191</v>
      </c>
      <c r="K324" s="1471">
        <v>42381</v>
      </c>
      <c r="L324" s="1472" t="s">
        <v>2127</v>
      </c>
      <c r="M324" s="1473">
        <v>5.2531000000000001E-2</v>
      </c>
      <c r="N324" s="1474">
        <v>1.1171340550360784</v>
      </c>
      <c r="O324" s="1474">
        <v>1.1171340550360784</v>
      </c>
    </row>
    <row r="325" spans="2:15">
      <c r="B325" s="1390">
        <v>42309</v>
      </c>
      <c r="C325" s="1391">
        <v>614.05100000000004</v>
      </c>
      <c r="D325" s="1391">
        <v>4450.45</v>
      </c>
      <c r="E325" s="1391">
        <v>1.0105587962367735</v>
      </c>
      <c r="F325" s="1391">
        <v>41.183130058147846</v>
      </c>
      <c r="K325" s="1471">
        <v>42382</v>
      </c>
      <c r="L325" s="1472" t="s">
        <v>2127</v>
      </c>
      <c r="M325" s="1473">
        <v>5.2531000000000001E-2</v>
      </c>
      <c r="N325" s="1474">
        <v>1.1177208967265295</v>
      </c>
      <c r="O325" s="1474">
        <v>1.1177208967265295</v>
      </c>
    </row>
    <row r="326" spans="2:15">
      <c r="B326" s="1390">
        <v>42339</v>
      </c>
      <c r="C326" s="1391">
        <v>617.04399999999998</v>
      </c>
      <c r="D326" s="1391">
        <v>4493.17</v>
      </c>
      <c r="E326" s="1391">
        <v>1.0116207883835777</v>
      </c>
      <c r="F326" s="1391">
        <v>41.66171049752694</v>
      </c>
      <c r="K326" s="1471">
        <v>42383</v>
      </c>
      <c r="L326" s="1472" t="s">
        <v>2127</v>
      </c>
      <c r="M326" s="1473">
        <v>5.2531000000000001E-2</v>
      </c>
      <c r="N326" s="1474">
        <v>1.1183080466907889</v>
      </c>
      <c r="O326" s="1474">
        <v>1.1183080466907889</v>
      </c>
    </row>
    <row r="327" spans="2:15">
      <c r="B327" s="1390">
        <v>42370</v>
      </c>
      <c r="C327" s="1391">
        <v>624.05999999999995</v>
      </c>
      <c r="D327" s="1391">
        <v>4550.2299999999996</v>
      </c>
      <c r="E327" s="1391">
        <v>1.0105587962367735</v>
      </c>
      <c r="F327" s="1391">
        <v>42.101608009545771</v>
      </c>
      <c r="K327" s="1471">
        <v>42384</v>
      </c>
      <c r="L327" s="1472" t="s">
        <v>2127</v>
      </c>
      <c r="M327" s="1473">
        <v>5.2531000000000001E-2</v>
      </c>
      <c r="N327" s="1474">
        <v>1.118895505090796</v>
      </c>
      <c r="O327" s="1474">
        <v>1.118895505090796</v>
      </c>
    </row>
    <row r="328" spans="2:15">
      <c r="B328" s="1390">
        <v>42401</v>
      </c>
      <c r="C328" s="1391">
        <v>632.11400000000003</v>
      </c>
      <c r="D328" s="1391">
        <v>4591.18</v>
      </c>
      <c r="E328" s="1391">
        <v>1.0100282183134115</v>
      </c>
      <c r="F328" s="1391">
        <v>42.523812126011173</v>
      </c>
      <c r="K328" s="1471">
        <v>42385</v>
      </c>
      <c r="L328" s="1472"/>
      <c r="M328" s="1473">
        <v>0</v>
      </c>
      <c r="N328" s="1474">
        <v>1.118895505090796</v>
      </c>
      <c r="O328" s="1474">
        <v>1.118895505090796</v>
      </c>
    </row>
    <row r="329" spans="2:15">
      <c r="B329" s="1390">
        <v>42430</v>
      </c>
      <c r="C329" s="1391">
        <v>635.34900000000005</v>
      </c>
      <c r="D329" s="1391">
        <v>4610.92</v>
      </c>
      <c r="E329" s="1391">
        <v>1.0116207883835779</v>
      </c>
      <c r="F329" s="1391">
        <v>43.017972347990572</v>
      </c>
      <c r="K329" s="1471">
        <v>42386</v>
      </c>
      <c r="L329" s="1472"/>
      <c r="M329" s="1473">
        <v>0</v>
      </c>
      <c r="N329" s="1474">
        <v>1.118895505090796</v>
      </c>
      <c r="O329" s="1474">
        <v>1.118895505090796</v>
      </c>
    </row>
    <row r="330" spans="2:15">
      <c r="B330" s="1390">
        <v>42461</v>
      </c>
      <c r="C330" s="1391">
        <v>637.43399999999997</v>
      </c>
      <c r="D330" s="1391">
        <v>4639.05</v>
      </c>
      <c r="E330" s="1391">
        <v>1.0105587962367735</v>
      </c>
      <c r="F330" s="1391">
        <v>43.472190352532159</v>
      </c>
      <c r="K330" s="1471">
        <v>42387</v>
      </c>
      <c r="L330" s="1472" t="s">
        <v>2127</v>
      </c>
      <c r="M330" s="1473">
        <v>5.2531000000000001E-2</v>
      </c>
      <c r="N330" s="1474">
        <v>1.1194832720885752</v>
      </c>
      <c r="O330" s="1474">
        <v>1.1194832720885752</v>
      </c>
    </row>
    <row r="331" spans="2:15">
      <c r="B331" s="1390">
        <v>42491</v>
      </c>
      <c r="C331" s="1391">
        <v>642.65099999999995</v>
      </c>
      <c r="D331" s="1391">
        <v>4675.2299999999996</v>
      </c>
      <c r="E331" s="1391">
        <v>1.0110896528780244</v>
      </c>
      <c r="F331" s="1391">
        <v>43.954281853389141</v>
      </c>
      <c r="K331" s="1471">
        <v>42388</v>
      </c>
      <c r="L331" s="1472" t="s">
        <v>2127</v>
      </c>
      <c r="M331" s="1473">
        <v>5.2531000000000001E-2</v>
      </c>
      <c r="N331" s="1474">
        <v>1.1200713478462361</v>
      </c>
      <c r="O331" s="1474">
        <v>1.1200713478462361</v>
      </c>
    </row>
    <row r="332" spans="2:15">
      <c r="B332" s="1390">
        <v>42522</v>
      </c>
      <c r="C332" s="1391">
        <v>653.49599999999998</v>
      </c>
      <c r="D332" s="1391">
        <v>4691.59</v>
      </c>
      <c r="E332" s="1391">
        <v>1.0116207883835777</v>
      </c>
      <c r="F332" s="1391">
        <v>44.465065261359506</v>
      </c>
      <c r="K332" s="1471">
        <v>42389</v>
      </c>
      <c r="L332" s="1472" t="s">
        <v>2127</v>
      </c>
      <c r="M332" s="1473">
        <v>5.2531000000000001E-2</v>
      </c>
      <c r="N332" s="1474">
        <v>1.1206597325259733</v>
      </c>
      <c r="O332" s="1474">
        <v>1.1206597325259733</v>
      </c>
    </row>
    <row r="333" spans="2:15">
      <c r="B333" s="1390">
        <v>42552</v>
      </c>
      <c r="C333" s="1391">
        <v>654.64099999999996</v>
      </c>
      <c r="D333" s="1391">
        <v>4715.99</v>
      </c>
      <c r="E333" s="1391">
        <v>1.0110896528780242</v>
      </c>
      <c r="F333" s="1391">
        <v>44.958167400306678</v>
      </c>
      <c r="K333" s="1471">
        <v>42390</v>
      </c>
      <c r="L333" s="1472" t="s">
        <v>2127</v>
      </c>
      <c r="M333" s="1473">
        <v>5.2531000000000001E-2</v>
      </c>
      <c r="N333" s="1474">
        <v>1.1212484262900666</v>
      </c>
      <c r="O333" s="1474">
        <v>1.1212484262900666</v>
      </c>
    </row>
    <row r="334" spans="2:15">
      <c r="B334" s="1390">
        <v>42583</v>
      </c>
      <c r="C334" s="1391">
        <v>655.60199999999998</v>
      </c>
      <c r="D334" s="1391">
        <v>4736.74</v>
      </c>
      <c r="E334" s="1391">
        <v>1.0121522028999232</v>
      </c>
      <c r="F334" s="1391">
        <v>45.504508172563916</v>
      </c>
      <c r="K334" s="1471">
        <v>42391</v>
      </c>
      <c r="L334" s="1472" t="s">
        <v>2127</v>
      </c>
      <c r="M334" s="1473">
        <v>5.2531000000000001E-2</v>
      </c>
      <c r="N334" s="1474">
        <v>1.121837429300881</v>
      </c>
      <c r="O334" s="1474">
        <v>1.121837429300881</v>
      </c>
    </row>
    <row r="335" spans="2:15">
      <c r="B335" s="1390">
        <v>42614</v>
      </c>
      <c r="C335" s="1391">
        <v>656.89400000000001</v>
      </c>
      <c r="D335" s="1391">
        <v>4740.53</v>
      </c>
      <c r="E335" s="1391">
        <v>1.0110896528780247</v>
      </c>
      <c r="F335" s="1391">
        <v>46.009137372582884</v>
      </c>
      <c r="K335" s="1471">
        <v>42392</v>
      </c>
      <c r="L335" s="1472"/>
      <c r="M335" s="1473">
        <v>0</v>
      </c>
      <c r="N335" s="1474">
        <v>1.121837429300881</v>
      </c>
      <c r="O335" s="1474">
        <v>1.121837429300881</v>
      </c>
    </row>
    <row r="336" spans="2:15">
      <c r="B336" s="1390">
        <v>42644</v>
      </c>
      <c r="C336" s="1391">
        <v>657.92700000000002</v>
      </c>
      <c r="D336" s="1391">
        <v>4752.8599999999997</v>
      </c>
      <c r="E336" s="1391">
        <v>1.0104884196148551</v>
      </c>
      <c r="F336" s="1391">
        <v>46.491700511464046</v>
      </c>
      <c r="K336" s="1471">
        <v>42393</v>
      </c>
      <c r="L336" s="1472"/>
      <c r="M336" s="1473">
        <v>0</v>
      </c>
      <c r="N336" s="1474">
        <v>1.121837429300881</v>
      </c>
      <c r="O336" s="1474">
        <v>1.121837429300881</v>
      </c>
    </row>
    <row r="337" spans="2:15">
      <c r="B337" s="1390">
        <v>42675</v>
      </c>
      <c r="C337" s="1391">
        <v>657.75199999999995</v>
      </c>
      <c r="D337" s="1391">
        <v>4761.42</v>
      </c>
      <c r="E337" s="1391">
        <v>1.0103828638714687</v>
      </c>
      <c r="F337" s="1391">
        <v>46.974417509027667</v>
      </c>
      <c r="K337" s="1471">
        <v>42394</v>
      </c>
      <c r="L337" s="1472" t="s">
        <v>2127</v>
      </c>
      <c r="M337" s="1473">
        <v>5.2531000000000001E-2</v>
      </c>
      <c r="N337" s="1474">
        <v>1.1224267417208671</v>
      </c>
      <c r="O337" s="1474">
        <v>1.1224267417208671</v>
      </c>
    </row>
    <row r="338" spans="2:15">
      <c r="B338" s="1390">
        <v>42705</v>
      </c>
      <c r="C338" s="1391">
        <v>661.30399999999997</v>
      </c>
      <c r="D338" s="1391">
        <v>4775.7</v>
      </c>
      <c r="E338" s="1391">
        <v>1.0112331468569866</v>
      </c>
      <c r="F338" s="1391">
        <v>47.502088039427981</v>
      </c>
      <c r="K338" s="1471">
        <v>42395</v>
      </c>
      <c r="L338" s="1472" t="s">
        <v>2127</v>
      </c>
      <c r="M338" s="1473">
        <v>5.2531000000000001E-2</v>
      </c>
      <c r="N338" s="1474">
        <v>1.1230163637125605</v>
      </c>
      <c r="O338" s="1474">
        <v>1.1230163637125605</v>
      </c>
    </row>
    <row r="339" spans="2:15">
      <c r="B339" s="1390">
        <v>42736</v>
      </c>
      <c r="C339" s="1391">
        <v>665.54200000000003</v>
      </c>
      <c r="D339" s="1391">
        <v>4793.8500000000004</v>
      </c>
      <c r="E339" s="1391">
        <v>1.0108612048503447</v>
      </c>
      <c r="F339" s="1391">
        <v>48.018017948443315</v>
      </c>
      <c r="K339" s="1471">
        <v>42396</v>
      </c>
      <c r="L339" s="1472" t="s">
        <v>2127</v>
      </c>
      <c r="M339" s="1473">
        <v>5.2531000000000001E-2</v>
      </c>
      <c r="N339" s="1474">
        <v>1.1236062954385824</v>
      </c>
      <c r="O339" s="1474">
        <v>1.1236062954385824</v>
      </c>
    </row>
    <row r="340" spans="2:15">
      <c r="B340" s="1390">
        <v>42767</v>
      </c>
      <c r="C340" s="1391">
        <v>666.09900000000005</v>
      </c>
      <c r="D340" s="1391">
        <v>4809.67</v>
      </c>
      <c r="E340" s="1391">
        <v>1.0086508422083289</v>
      </c>
      <c r="F340" s="1391">
        <v>48.433414244872004</v>
      </c>
      <c r="K340" s="1471">
        <v>42397</v>
      </c>
      <c r="L340" s="1472" t="s">
        <v>2127</v>
      </c>
      <c r="M340" s="1473">
        <v>5.2531000000000001E-2</v>
      </c>
      <c r="N340" s="1474">
        <v>1.1241965370616391</v>
      </c>
      <c r="O340" s="1474">
        <v>1.1241965370616391</v>
      </c>
    </row>
    <row r="341" spans="2:15">
      <c r="B341" s="1390">
        <v>42795</v>
      </c>
      <c r="C341" s="1391">
        <v>666.197</v>
      </c>
      <c r="D341" s="1391">
        <v>4821.6899999999996</v>
      </c>
      <c r="E341" s="1391">
        <v>1.0105205646045978</v>
      </c>
      <c r="F341" s="1391">
        <v>48.94296110845643</v>
      </c>
      <c r="K341" s="1471">
        <v>42398</v>
      </c>
      <c r="L341" s="1472" t="s">
        <v>2127</v>
      </c>
      <c r="M341" s="1473">
        <v>5.2531000000000001E-2</v>
      </c>
      <c r="N341" s="1474">
        <v>1.124787088744523</v>
      </c>
      <c r="O341" s="1474">
        <v>1.124787088744523</v>
      </c>
    </row>
    <row r="342" spans="2:15">
      <c r="B342" s="1390">
        <v>42826</v>
      </c>
      <c r="C342" s="1391">
        <v>658.89800000000002</v>
      </c>
      <c r="D342" s="1391">
        <v>4828.4399999999996</v>
      </c>
      <c r="E342" s="1391">
        <v>1.0078658059100756</v>
      </c>
      <c r="F342" s="1391">
        <v>49.327936941199923</v>
      </c>
      <c r="K342" s="1471">
        <v>42399</v>
      </c>
      <c r="L342" s="1472"/>
      <c r="M342" s="1473">
        <v>0</v>
      </c>
      <c r="N342" s="1474">
        <v>1.124787088744523</v>
      </c>
      <c r="O342" s="1474">
        <v>1.124787088744523</v>
      </c>
    </row>
    <row r="343" spans="2:15">
      <c r="B343" s="1390">
        <v>42856</v>
      </c>
      <c r="C343" s="1391">
        <v>652.75800000000004</v>
      </c>
      <c r="D343" s="1391">
        <v>4843.41</v>
      </c>
      <c r="E343" s="1391">
        <v>1.0092713189779878</v>
      </c>
      <c r="F343" s="1391">
        <v>49.785271979107854</v>
      </c>
      <c r="K343" s="1471">
        <v>42400</v>
      </c>
      <c r="L343" s="1472"/>
      <c r="M343" s="1473">
        <v>0</v>
      </c>
      <c r="N343" s="1474">
        <v>1.124787088744523</v>
      </c>
      <c r="O343" s="1474">
        <v>1.124787088744523</v>
      </c>
    </row>
    <row r="344" spans="2:15">
      <c r="B344" s="1390">
        <v>42887</v>
      </c>
      <c r="C344" s="1391">
        <v>648.40899999999999</v>
      </c>
      <c r="D344" s="1391">
        <v>4832.2700000000004</v>
      </c>
      <c r="E344" s="1391">
        <v>1.0080886926571575</v>
      </c>
      <c r="F344" s="1391">
        <v>50.187969742999854</v>
      </c>
      <c r="K344" s="1471">
        <v>42401</v>
      </c>
      <c r="L344" s="1472" t="s">
        <v>2127</v>
      </c>
      <c r="M344" s="1473">
        <v>5.2531000000000001E-2</v>
      </c>
      <c r="N344" s="1474">
        <v>1.1253779506501114</v>
      </c>
      <c r="O344" s="1474">
        <v>1.1253779506501114</v>
      </c>
    </row>
    <row r="345" spans="2:15">
      <c r="B345" s="1390">
        <v>42917</v>
      </c>
      <c r="C345" s="1391">
        <v>643.76599999999996</v>
      </c>
      <c r="D345" s="1391">
        <v>4843.87</v>
      </c>
      <c r="E345" s="1391">
        <v>1.0079792299470567</v>
      </c>
      <c r="F345" s="1391">
        <v>50.588431094155176</v>
      </c>
      <c r="K345" s="1471">
        <v>42402</v>
      </c>
      <c r="L345" s="1472" t="s">
        <v>2127</v>
      </c>
      <c r="M345" s="1473">
        <v>5.2531000000000001E-2</v>
      </c>
      <c r="N345" s="1474">
        <v>1.1259691229413673</v>
      </c>
      <c r="O345" s="1474">
        <v>1.1259691229413673</v>
      </c>
    </row>
    <row r="346" spans="2:15">
      <c r="B346" s="1390">
        <v>42948</v>
      </c>
      <c r="C346" s="1391">
        <v>644.38300000000004</v>
      </c>
      <c r="D346" s="1391">
        <v>4853.07</v>
      </c>
      <c r="E346" s="1391">
        <v>1.0080228940119034</v>
      </c>
      <c r="F346" s="1391">
        <v>50.994296715052059</v>
      </c>
      <c r="K346" s="1471">
        <v>42403</v>
      </c>
      <c r="L346" s="1472" t="s">
        <v>2127</v>
      </c>
      <c r="M346" s="1473">
        <v>5.2531000000000001E-2</v>
      </c>
      <c r="N346" s="1474">
        <v>1.1265606057813395</v>
      </c>
      <c r="O346" s="1474">
        <v>1.1265606057813395</v>
      </c>
    </row>
    <row r="347" spans="2:15">
      <c r="B347" s="1390">
        <v>42979</v>
      </c>
      <c r="C347" s="1391">
        <v>647.4</v>
      </c>
      <c r="D347" s="1391">
        <v>4860.83</v>
      </c>
      <c r="E347" s="1391">
        <v>1.0063846003708505</v>
      </c>
      <c r="F347" s="1391">
        <v>51.319874920770239</v>
      </c>
      <c r="K347" s="1471">
        <v>42404</v>
      </c>
      <c r="L347" s="1472" t="s">
        <v>2127</v>
      </c>
      <c r="M347" s="1473">
        <v>5.2531000000000001E-2</v>
      </c>
      <c r="N347" s="1474">
        <v>1.1271523993331625</v>
      </c>
      <c r="O347" s="1474">
        <v>1.1271523993331625</v>
      </c>
    </row>
    <row r="348" spans="2:15">
      <c r="B348" s="1390">
        <v>43009</v>
      </c>
      <c r="C348" s="1391">
        <v>648.67200000000003</v>
      </c>
      <c r="D348" s="1391">
        <v>4881.25</v>
      </c>
      <c r="E348" s="1391">
        <v>1.0064393014601032</v>
      </c>
      <c r="F348" s="1391">
        <v>51.650339066279869</v>
      </c>
      <c r="K348" s="1471">
        <v>42405</v>
      </c>
      <c r="L348" s="1472" t="s">
        <v>2127</v>
      </c>
      <c r="M348" s="1473">
        <v>5.2531000000000001E-2</v>
      </c>
      <c r="N348" s="1474">
        <v>1.1277445037600562</v>
      </c>
      <c r="O348" s="1474">
        <v>1.1277445037600562</v>
      </c>
    </row>
    <row r="349" spans="2:15">
      <c r="B349" s="1390">
        <v>43040</v>
      </c>
      <c r="C349" s="1391">
        <v>652.07299999999998</v>
      </c>
      <c r="D349" s="1391">
        <v>4894.92</v>
      </c>
      <c r="E349" s="1391">
        <v>1.0056818783789492</v>
      </c>
      <c r="F349" s="1391">
        <v>51.943810011085958</v>
      </c>
      <c r="K349" s="1471">
        <v>42406</v>
      </c>
      <c r="L349" s="1472"/>
      <c r="M349" s="1473">
        <v>0</v>
      </c>
      <c r="N349" s="1474">
        <v>1.1277445037600562</v>
      </c>
      <c r="O349" s="1474">
        <v>1.1277445037600562</v>
      </c>
    </row>
    <row r="350" spans="2:15">
      <c r="B350" s="1390">
        <v>43070</v>
      </c>
      <c r="C350" s="1391">
        <v>657.85900000000004</v>
      </c>
      <c r="D350" s="1391">
        <v>4916.46</v>
      </c>
      <c r="E350" s="1391">
        <v>1.0053840004998948</v>
      </c>
      <c r="F350" s="1391">
        <v>52.223475510152085</v>
      </c>
      <c r="K350" s="1471">
        <v>42407</v>
      </c>
      <c r="L350" s="1472"/>
      <c r="M350" s="1473">
        <v>0</v>
      </c>
      <c r="N350" s="1474">
        <v>1.1277445037600562</v>
      </c>
      <c r="O350" s="1474">
        <v>1.1277445037600562</v>
      </c>
    </row>
    <row r="351" spans="2:15">
      <c r="B351" s="1390">
        <v>43101</v>
      </c>
      <c r="C351" s="1391">
        <v>662.82600000000002</v>
      </c>
      <c r="D351" s="1391">
        <v>4930.72</v>
      </c>
      <c r="E351" s="1391">
        <v>1.0058420473548675</v>
      </c>
      <c r="F351" s="1391">
        <v>52.528567527118156</v>
      </c>
      <c r="K351" s="1471">
        <v>42408</v>
      </c>
      <c r="L351" s="1472"/>
      <c r="M351" s="1473">
        <v>0</v>
      </c>
      <c r="N351" s="1474">
        <v>1.1277445037600562</v>
      </c>
      <c r="O351" s="1474">
        <v>1.1277445037600562</v>
      </c>
    </row>
    <row r="352" spans="2:15">
      <c r="B352" s="1390">
        <v>43132</v>
      </c>
      <c r="C352" s="1391">
        <v>663.31100000000004</v>
      </c>
      <c r="D352" s="1391">
        <v>4946.5</v>
      </c>
      <c r="E352" s="1391">
        <v>1.0046560161193037</v>
      </c>
      <c r="F352" s="1391">
        <v>52.773141384248348</v>
      </c>
      <c r="K352" s="1471">
        <v>42409</v>
      </c>
      <c r="L352" s="1472"/>
      <c r="M352" s="1473">
        <v>0</v>
      </c>
      <c r="N352" s="1474">
        <v>1.1277445037600562</v>
      </c>
      <c r="O352" s="1474">
        <v>1.1277445037600562</v>
      </c>
    </row>
    <row r="353" spans="2:15">
      <c r="B353" s="1390">
        <v>43160</v>
      </c>
      <c r="C353" s="1391">
        <v>667.524</v>
      </c>
      <c r="D353" s="1391">
        <v>4950.95</v>
      </c>
      <c r="E353" s="1391">
        <v>1.0053234480536677</v>
      </c>
      <c r="F353" s="1391">
        <v>53.054076461036253</v>
      </c>
      <c r="K353" s="1471">
        <v>42410</v>
      </c>
      <c r="L353" s="1472" t="s">
        <v>2127</v>
      </c>
      <c r="M353" s="1473">
        <v>5.2531000000000001E-2</v>
      </c>
      <c r="N353" s="1474">
        <v>1.1283369192253263</v>
      </c>
      <c r="O353" s="1474">
        <v>1.1283369192253263</v>
      </c>
    </row>
    <row r="354" spans="2:15">
      <c r="B354" s="1390">
        <v>43191</v>
      </c>
      <c r="C354" s="1391">
        <v>671.327</v>
      </c>
      <c r="D354" s="1391">
        <v>4961.84</v>
      </c>
      <c r="E354" s="1391">
        <v>1.0051829489023658</v>
      </c>
      <c r="F354" s="1391">
        <v>53.329053028396011</v>
      </c>
      <c r="K354" s="1471">
        <v>42411</v>
      </c>
      <c r="L354" s="1472" t="s">
        <v>2127</v>
      </c>
      <c r="M354" s="1473">
        <v>5.2531000000000001E-2</v>
      </c>
      <c r="N354" s="1474">
        <v>1.1289296458923646</v>
      </c>
      <c r="O354" s="1474">
        <v>1.1289296458923646</v>
      </c>
    </row>
    <row r="355" spans="2:15">
      <c r="B355" s="1390">
        <v>43221</v>
      </c>
      <c r="C355" s="1391">
        <v>680.57899999999995</v>
      </c>
      <c r="D355" s="1391">
        <v>4981.6899999999996</v>
      </c>
      <c r="E355" s="1391">
        <v>1.0051829489023656</v>
      </c>
      <c r="F355" s="1391">
        <v>53.605454785253734</v>
      </c>
      <c r="G355" s="490"/>
      <c r="K355" s="1471">
        <v>42412</v>
      </c>
      <c r="L355" s="1472" t="s">
        <v>2127</v>
      </c>
      <c r="M355" s="1473">
        <v>5.2531000000000001E-2</v>
      </c>
      <c r="N355" s="1474">
        <v>1.1295226839246482</v>
      </c>
      <c r="O355" s="1474">
        <v>1.1295226839246482</v>
      </c>
    </row>
    <row r="356" spans="2:15">
      <c r="B356" s="1390">
        <v>43252</v>
      </c>
      <c r="C356" s="1391">
        <v>693.28700000000003</v>
      </c>
      <c r="D356" s="1391">
        <v>5044.46</v>
      </c>
      <c r="E356" s="1391">
        <v>1.0051829489023654</v>
      </c>
      <c r="F356" s="1391">
        <v>53.88328911829376</v>
      </c>
      <c r="G356" s="10"/>
      <c r="I356" s="10"/>
      <c r="K356" s="1471">
        <v>42413</v>
      </c>
      <c r="L356" s="1472"/>
      <c r="M356" s="1473">
        <v>0</v>
      </c>
      <c r="N356" s="1474">
        <v>1.1295226839246482</v>
      </c>
      <c r="O356" s="1474">
        <v>1.1295226839246482</v>
      </c>
    </row>
    <row r="357" spans="2:15">
      <c r="B357" s="1390">
        <v>43282</v>
      </c>
      <c r="C357" s="1391">
        <v>696.8</v>
      </c>
      <c r="D357" s="1391">
        <v>5061.1099999999997</v>
      </c>
      <c r="E357" s="1391">
        <v>1.0054304249443857</v>
      </c>
      <c r="F357" s="1391">
        <v>54.175898275607288</v>
      </c>
      <c r="G357" s="10"/>
      <c r="K357" s="1471">
        <v>42414</v>
      </c>
      <c r="L357" s="1472"/>
      <c r="M357" s="1473">
        <v>0</v>
      </c>
      <c r="N357" s="1474">
        <v>1.1295226839246482</v>
      </c>
      <c r="O357" s="1474">
        <v>1.1295226839246482</v>
      </c>
    </row>
    <row r="358" spans="2:15">
      <c r="B358" s="1390">
        <v>43313</v>
      </c>
      <c r="C358" s="1391">
        <v>701.67700000000002</v>
      </c>
      <c r="D358" s="1391">
        <v>5056.5600000000004</v>
      </c>
      <c r="E358" s="1391">
        <v>1.0056779619150069</v>
      </c>
      <c r="F358" s="1391">
        <v>54.483506962727475</v>
      </c>
      <c r="K358" s="1471">
        <v>42415</v>
      </c>
      <c r="L358" s="1472" t="s">
        <v>2127</v>
      </c>
      <c r="M358" s="1473">
        <v>5.2531000000000001E-2</v>
      </c>
      <c r="N358" s="1474">
        <v>1.1301160334857405</v>
      </c>
      <c r="O358" s="1474">
        <v>1.1301160334857405</v>
      </c>
    </row>
    <row r="359" spans="2:15">
      <c r="B359" s="1390">
        <v>43344</v>
      </c>
      <c r="C359" s="1391">
        <v>712.37300000000005</v>
      </c>
      <c r="D359" s="1391">
        <v>5080.83</v>
      </c>
      <c r="E359" s="1391">
        <v>1.0046881795441467</v>
      </c>
      <c r="F359" s="1391">
        <v>54.738935425563504</v>
      </c>
      <c r="K359" s="1471">
        <v>42416</v>
      </c>
      <c r="L359" s="1472" t="s">
        <v>2127</v>
      </c>
      <c r="M359" s="1473">
        <v>5.2531000000000001E-2</v>
      </c>
      <c r="N359" s="1474">
        <v>1.1307096947392909</v>
      </c>
      <c r="O359" s="1474">
        <v>1.1307096947392909</v>
      </c>
    </row>
    <row r="360" spans="2:15">
      <c r="B360" s="1390">
        <v>43374</v>
      </c>
      <c r="C360" s="1391">
        <v>718.68399999999997</v>
      </c>
      <c r="D360" s="1391">
        <v>5103.6899999999996</v>
      </c>
      <c r="E360" s="1391">
        <v>1.0054304249443855</v>
      </c>
      <c r="F360" s="1391">
        <v>55.036191105927593</v>
      </c>
      <c r="K360" s="1471">
        <v>42417</v>
      </c>
      <c r="L360" s="1472" t="s">
        <v>2127</v>
      </c>
      <c r="M360" s="1473">
        <v>5.2531000000000001E-2</v>
      </c>
      <c r="N360" s="1474">
        <v>1.1313036678490345</v>
      </c>
      <c r="O360" s="1474">
        <v>1.1313036678490345</v>
      </c>
    </row>
    <row r="361" spans="2:15">
      <c r="B361" s="1390">
        <v>43405</v>
      </c>
      <c r="C361" s="1391">
        <v>715.16600000000005</v>
      </c>
      <c r="D361" s="1391">
        <v>5092.97</v>
      </c>
      <c r="E361" s="1391">
        <v>1.0049355337739507</v>
      </c>
      <c r="F361" s="1391">
        <v>55.307824085920508</v>
      </c>
      <c r="K361" s="1471">
        <v>42418</v>
      </c>
      <c r="L361" s="1472" t="s">
        <v>2127</v>
      </c>
      <c r="M361" s="1473">
        <v>5.2531000000000001E-2</v>
      </c>
      <c r="N361" s="1474">
        <v>1.1318979529787923</v>
      </c>
      <c r="O361" s="1474">
        <v>1.1318979529787923</v>
      </c>
    </row>
    <row r="362" spans="2:15">
      <c r="B362" s="1390">
        <v>43435</v>
      </c>
      <c r="C362" s="1391">
        <v>707.44100000000003</v>
      </c>
      <c r="D362" s="1391">
        <v>5100.6099999999997</v>
      </c>
      <c r="E362" s="1391">
        <v>1.0049355337739507</v>
      </c>
      <c r="F362" s="1391">
        <v>55.580797719660296</v>
      </c>
      <c r="K362" s="1471">
        <v>42419</v>
      </c>
      <c r="L362" s="1472" t="s">
        <v>2127</v>
      </c>
      <c r="M362" s="1473">
        <v>5.2531000000000001E-2</v>
      </c>
      <c r="N362" s="1474">
        <v>1.1324925502924716</v>
      </c>
      <c r="O362" s="1474">
        <v>1.1324925502924716</v>
      </c>
    </row>
    <row r="363" spans="2:15">
      <c r="B363" s="1390">
        <v>43466</v>
      </c>
      <c r="C363" s="1391">
        <v>707.48800000000006</v>
      </c>
      <c r="D363" s="1391">
        <v>5116.93</v>
      </c>
      <c r="E363" s="1391">
        <v>1.0054304249443855</v>
      </c>
      <c r="F363" s="1391">
        <v>55.882625070025988</v>
      </c>
      <c r="K363" s="1471">
        <v>42420</v>
      </c>
      <c r="L363" s="1472"/>
      <c r="M363" s="1473">
        <v>0</v>
      </c>
      <c r="N363" s="1474">
        <v>1.1324925502924716</v>
      </c>
      <c r="O363" s="1474">
        <v>1.1324925502924716</v>
      </c>
    </row>
    <row r="364" spans="2:15">
      <c r="B364" s="1390">
        <v>43497</v>
      </c>
      <c r="C364" s="1391">
        <v>713.74699999999996</v>
      </c>
      <c r="D364" s="1391">
        <v>5138.93</v>
      </c>
      <c r="E364" s="1391">
        <v>1.0049355337739507</v>
      </c>
      <c r="F364" s="1391">
        <v>56.158435653436129</v>
      </c>
      <c r="K364" s="1471">
        <v>42421</v>
      </c>
      <c r="L364" s="1472"/>
      <c r="M364" s="1473">
        <v>0</v>
      </c>
      <c r="N364" s="1474">
        <v>1.1324925502924716</v>
      </c>
      <c r="O364" s="1474">
        <v>1.1324925502924716</v>
      </c>
    </row>
    <row r="365" spans="2:15">
      <c r="B365" s="1390">
        <v>43525</v>
      </c>
      <c r="C365" s="1391">
        <v>722.70699999999999</v>
      </c>
      <c r="D365" s="1391">
        <v>5177.47</v>
      </c>
      <c r="E365" s="1391">
        <v>1.0046881795441467</v>
      </c>
      <c r="F365" s="1391">
        <v>56.421716482697846</v>
      </c>
      <c r="K365" s="1471">
        <v>42422</v>
      </c>
      <c r="L365" s="1472" t="s">
        <v>2127</v>
      </c>
      <c r="M365" s="1473">
        <v>5.2531000000000001E-2</v>
      </c>
      <c r="N365" s="1474">
        <v>1.1330874599540657</v>
      </c>
      <c r="O365" s="1474">
        <v>1.1330874599540657</v>
      </c>
    </row>
    <row r="366" spans="2:15">
      <c r="B366" s="1390">
        <v>43556</v>
      </c>
      <c r="C366" s="1391">
        <v>729.346</v>
      </c>
      <c r="D366" s="1391">
        <v>5206.9799999999996</v>
      </c>
      <c r="E366" s="1391">
        <v>1.0051829489023654</v>
      </c>
      <c r="F366" s="1391">
        <v>56.714147356211413</v>
      </c>
      <c r="K366" s="1471">
        <v>42423</v>
      </c>
      <c r="L366" s="1472" t="s">
        <v>2127</v>
      </c>
      <c r="M366" s="1473">
        <v>5.2531000000000001E-2</v>
      </c>
      <c r="N366" s="1474">
        <v>1.1336826821276542</v>
      </c>
      <c r="O366" s="1474">
        <v>1.1336826821276542</v>
      </c>
    </row>
    <row r="367" spans="2:15">
      <c r="B367" s="1390">
        <v>43586</v>
      </c>
      <c r="C367" s="1391">
        <v>732.59500000000003</v>
      </c>
      <c r="D367" s="1391">
        <v>5213.75</v>
      </c>
      <c r="E367" s="1391">
        <v>1.0054304249443855</v>
      </c>
      <c r="F367" s="1391">
        <v>57.022129276714139</v>
      </c>
      <c r="K367" s="1471">
        <v>42424</v>
      </c>
      <c r="L367" s="1472" t="s">
        <v>2127</v>
      </c>
      <c r="M367" s="1473">
        <v>5.2531000000000001E-2</v>
      </c>
      <c r="N367" s="1474">
        <v>1.1342782169774026</v>
      </c>
      <c r="O367" s="1474">
        <v>1.1342782169774026</v>
      </c>
    </row>
    <row r="368" spans="2:15">
      <c r="B368" s="1390">
        <v>43617</v>
      </c>
      <c r="C368" s="1391">
        <v>738.42100000000005</v>
      </c>
      <c r="D368" s="1391">
        <v>5214.2700000000004</v>
      </c>
      <c r="E368" s="1391">
        <v>1.0046881795441465</v>
      </c>
      <c r="F368" s="1391">
        <v>57.289459256752906</v>
      </c>
      <c r="K368" s="1471">
        <v>42425</v>
      </c>
      <c r="L368" s="1472" t="s">
        <v>2127</v>
      </c>
      <c r="M368" s="1473">
        <v>5.2531000000000001E-2</v>
      </c>
      <c r="N368" s="1474">
        <v>1.134874064667563</v>
      </c>
      <c r="O368" s="1474">
        <v>1.134874064667563</v>
      </c>
    </row>
    <row r="369" spans="2:15">
      <c r="B369" s="1390">
        <v>43647</v>
      </c>
      <c r="C369" s="1391">
        <v>741.346</v>
      </c>
      <c r="D369" s="1391">
        <v>5224.18</v>
      </c>
      <c r="E369" s="1391">
        <v>1.0056779619150069</v>
      </c>
      <c r="F369" s="1391">
        <v>57.61474662454409</v>
      </c>
      <c r="K369" s="1471">
        <v>42426</v>
      </c>
      <c r="L369" s="1472" t="s">
        <v>2127</v>
      </c>
      <c r="M369" s="1473">
        <v>5.2531000000000001E-2</v>
      </c>
      <c r="N369" s="1474">
        <v>1.1354702253624736</v>
      </c>
      <c r="O369" s="1474">
        <v>1.1354702253624736</v>
      </c>
    </row>
    <row r="370" spans="2:15">
      <c r="B370" s="1390">
        <v>43678</v>
      </c>
      <c r="C370" s="1391">
        <v>736.40200000000004</v>
      </c>
      <c r="D370" s="1391">
        <v>5229.93</v>
      </c>
      <c r="E370" s="1391">
        <v>1.0050171948996307</v>
      </c>
      <c r="F370" s="1391">
        <v>57.903811037452265</v>
      </c>
      <c r="K370" s="1471">
        <v>42427</v>
      </c>
      <c r="L370" s="1472"/>
      <c r="M370" s="1473">
        <v>0</v>
      </c>
      <c r="N370" s="1474">
        <v>1.1354702253624736</v>
      </c>
      <c r="O370" s="1474">
        <v>1.1354702253624736</v>
      </c>
    </row>
    <row r="371" spans="2:15">
      <c r="B371" s="1390">
        <v>43709</v>
      </c>
      <c r="C371" s="1391">
        <v>736.36199999999997</v>
      </c>
      <c r="D371" s="1391">
        <v>5227.84</v>
      </c>
      <c r="E371" s="1391">
        <v>1.0046375999081099</v>
      </c>
      <c r="F371" s="1391">
        <v>58.172345746198765</v>
      </c>
      <c r="K371" s="1471">
        <v>42428</v>
      </c>
      <c r="L371" s="1472"/>
      <c r="M371" s="1473">
        <v>0</v>
      </c>
      <c r="N371" s="1474">
        <v>1.1354702253624736</v>
      </c>
      <c r="O371" s="1474">
        <v>1.1354702253624736</v>
      </c>
    </row>
    <row r="372" spans="2:15">
      <c r="B372" s="1390">
        <v>43739</v>
      </c>
      <c r="C372" s="1391">
        <v>741.33299999999997</v>
      </c>
      <c r="D372" s="1391">
        <v>5233.07</v>
      </c>
      <c r="E372" s="1391">
        <v>1.0047926409835022</v>
      </c>
      <c r="F372" s="1391">
        <v>58.451144914528456</v>
      </c>
      <c r="K372" s="1471">
        <v>42429</v>
      </c>
      <c r="L372" s="1472" t="s">
        <v>2127</v>
      </c>
      <c r="M372" s="1473">
        <v>5.2531000000000001E-2</v>
      </c>
      <c r="N372" s="1474">
        <v>1.1360666992265587</v>
      </c>
      <c r="O372" s="1474">
        <v>1.1360666992265587</v>
      </c>
    </row>
    <row r="373" spans="2:15">
      <c r="B373" s="1390">
        <v>43770</v>
      </c>
      <c r="C373" s="1391">
        <v>743.55799999999999</v>
      </c>
      <c r="D373" s="1391">
        <v>5259.76</v>
      </c>
      <c r="E373" s="1391">
        <v>1.0038038559813272</v>
      </c>
      <c r="F373" s="1391">
        <v>58.673484651727009</v>
      </c>
      <c r="K373" s="1471">
        <v>42430</v>
      </c>
      <c r="L373" s="1472" t="s">
        <v>2127</v>
      </c>
      <c r="M373" s="1473">
        <v>5.2531000000000001E-2</v>
      </c>
      <c r="N373" s="1474">
        <v>1.1366634864243295</v>
      </c>
      <c r="O373" s="1474">
        <v>1.1366634864243295</v>
      </c>
    </row>
    <row r="374" spans="2:15">
      <c r="B374" s="1390">
        <v>43800</v>
      </c>
      <c r="C374" s="1391">
        <v>759.11199999999997</v>
      </c>
      <c r="D374" s="1391">
        <v>5320.25</v>
      </c>
      <c r="E374" s="1391">
        <v>1.0037470387078873</v>
      </c>
      <c r="F374" s="1391">
        <v>58.893336469843661</v>
      </c>
      <c r="K374" s="1471">
        <v>42431</v>
      </c>
      <c r="L374" s="1472" t="s">
        <v>2127</v>
      </c>
      <c r="M374" s="1473">
        <v>5.2531000000000001E-2</v>
      </c>
      <c r="N374" s="1474">
        <v>1.1372605871203831</v>
      </c>
      <c r="O374" s="1474">
        <v>1.1372605871203831</v>
      </c>
    </row>
    <row r="375" spans="2:15">
      <c r="B375" s="1390">
        <v>43831</v>
      </c>
      <c r="C375" s="1391">
        <v>762.73299999999995</v>
      </c>
      <c r="D375" s="1391">
        <v>5331.42</v>
      </c>
      <c r="E375" s="1391">
        <v>1.00376633367529</v>
      </c>
      <c r="F375" s="1391">
        <v>59.115148426240218</v>
      </c>
      <c r="K375" s="1471">
        <v>42432</v>
      </c>
      <c r="L375" s="1472" t="s">
        <v>2127</v>
      </c>
      <c r="M375" s="1473">
        <v>5.2531000000000001E-2</v>
      </c>
      <c r="N375" s="1474">
        <v>1.1378580014794033</v>
      </c>
      <c r="O375" s="1474">
        <v>1.1378580014794033</v>
      </c>
    </row>
    <row r="376" spans="2:15">
      <c r="B376" s="1390">
        <v>43862</v>
      </c>
      <c r="C376" s="1391">
        <v>762.423</v>
      </c>
      <c r="D376" s="1391">
        <v>5344.75</v>
      </c>
      <c r="E376" s="1391">
        <v>1.0029372863155552</v>
      </c>
      <c r="F376" s="1391">
        <v>59.288786542754629</v>
      </c>
      <c r="K376" s="1471">
        <v>42433</v>
      </c>
      <c r="L376" s="1472" t="s">
        <v>2127</v>
      </c>
      <c r="M376" s="1473">
        <v>5.2531000000000001E-2</v>
      </c>
      <c r="N376" s="1474">
        <v>1.1384557296661604</v>
      </c>
      <c r="O376" s="1474">
        <v>1.1384557296661604</v>
      </c>
    </row>
    <row r="377" spans="2:15">
      <c r="B377" s="1390">
        <v>43891</v>
      </c>
      <c r="C377" s="1391">
        <v>771.90800000000002</v>
      </c>
      <c r="D377" s="1391">
        <v>5348.49</v>
      </c>
      <c r="E377" s="1391">
        <v>1.0033836914846632</v>
      </c>
      <c r="F377" s="1391">
        <v>59.489401504915364</v>
      </c>
      <c r="K377" s="1471">
        <v>42434</v>
      </c>
      <c r="L377" s="1472"/>
      <c r="M377" s="1473">
        <v>0</v>
      </c>
      <c r="N377" s="1474">
        <v>1.1384557296661604</v>
      </c>
      <c r="O377" s="1474">
        <v>1.1384557296661604</v>
      </c>
    </row>
    <row r="378" spans="2:15">
      <c r="B378" s="1390">
        <v>43922</v>
      </c>
      <c r="C378" s="1391">
        <v>778.101</v>
      </c>
      <c r="D378" s="1391">
        <v>5331.91</v>
      </c>
      <c r="E378" s="1391">
        <v>1.0028492490278405</v>
      </c>
      <c r="F378" s="1391">
        <v>59.658901624320052</v>
      </c>
      <c r="K378" s="1471">
        <v>42435</v>
      </c>
      <c r="L378" s="1472"/>
      <c r="M378" s="1473">
        <v>0</v>
      </c>
      <c r="N378" s="1474">
        <v>1.1384557296661604</v>
      </c>
      <c r="O378" s="1474">
        <v>1.1384557296661604</v>
      </c>
    </row>
    <row r="379" spans="2:15">
      <c r="B379" s="1390">
        <v>43952</v>
      </c>
      <c r="C379" s="1391">
        <v>780.28</v>
      </c>
      <c r="D379" s="1391">
        <v>5311.65</v>
      </c>
      <c r="E379" s="1391">
        <v>1.0023580961930716</v>
      </c>
      <c r="F379" s="1391">
        <v>59.799583053123193</v>
      </c>
      <c r="K379" s="1471">
        <v>42436</v>
      </c>
      <c r="L379" s="1472" t="s">
        <v>2127</v>
      </c>
      <c r="M379" s="1473">
        <v>5.2531000000000001E-2</v>
      </c>
      <c r="N379" s="1474">
        <v>1.1390537718455114</v>
      </c>
      <c r="O379" s="1474">
        <v>1.1390537718455114</v>
      </c>
    </row>
    <row r="380" spans="2:15">
      <c r="B380" s="1390">
        <v>43983</v>
      </c>
      <c r="C380" s="1391">
        <v>792.42899999999997</v>
      </c>
      <c r="D380" s="1391">
        <v>5325.46</v>
      </c>
      <c r="E380" s="1391">
        <v>1.0021233217736718</v>
      </c>
      <c r="F380" s="1391">
        <v>59.926556809876388</v>
      </c>
      <c r="K380" s="1471">
        <v>42437</v>
      </c>
      <c r="L380" s="1472" t="s">
        <v>2127</v>
      </c>
      <c r="M380" s="1473">
        <v>5.2531000000000001E-2</v>
      </c>
      <c r="N380" s="1474">
        <v>1.1396521281823995</v>
      </c>
      <c r="O380" s="1474">
        <v>1.1396521281823995</v>
      </c>
    </row>
    <row r="381" spans="2:15">
      <c r="B381" s="1390">
        <v>44013</v>
      </c>
      <c r="C381" s="1391">
        <v>810.08299999999997</v>
      </c>
      <c r="D381" s="1391">
        <v>5344.63</v>
      </c>
      <c r="E381" s="1391">
        <v>1.0019434641302636</v>
      </c>
      <c r="F381" s="1391">
        <v>60.043021923486585</v>
      </c>
      <c r="K381" s="1471">
        <v>42438</v>
      </c>
      <c r="L381" s="1472" t="s">
        <v>2127</v>
      </c>
      <c r="M381" s="1473">
        <v>5.2531000000000001E-2</v>
      </c>
      <c r="N381" s="1474">
        <v>1.1402507988418549</v>
      </c>
      <c r="O381" s="1474">
        <v>1.1402507988418549</v>
      </c>
    </row>
    <row r="382" spans="2:15">
      <c r="B382" s="1390">
        <v>44044</v>
      </c>
      <c r="C382" s="1391">
        <v>832.31299999999999</v>
      </c>
      <c r="D382" s="1391">
        <v>5357.46</v>
      </c>
      <c r="E382" s="1391">
        <v>1.0015988959789295</v>
      </c>
      <c r="F382" s="1391">
        <v>60.13902446980282</v>
      </c>
      <c r="K382" s="1471">
        <v>42439</v>
      </c>
      <c r="L382" s="1472" t="s">
        <v>2127</v>
      </c>
      <c r="M382" s="1473">
        <v>5.2531000000000001E-2</v>
      </c>
      <c r="N382" s="1474">
        <v>1.1408497839889944</v>
      </c>
      <c r="O382" s="1474">
        <v>1.1408497839889944</v>
      </c>
    </row>
    <row r="383" spans="2:15">
      <c r="B383" s="1390">
        <v>44075</v>
      </c>
      <c r="C383" s="1391">
        <v>868.44200000000001</v>
      </c>
      <c r="D383" s="1391">
        <v>5391.75</v>
      </c>
      <c r="E383" s="1391">
        <v>1.0015696620595307</v>
      </c>
      <c r="F383" s="1391">
        <v>60.233422414810256</v>
      </c>
      <c r="K383" s="1471">
        <v>42440</v>
      </c>
      <c r="L383" s="1472" t="s">
        <v>2127</v>
      </c>
      <c r="M383" s="1473">
        <v>5.2531000000000001E-2</v>
      </c>
      <c r="N383" s="1474">
        <v>1.1414490837890217</v>
      </c>
      <c r="O383" s="1474">
        <v>1.1414490837890217</v>
      </c>
    </row>
    <row r="384" spans="2:15">
      <c r="B384" s="1390">
        <v>44105</v>
      </c>
      <c r="C384" s="1391">
        <v>896.505</v>
      </c>
      <c r="D384" s="1391">
        <v>5438.12</v>
      </c>
      <c r="E384" s="1391">
        <v>1.00156966205953</v>
      </c>
      <c r="F384" s="1391">
        <v>60.327968532690427</v>
      </c>
      <c r="K384" s="1471">
        <v>42441</v>
      </c>
      <c r="L384" s="1472"/>
      <c r="M384" s="1473">
        <v>0</v>
      </c>
      <c r="N384" s="1474">
        <v>1.1414490837890217</v>
      </c>
      <c r="O384" s="1474">
        <v>1.1414490837890217</v>
      </c>
    </row>
    <row r="385" spans="2:15">
      <c r="B385" s="1390">
        <v>44136</v>
      </c>
      <c r="C385" s="1391">
        <v>925.88699999999994</v>
      </c>
      <c r="D385" s="1391">
        <v>5486.52</v>
      </c>
      <c r="E385" s="1391">
        <v>1.0014948604084073</v>
      </c>
      <c r="F385" s="1391">
        <v>60.418150424369585</v>
      </c>
      <c r="K385" s="1471">
        <v>42442</v>
      </c>
      <c r="L385" s="1472"/>
      <c r="M385" s="1473">
        <v>0</v>
      </c>
      <c r="N385" s="1474">
        <v>1.1414490837890217</v>
      </c>
      <c r="O385" s="1474">
        <v>1.1414490837890217</v>
      </c>
    </row>
    <row r="386" spans="2:15">
      <c r="B386" s="1390">
        <v>44166</v>
      </c>
      <c r="C386" s="1391">
        <v>934.75800000000004</v>
      </c>
      <c r="D386" s="1391">
        <v>5560.59</v>
      </c>
      <c r="E386" s="1391">
        <v>1.0016444692975899</v>
      </c>
      <c r="F386" s="1391">
        <v>60.517506217759632</v>
      </c>
      <c r="K386" s="1471">
        <v>42443</v>
      </c>
      <c r="L386" s="1472" t="s">
        <v>2127</v>
      </c>
      <c r="M386" s="1473">
        <v>5.2531000000000001E-2</v>
      </c>
      <c r="N386" s="1474">
        <v>1.1420486984072269</v>
      </c>
      <c r="O386" s="1474">
        <v>1.1420486984072269</v>
      </c>
    </row>
    <row r="387" spans="2:15">
      <c r="B387" s="1390">
        <v>44197</v>
      </c>
      <c r="C387" s="1391">
        <v>958.84400000000005</v>
      </c>
      <c r="D387" s="1391">
        <v>5574.49</v>
      </c>
      <c r="E387" s="1391">
        <v>1.0014948604084077</v>
      </c>
      <c r="F387" s="1391">
        <v>60.607971441820126</v>
      </c>
      <c r="K387" s="1471">
        <v>42444</v>
      </c>
      <c r="L387" s="1472" t="s">
        <v>2127</v>
      </c>
      <c r="M387" s="1473">
        <v>5.2531000000000001E-2</v>
      </c>
      <c r="N387" s="1474">
        <v>1.1426486280089871</v>
      </c>
      <c r="O387" s="1474">
        <v>1.1426486280089871</v>
      </c>
    </row>
    <row r="388" spans="2:15">
      <c r="B388" s="1390">
        <v>44228</v>
      </c>
      <c r="C388" s="1391">
        <v>983.06299999999999</v>
      </c>
      <c r="D388" s="1391">
        <v>5622.43</v>
      </c>
      <c r="E388" s="1391">
        <v>1.0013452738652961</v>
      </c>
      <c r="F388" s="1391">
        <v>60.689505761829423</v>
      </c>
      <c r="K388" s="1471">
        <v>42445</v>
      </c>
      <c r="L388" s="1472" t="s">
        <v>2127</v>
      </c>
      <c r="M388" s="1473">
        <v>5.2531000000000001E-2</v>
      </c>
      <c r="N388" s="1474">
        <v>1.1432488727597665</v>
      </c>
      <c r="O388" s="1474">
        <v>1.1432488727597665</v>
      </c>
    </row>
    <row r="389" spans="2:15">
      <c r="B389" s="1390">
        <v>44256</v>
      </c>
      <c r="C389" s="1391">
        <v>1011.948</v>
      </c>
      <c r="D389" s="1391">
        <v>5674.72</v>
      </c>
      <c r="E389" s="1391">
        <v>1.0020107988327946</v>
      </c>
      <c r="F389" s="1391">
        <v>60.811540149178192</v>
      </c>
      <c r="K389" s="1471">
        <v>42446</v>
      </c>
      <c r="L389" s="1472" t="s">
        <v>2127</v>
      </c>
      <c r="M389" s="1473">
        <v>5.2531000000000001E-2</v>
      </c>
      <c r="N389" s="1474">
        <v>1.1438494328251159</v>
      </c>
      <c r="O389" s="1474">
        <v>1.1438494328251159</v>
      </c>
    </row>
    <row r="390" spans="2:15">
      <c r="B390" s="1390">
        <v>44287</v>
      </c>
      <c r="C390" s="1391">
        <v>1027.211</v>
      </c>
      <c r="D390" s="1391">
        <v>5692.31</v>
      </c>
      <c r="E390" s="1391">
        <v>1.0020778480243349</v>
      </c>
      <c r="F390" s="1391">
        <v>60.937897287733925</v>
      </c>
      <c r="K390" s="1471">
        <v>42447</v>
      </c>
      <c r="L390" s="1472" t="s">
        <v>2127</v>
      </c>
      <c r="M390" s="1473">
        <v>5.2531000000000001E-2</v>
      </c>
      <c r="N390" s="1474">
        <v>1.1444503083706732</v>
      </c>
      <c r="O390" s="1474">
        <v>1.1444503083706732</v>
      </c>
    </row>
    <row r="391" spans="2:15">
      <c r="B391" s="1390">
        <v>44317</v>
      </c>
      <c r="C391" s="1391">
        <v>1069.289</v>
      </c>
      <c r="D391" s="1391">
        <v>5739.56</v>
      </c>
      <c r="E391" s="1391">
        <v>1.0027032626398216</v>
      </c>
      <c r="F391" s="1391">
        <v>61.102628428821141</v>
      </c>
      <c r="K391" s="1471">
        <v>42448</v>
      </c>
      <c r="L391" s="1472"/>
      <c r="M391" s="1473">
        <v>0</v>
      </c>
      <c r="N391" s="1474">
        <v>1.1444503083706732</v>
      </c>
      <c r="O391" s="1474">
        <v>1.1444503083706732</v>
      </c>
    </row>
    <row r="392" spans="2:15">
      <c r="B392" s="1390">
        <v>44348</v>
      </c>
      <c r="C392" s="1391">
        <v>1075.7329999999999</v>
      </c>
      <c r="D392" s="1391">
        <v>5769.98</v>
      </c>
      <c r="E392" s="1391">
        <v>1.0030777896833167</v>
      </c>
      <c r="F392" s="1391">
        <v>61.290689468222901</v>
      </c>
      <c r="K392" s="1471">
        <v>42449</v>
      </c>
      <c r="L392" s="1472"/>
      <c r="M392" s="1473">
        <v>0</v>
      </c>
      <c r="N392" s="1474">
        <v>1.1444503083706732</v>
      </c>
      <c r="O392" s="1474">
        <v>1.1444503083706732</v>
      </c>
    </row>
    <row r="393" spans="2:15">
      <c r="B393" s="1390">
        <v>44378</v>
      </c>
      <c r="C393" s="1391">
        <v>1084.095</v>
      </c>
      <c r="D393" s="1391">
        <v>5825.37</v>
      </c>
      <c r="E393" s="1391">
        <v>1.003556161780192</v>
      </c>
      <c r="F393" s="1391">
        <v>61.508649075591414</v>
      </c>
      <c r="K393" s="1471">
        <v>42450</v>
      </c>
      <c r="L393" s="1472" t="s">
        <v>2127</v>
      </c>
      <c r="M393" s="1473">
        <v>5.2531000000000001E-2</v>
      </c>
      <c r="N393" s="1474">
        <v>1.1450514995621635</v>
      </c>
      <c r="O393" s="1474">
        <v>1.1450514995621635</v>
      </c>
    </row>
    <row r="394" spans="2:15">
      <c r="B394" s="1390">
        <v>44409</v>
      </c>
      <c r="C394" s="1391">
        <v>1091.29</v>
      </c>
      <c r="D394" s="1391">
        <v>5876.05</v>
      </c>
      <c r="E394" s="1391">
        <v>1.0042795247734253</v>
      </c>
      <c r="F394" s="1391">
        <v>61.771876863090334</v>
      </c>
      <c r="K394" s="1471">
        <v>42451</v>
      </c>
      <c r="L394" s="1472" t="s">
        <v>2127</v>
      </c>
      <c r="M394" s="1473">
        <v>5.2531000000000001E-2</v>
      </c>
      <c r="N394" s="1474">
        <v>1.1456530065653985</v>
      </c>
      <c r="O394" s="1474">
        <v>1.1456530065653985</v>
      </c>
    </row>
    <row r="395" spans="2:15">
      <c r="B395" s="1390">
        <v>44440</v>
      </c>
      <c r="C395" s="1391">
        <v>1084.3119999999999</v>
      </c>
      <c r="D395" s="1391">
        <v>5944.21</v>
      </c>
      <c r="E395" s="1391">
        <v>1.0044199933223523</v>
      </c>
      <c r="F395" s="1391">
        <v>62.044908146334365</v>
      </c>
      <c r="K395" s="1471">
        <v>42452</v>
      </c>
      <c r="L395" s="1472" t="s">
        <v>2127</v>
      </c>
      <c r="M395" s="1473">
        <v>5.2531000000000001E-2</v>
      </c>
      <c r="N395" s="1474">
        <v>1.1462548295462773</v>
      </c>
      <c r="O395" s="1474">
        <v>1.1462548295462773</v>
      </c>
    </row>
    <row r="396" spans="2:15">
      <c r="B396" s="1390">
        <v>44470</v>
      </c>
      <c r="C396" s="1391">
        <v>1091.2829999999999</v>
      </c>
      <c r="D396" s="1391">
        <v>6018.51</v>
      </c>
      <c r="E396" s="1391">
        <v>1.0048599610251685</v>
      </c>
      <c r="F396" s="1391">
        <v>62.34644398173571</v>
      </c>
      <c r="K396" s="1471">
        <v>42453</v>
      </c>
      <c r="L396" s="1472" t="s">
        <v>2127</v>
      </c>
      <c r="M396" s="1473">
        <v>5.2531000000000001E-2</v>
      </c>
      <c r="N396" s="1474">
        <v>1.1468569686707863</v>
      </c>
      <c r="O396" s="1474">
        <v>1.1468569686707863</v>
      </c>
    </row>
    <row r="397" spans="2:15">
      <c r="B397" s="1390">
        <v>44501</v>
      </c>
      <c r="C397" s="1391">
        <v>1091.4829999999999</v>
      </c>
      <c r="D397" s="1391">
        <v>6075.69</v>
      </c>
      <c r="E397" s="1391">
        <v>1.0058674909390046</v>
      </c>
      <c r="F397" s="1391">
        <v>62.712261176877703</v>
      </c>
      <c r="K397" s="1471">
        <v>42454</v>
      </c>
      <c r="L397" s="1472"/>
      <c r="M397" s="1473">
        <v>0</v>
      </c>
      <c r="N397" s="1474">
        <v>1.1468569686707863</v>
      </c>
      <c r="O397" s="1474">
        <v>1.1468569686707863</v>
      </c>
    </row>
    <row r="398" spans="2:15">
      <c r="B398" s="1390">
        <v>44531</v>
      </c>
      <c r="C398" s="1391">
        <v>1100.9880000000001</v>
      </c>
      <c r="D398" s="1391">
        <v>6120.04</v>
      </c>
      <c r="E398" s="1391">
        <v>1.0076908308186336</v>
      </c>
      <c r="F398" s="1391">
        <v>63.194570567843037</v>
      </c>
      <c r="K398" s="1471">
        <v>42455</v>
      </c>
      <c r="L398" s="1472"/>
      <c r="M398" s="1473">
        <v>0</v>
      </c>
      <c r="N398" s="1474">
        <v>1.1468569686707863</v>
      </c>
      <c r="O398" s="1474">
        <v>1.1468569686707863</v>
      </c>
    </row>
    <row r="399" spans="2:15">
      <c r="B399" s="1390">
        <v>44562</v>
      </c>
      <c r="C399" s="1391">
        <v>1120.999</v>
      </c>
      <c r="D399" s="1391">
        <v>6153.09</v>
      </c>
      <c r="E399" s="1391">
        <v>1.0073227032460901</v>
      </c>
      <c r="F399" s="1391">
        <v>63.65732565487545</v>
      </c>
      <c r="K399" s="1471">
        <v>42456</v>
      </c>
      <c r="L399" s="1472"/>
      <c r="M399" s="1473">
        <v>0</v>
      </c>
      <c r="N399" s="1474">
        <v>1.1468569686707863</v>
      </c>
      <c r="O399" s="1474">
        <v>1.1468569686707863</v>
      </c>
    </row>
    <row r="400" spans="2:15">
      <c r="B400" s="1390">
        <v>44593</v>
      </c>
      <c r="C400" s="1391">
        <v>1141.546</v>
      </c>
      <c r="D400" s="1391">
        <v>6215.24</v>
      </c>
      <c r="E400" s="1391">
        <v>1.0075504098703885</v>
      </c>
      <c r="F400" s="1391">
        <v>64.13796455482256</v>
      </c>
      <c r="K400" s="1471">
        <v>42457</v>
      </c>
      <c r="L400" s="1472" t="s">
        <v>2127</v>
      </c>
      <c r="M400" s="1473">
        <v>5.2531000000000001E-2</v>
      </c>
      <c r="N400" s="1474">
        <v>1.1474594241049989</v>
      </c>
      <c r="O400" s="1474">
        <v>1.1474594241049989</v>
      </c>
    </row>
    <row r="401" spans="2:15">
      <c r="B401" s="1390">
        <v>44621</v>
      </c>
      <c r="C401" s="1391">
        <v>1161.4179999999999</v>
      </c>
      <c r="D401" s="1391">
        <v>6315.93</v>
      </c>
      <c r="E401" s="1391">
        <v>1.0092705386289318</v>
      </c>
      <c r="F401" s="1391">
        <v>64.732558032809095</v>
      </c>
      <c r="K401" s="1471">
        <v>42458</v>
      </c>
      <c r="L401" s="1472" t="s">
        <v>2127</v>
      </c>
      <c r="M401" s="1473">
        <v>5.2531000000000001E-2</v>
      </c>
      <c r="N401" s="1474">
        <v>1.1480621960150754</v>
      </c>
      <c r="O401" s="1474">
        <v>1.1480621960150754</v>
      </c>
    </row>
    <row r="402" spans="2:15">
      <c r="B402" s="1390">
        <v>44652</v>
      </c>
      <c r="C402" s="1391">
        <v>1177.809</v>
      </c>
      <c r="D402" s="1391">
        <v>6382.88</v>
      </c>
      <c r="E402" s="1391">
        <v>1.0083432052372134</v>
      </c>
      <c r="F402" s="1391">
        <v>65.272635050006656</v>
      </c>
      <c r="K402" s="1471">
        <v>42459</v>
      </c>
      <c r="L402" s="1472" t="s">
        <v>2127</v>
      </c>
      <c r="M402" s="1473">
        <v>5.2531000000000001E-2</v>
      </c>
      <c r="N402" s="1474">
        <v>1.148665284567264</v>
      </c>
      <c r="O402" s="1474">
        <v>1.148665284567264</v>
      </c>
    </row>
    <row r="403" spans="2:15">
      <c r="B403" s="1390">
        <v>44682</v>
      </c>
      <c r="C403" s="1391">
        <v>1183.953</v>
      </c>
      <c r="D403" s="1391">
        <v>6412.88</v>
      </c>
      <c r="E403" s="1391">
        <v>1.0103459230153136</v>
      </c>
      <c r="F403" s="1391">
        <v>65.947940707240676</v>
      </c>
      <c r="K403" s="1471">
        <v>42460</v>
      </c>
      <c r="L403" s="1472" t="s">
        <v>2127</v>
      </c>
      <c r="M403" s="1473">
        <v>5.2531000000000001E-2</v>
      </c>
      <c r="N403" s="1474">
        <v>1.1492686899279001</v>
      </c>
      <c r="O403" s="1474">
        <v>1.1492686899279001</v>
      </c>
    </row>
    <row r="404" spans="2:15">
      <c r="B404" s="1390">
        <v>44713</v>
      </c>
      <c r="C404" s="1391">
        <v>1190.8820000000001</v>
      </c>
      <c r="D404" s="1391">
        <v>6455.85</v>
      </c>
      <c r="E404" s="1391">
        <v>1.0101531560893695</v>
      </c>
      <c r="F404" s="1391">
        <v>66.617520443013774</v>
      </c>
      <c r="K404" s="1471">
        <v>42461</v>
      </c>
      <c r="L404" s="1472" t="s">
        <v>2127</v>
      </c>
      <c r="M404" s="1473">
        <v>5.2531000000000001E-2</v>
      </c>
      <c r="N404" s="1474">
        <v>1.1498724122634061</v>
      </c>
      <c r="O404" s="1474">
        <v>1.1498724122634061</v>
      </c>
    </row>
    <row r="405" spans="2:15">
      <c r="B405" s="1390">
        <v>44743</v>
      </c>
      <c r="C405" s="1391">
        <v>1193.337</v>
      </c>
      <c r="D405" s="1391">
        <v>6411.95</v>
      </c>
      <c r="E405" s="1391">
        <v>1.0103484243492924</v>
      </c>
      <c r="F405" s="1391">
        <v>67.306906813655743</v>
      </c>
      <c r="K405" s="1471">
        <v>42462</v>
      </c>
      <c r="L405" s="1472"/>
      <c r="M405" s="1473">
        <v>0</v>
      </c>
      <c r="N405" s="1474">
        <v>1.1498724122634061</v>
      </c>
      <c r="O405" s="1474">
        <v>1.1498724122634061</v>
      </c>
    </row>
    <row r="406" spans="2:15">
      <c r="B406" s="1390">
        <v>44774</v>
      </c>
      <c r="C406" s="1391">
        <v>1185.0039999999999</v>
      </c>
      <c r="D406" s="1391">
        <v>6388.87</v>
      </c>
      <c r="E406" s="1391">
        <v>1.0116936128000631</v>
      </c>
      <c r="F406" s="1391">
        <v>68.093967720704555</v>
      </c>
      <c r="K406" s="1471">
        <v>42463</v>
      </c>
      <c r="L406" s="1472"/>
      <c r="M406" s="1473">
        <v>0</v>
      </c>
      <c r="N406" s="1474">
        <v>1.1498724122634061</v>
      </c>
      <c r="O406" s="1474">
        <v>1.1498724122634061</v>
      </c>
    </row>
    <row r="407" spans="2:15">
      <c r="B407" s="1390">
        <v>44805</v>
      </c>
      <c r="C407" s="1391">
        <v>1188.5886370999999</v>
      </c>
      <c r="D407" s="1391">
        <v>6404.6441200300005</v>
      </c>
      <c r="E407" s="1391">
        <v>1.010719822473549</v>
      </c>
      <c r="F407" s="1391">
        <v>68.823922966190082</v>
      </c>
      <c r="K407" s="1471">
        <v>42464</v>
      </c>
      <c r="L407" s="1472" t="s">
        <v>2127</v>
      </c>
      <c r="M407" s="1473">
        <v>5.2531000000000001E-2</v>
      </c>
      <c r="N407" s="1474">
        <v>1.1504764517402921</v>
      </c>
      <c r="O407" s="1474">
        <v>1.1504764517402921</v>
      </c>
    </row>
    <row r="408" spans="2:15">
      <c r="B408" s="1390">
        <v>44835</v>
      </c>
      <c r="C408" s="1391">
        <v>1195.4598680110751</v>
      </c>
      <c r="D408" s="1391">
        <v>6437.1220703626732</v>
      </c>
      <c r="E408" s="1391">
        <v>1.0102067586649579</v>
      </c>
      <c r="F408" s="1391">
        <v>69.526392138281636</v>
      </c>
      <c r="K408" s="1471">
        <v>42465</v>
      </c>
      <c r="L408" s="1472" t="s">
        <v>2127</v>
      </c>
      <c r="M408" s="1473">
        <v>5.2531000000000001E-2</v>
      </c>
      <c r="N408" s="1474">
        <v>1.1510808085251558</v>
      </c>
      <c r="O408" s="1474">
        <v>1.1510808085251558</v>
      </c>
    </row>
    <row r="409" spans="2:15">
      <c r="B409" s="1390">
        <v>44866</v>
      </c>
      <c r="C409" s="1391">
        <v>1202.90399660918</v>
      </c>
      <c r="D409" s="1391">
        <v>6470.2603747808998</v>
      </c>
      <c r="E409" s="1391">
        <v>1.0102067586649579</v>
      </c>
      <c r="F409" s="1391">
        <v>70.236031243682305</v>
      </c>
      <c r="K409" s="1471">
        <v>42466</v>
      </c>
      <c r="L409" s="1472" t="s">
        <v>2127</v>
      </c>
      <c r="M409" s="1473">
        <v>5.2531000000000001E-2</v>
      </c>
      <c r="N409" s="1474">
        <v>1.1516854827846821</v>
      </c>
      <c r="O409" s="1474">
        <v>1.1516854827846821</v>
      </c>
    </row>
    <row r="410" spans="2:15">
      <c r="B410" s="1390">
        <v>44896</v>
      </c>
      <c r="C410" s="1391">
        <v>1210.0636811969978</v>
      </c>
      <c r="D410" s="1391">
        <v>6518.3732309277702</v>
      </c>
      <c r="E410" s="1391">
        <v>1.0112331468569864</v>
      </c>
      <c r="F410" s="1391">
        <v>71.02500289729447</v>
      </c>
      <c r="K410" s="1471">
        <v>42467</v>
      </c>
      <c r="L410" s="1472" t="s">
        <v>2127</v>
      </c>
      <c r="M410" s="1473">
        <v>5.2531000000000001E-2</v>
      </c>
      <c r="N410" s="1474">
        <v>1.1522904746856437</v>
      </c>
      <c r="O410" s="1474">
        <v>1.1522904746856437</v>
      </c>
    </row>
    <row r="411" spans="2:15">
      <c r="B411" s="1390">
        <v>44927</v>
      </c>
      <c r="C411" s="1391">
        <v>1216.2204852069281</v>
      </c>
      <c r="D411" s="1391">
        <v>6562.8546098556208</v>
      </c>
      <c r="E411" s="1391">
        <v>1.0112331468569866</v>
      </c>
      <c r="F411" s="1391">
        <v>71.822837185357685</v>
      </c>
      <c r="K411" s="1471">
        <v>42468</v>
      </c>
      <c r="L411" s="1472" t="s">
        <v>2127</v>
      </c>
      <c r="M411" s="1473">
        <v>5.2531000000000001E-2</v>
      </c>
      <c r="N411" s="1474">
        <v>1.1528957843949008</v>
      </c>
      <c r="O411" s="1474">
        <v>1.1528957843949008</v>
      </c>
    </row>
    <row r="412" spans="2:15">
      <c r="B412" s="1390">
        <v>44958</v>
      </c>
      <c r="C412" s="1391">
        <v>1221.2130702987026</v>
      </c>
      <c r="D412" s="1391">
        <v>6605.2243992168487</v>
      </c>
      <c r="E412" s="1391">
        <v>1.0091814122432907</v>
      </c>
      <c r="F412" s="1391">
        <v>72.482272262039203</v>
      </c>
      <c r="K412" s="1471">
        <v>42469</v>
      </c>
      <c r="L412" s="1472"/>
      <c r="M412" s="1473">
        <v>0</v>
      </c>
      <c r="N412" s="1474">
        <v>1.1528957843949008</v>
      </c>
      <c r="O412" s="1474">
        <v>1.1528957843949008</v>
      </c>
    </row>
    <row r="413" spans="2:15">
      <c r="B413" s="1390">
        <v>44986</v>
      </c>
      <c r="C413" s="1391">
        <v>1226.0405255655935</v>
      </c>
      <c r="D413" s="1391">
        <v>6636.5860046643302</v>
      </c>
      <c r="E413" s="1391">
        <v>1.0117467319476126</v>
      </c>
      <c r="F413" s="1391">
        <v>73.333702085255254</v>
      </c>
      <c r="K413" s="1471">
        <v>42470</v>
      </c>
      <c r="L413" s="1472"/>
      <c r="M413" s="1473">
        <v>0</v>
      </c>
      <c r="N413" s="1474">
        <v>1.1528957843949008</v>
      </c>
      <c r="O413" s="1474">
        <v>1.1528957843949008</v>
      </c>
    </row>
    <row r="414" spans="2:15">
      <c r="B414" s="1390">
        <v>45017</v>
      </c>
      <c r="C414" s="1391">
        <v>1230.1955769067354</v>
      </c>
      <c r="D414" s="1391">
        <v>6667.1143002857852</v>
      </c>
      <c r="E414" s="1391">
        <v>1.0091814122432907</v>
      </c>
      <c r="F414" s="1391">
        <v>74.007009035426648</v>
      </c>
      <c r="K414" s="1471">
        <v>42471</v>
      </c>
      <c r="L414" s="1472" t="s">
        <v>2127</v>
      </c>
      <c r="M414" s="1473">
        <v>5.2531000000000001E-2</v>
      </c>
      <c r="N414" s="1474">
        <v>1.1535014120794014</v>
      </c>
      <c r="O414" s="1474">
        <v>1.1535014120794014</v>
      </c>
    </row>
    <row r="415" spans="2:15">
      <c r="B415" s="1390">
        <v>45047</v>
      </c>
      <c r="C415" s="1391">
        <v>1233.7926687736106</v>
      </c>
      <c r="D415" s="1391">
        <v>6689.8024902496581</v>
      </c>
      <c r="E415" s="1391">
        <v>1.0112331468569866</v>
      </c>
      <c r="F415" s="1391">
        <v>74.838340636367931</v>
      </c>
      <c r="K415" s="1471">
        <v>42472</v>
      </c>
      <c r="L415" s="1472" t="s">
        <v>2127</v>
      </c>
      <c r="M415" s="1473">
        <v>5.2531000000000001E-2</v>
      </c>
      <c r="N415" s="1474">
        <v>1.1541073579061809</v>
      </c>
      <c r="O415" s="1474">
        <v>1.1541073579061809</v>
      </c>
    </row>
    <row r="416" spans="2:15">
      <c r="B416" s="1390">
        <v>45078</v>
      </c>
      <c r="C416" s="1391">
        <v>1238.0924362242865</v>
      </c>
      <c r="D416" s="1391">
        <v>6710.8887476989257</v>
      </c>
      <c r="E416" s="1391">
        <v>1.010719822473549</v>
      </c>
      <c r="F416" s="1391">
        <v>75.64059436220478</v>
      </c>
      <c r="K416" s="1471">
        <v>42473</v>
      </c>
      <c r="L416" s="1472" t="s">
        <v>2127</v>
      </c>
      <c r="M416" s="1473">
        <v>5.2531000000000001E-2</v>
      </c>
      <c r="N416" s="1474">
        <v>1.1547136220423626</v>
      </c>
      <c r="O416" s="1474">
        <v>1.1547136220423626</v>
      </c>
    </row>
    <row r="417" spans="2:15">
      <c r="B417" s="1390">
        <v>45108</v>
      </c>
      <c r="C417" s="1391">
        <v>1241.6878566590819</v>
      </c>
      <c r="D417" s="1391">
        <v>6731.658948373054</v>
      </c>
      <c r="E417" s="1391">
        <v>1.0107198224735483</v>
      </c>
      <c r="F417" s="1391">
        <v>76.451448105561298</v>
      </c>
      <c r="K417" s="1471">
        <v>42474</v>
      </c>
      <c r="L417" s="1472" t="s">
        <v>2127</v>
      </c>
      <c r="M417" s="1473">
        <v>5.2531000000000001E-2</v>
      </c>
      <c r="N417" s="1474">
        <v>1.1553202046551576</v>
      </c>
      <c r="O417" s="1474">
        <v>1.1553202046551576</v>
      </c>
    </row>
    <row r="418" spans="2:15">
      <c r="B418" s="1390">
        <v>45139</v>
      </c>
      <c r="C418" s="1391">
        <v>1245.6153153496946</v>
      </c>
      <c r="D418" s="1391">
        <v>6747.6399067164921</v>
      </c>
      <c r="E418" s="1391">
        <v>1.0117467319476126</v>
      </c>
      <c r="F418" s="1391">
        <v>77.349502773464138</v>
      </c>
      <c r="K418" s="1471">
        <v>42475</v>
      </c>
      <c r="L418" s="1472" t="s">
        <v>2127</v>
      </c>
      <c r="M418" s="1473">
        <v>5.2531000000000001E-2</v>
      </c>
      <c r="N418" s="1474">
        <v>1.155927105911865</v>
      </c>
      <c r="O418" s="1474">
        <v>1.155927105911865</v>
      </c>
    </row>
    <row r="419" spans="2:15">
      <c r="B419" s="1390">
        <v>45170</v>
      </c>
      <c r="C419" s="1391">
        <v>1251.1570578876854</v>
      </c>
      <c r="D419" s="1391">
        <v>6769.6169698926678</v>
      </c>
      <c r="E419" s="1391">
        <v>1.0102067586649579</v>
      </c>
      <c r="F419" s="1391">
        <v>78.138990481127379</v>
      </c>
      <c r="K419" s="1471">
        <v>42476</v>
      </c>
      <c r="L419" s="1472"/>
      <c r="M419" s="1473">
        <v>0</v>
      </c>
      <c r="N419" s="1474">
        <v>1.155927105911865</v>
      </c>
      <c r="O419" s="1474">
        <v>1.155927105911865</v>
      </c>
    </row>
    <row r="420" spans="2:15">
      <c r="B420" s="1390">
        <v>45200</v>
      </c>
      <c r="C420" s="1391">
        <v>1257.0750307714941</v>
      </c>
      <c r="D420" s="1391">
        <v>6796.3637265407142</v>
      </c>
      <c r="E420" s="1391">
        <v>1.0107198224735487</v>
      </c>
      <c r="F420" s="1391">
        <v>78.976626587347383</v>
      </c>
      <c r="K420" s="1471">
        <v>42477</v>
      </c>
      <c r="L420" s="1472"/>
      <c r="M420" s="1473">
        <v>0</v>
      </c>
      <c r="N420" s="1474">
        <v>1.155927105911865</v>
      </c>
      <c r="O420" s="1474">
        <v>1.155927105911865</v>
      </c>
    </row>
    <row r="421" spans="2:15">
      <c r="B421" s="1390">
        <v>45231</v>
      </c>
      <c r="C421" s="1391">
        <v>1262.6702717334581</v>
      </c>
      <c r="D421" s="1391">
        <v>6821.4830868740082</v>
      </c>
      <c r="E421" s="1391">
        <v>1.0102067586649577</v>
      </c>
      <c r="F421" s="1391">
        <v>79.782721955096918</v>
      </c>
      <c r="K421" s="1471">
        <v>42478</v>
      </c>
      <c r="L421" s="1472" t="s">
        <v>2127</v>
      </c>
      <c r="M421" s="1473">
        <v>5.2531000000000001E-2</v>
      </c>
      <c r="N421" s="1474">
        <v>1.1565343259798715</v>
      </c>
      <c r="O421" s="1474">
        <v>1.1565343259798715</v>
      </c>
    </row>
    <row r="422" spans="2:15">
      <c r="B422" s="1390">
        <v>45261</v>
      </c>
      <c r="C422" s="1391">
        <v>1268.1742514479442</v>
      </c>
      <c r="D422" s="1391">
        <v>6857.9166280410027</v>
      </c>
      <c r="E422" s="1391">
        <v>1.0102067586649579</v>
      </c>
      <c r="F422" s="1391">
        <v>80.597044943726033</v>
      </c>
      <c r="K422" s="1471">
        <v>42479</v>
      </c>
      <c r="L422" s="1472" t="s">
        <v>2127</v>
      </c>
      <c r="M422" s="1473">
        <v>5.2531000000000001E-2</v>
      </c>
      <c r="N422" s="1474">
        <v>1.1571418650266521</v>
      </c>
      <c r="O422" s="1474">
        <v>1.1571418650266521</v>
      </c>
    </row>
    <row r="423" spans="2:15">
      <c r="B423" s="1390">
        <v>45292</v>
      </c>
      <c r="C423" s="1391" t="e">
        <v>#N/A</v>
      </c>
      <c r="D423" s="1391" t="e">
        <v>#N/A</v>
      </c>
      <c r="E423" s="1391" t="e">
        <v>#N/A</v>
      </c>
      <c r="F423" s="1391" t="e">
        <f t="shared" ref="F423:F483" si="0">F422*E423</f>
        <v>#N/A</v>
      </c>
      <c r="K423" s="1471">
        <v>42480</v>
      </c>
      <c r="L423" s="1472" t="s">
        <v>2127</v>
      </c>
      <c r="M423" s="1473">
        <v>5.2531000000000001E-2</v>
      </c>
      <c r="N423" s="1474">
        <v>1.1577497232197693</v>
      </c>
      <c r="O423" s="1474">
        <v>1.1577497232197693</v>
      </c>
    </row>
    <row r="424" spans="2:15">
      <c r="B424" s="1390">
        <v>45323</v>
      </c>
      <c r="C424" s="1391" t="e">
        <v>#N/A</v>
      </c>
      <c r="D424" s="1391" t="e">
        <v>#N/A</v>
      </c>
      <c r="E424" s="1391" t="e">
        <v>#N/A</v>
      </c>
      <c r="F424" s="1391" t="e">
        <f t="shared" si="0"/>
        <v>#N/A</v>
      </c>
      <c r="K424" s="1471">
        <v>42481</v>
      </c>
      <c r="L424" s="1472"/>
      <c r="M424" s="1473">
        <v>0</v>
      </c>
      <c r="N424" s="1474">
        <v>1.1577497232197693</v>
      </c>
      <c r="O424" s="1474">
        <v>1.1577497232197693</v>
      </c>
    </row>
    <row r="425" spans="2:15">
      <c r="B425" s="1390">
        <v>45352</v>
      </c>
      <c r="C425" s="1391" t="e">
        <v>#N/A</v>
      </c>
      <c r="D425" s="1391" t="e">
        <v>#N/A</v>
      </c>
      <c r="E425" s="1391" t="e">
        <v>#N/A</v>
      </c>
      <c r="F425" s="1391" t="e">
        <f t="shared" si="0"/>
        <v>#N/A</v>
      </c>
      <c r="K425" s="1471">
        <v>42482</v>
      </c>
      <c r="L425" s="1472" t="s">
        <v>2127</v>
      </c>
      <c r="M425" s="1473">
        <v>5.2531000000000001E-2</v>
      </c>
      <c r="N425" s="1474">
        <v>1.1583579007268738</v>
      </c>
      <c r="O425" s="1474">
        <v>1.1583579007268738</v>
      </c>
    </row>
    <row r="426" spans="2:15">
      <c r="B426" s="1390">
        <v>45383</v>
      </c>
      <c r="C426" s="1391" t="e">
        <v>#N/A</v>
      </c>
      <c r="D426" s="1391" t="e">
        <v>#N/A</v>
      </c>
      <c r="E426" s="1391" t="e">
        <v>#N/A</v>
      </c>
      <c r="F426" s="1391" t="e">
        <f t="shared" si="0"/>
        <v>#N/A</v>
      </c>
      <c r="K426" s="1471">
        <v>42483</v>
      </c>
      <c r="L426" s="1472"/>
      <c r="M426" s="1473">
        <v>0</v>
      </c>
      <c r="N426" s="1474">
        <v>1.1583579007268738</v>
      </c>
      <c r="O426" s="1474">
        <v>1.1583579007268738</v>
      </c>
    </row>
    <row r="427" spans="2:15">
      <c r="B427" s="1390">
        <v>45413</v>
      </c>
      <c r="C427" s="1391" t="e">
        <v>#N/A</v>
      </c>
      <c r="D427" s="1391" t="e">
        <v>#N/A</v>
      </c>
      <c r="E427" s="1391" t="e">
        <v>#N/A</v>
      </c>
      <c r="F427" s="1391" t="e">
        <f t="shared" si="0"/>
        <v>#N/A</v>
      </c>
      <c r="K427" s="1471">
        <v>42484</v>
      </c>
      <c r="L427" s="1472"/>
      <c r="M427" s="1473">
        <v>0</v>
      </c>
      <c r="N427" s="1474">
        <v>1.1583579007268738</v>
      </c>
      <c r="O427" s="1474">
        <v>1.1583579007268738</v>
      </c>
    </row>
    <row r="428" spans="2:15">
      <c r="B428" s="1390">
        <v>45444</v>
      </c>
      <c r="C428" s="1391" t="e">
        <v>#N/A</v>
      </c>
      <c r="D428" s="1391" t="e">
        <v>#N/A</v>
      </c>
      <c r="E428" s="1391" t="e">
        <v>#N/A</v>
      </c>
      <c r="F428" s="1391" t="e">
        <f t="shared" si="0"/>
        <v>#N/A</v>
      </c>
      <c r="K428" s="1471">
        <v>42485</v>
      </c>
      <c r="L428" s="1472" t="s">
        <v>2127</v>
      </c>
      <c r="M428" s="1473">
        <v>5.2531000000000001E-2</v>
      </c>
      <c r="N428" s="1474">
        <v>1.1589663977157048</v>
      </c>
      <c r="O428" s="1474">
        <v>1.1589663977157048</v>
      </c>
    </row>
    <row r="429" spans="2:15">
      <c r="B429" s="1390">
        <v>45474</v>
      </c>
      <c r="C429" s="1391" t="e">
        <v>#N/A</v>
      </c>
      <c r="D429" s="1391" t="e">
        <v>#N/A</v>
      </c>
      <c r="E429" s="1391" t="e">
        <v>#N/A</v>
      </c>
      <c r="F429" s="1391" t="e">
        <f t="shared" si="0"/>
        <v>#N/A</v>
      </c>
      <c r="K429" s="1471">
        <v>42486</v>
      </c>
      <c r="L429" s="1472" t="s">
        <v>2127</v>
      </c>
      <c r="M429" s="1473">
        <v>5.2531000000000001E-2</v>
      </c>
      <c r="N429" s="1474">
        <v>1.1595752143540887</v>
      </c>
      <c r="O429" s="1474">
        <v>1.1595752143540887</v>
      </c>
    </row>
    <row r="430" spans="2:15">
      <c r="B430" s="1390">
        <v>45505</v>
      </c>
      <c r="C430" s="1391" t="e">
        <v>#N/A</v>
      </c>
      <c r="D430" s="1391" t="e">
        <v>#N/A</v>
      </c>
      <c r="E430" s="1391" t="e">
        <v>#N/A</v>
      </c>
      <c r="F430" s="1391" t="e">
        <f t="shared" si="0"/>
        <v>#N/A</v>
      </c>
      <c r="K430" s="1471">
        <v>42487</v>
      </c>
      <c r="L430" s="1472" t="s">
        <v>2127</v>
      </c>
      <c r="M430" s="1473">
        <v>5.2531000000000001E-2</v>
      </c>
      <c r="N430" s="1474">
        <v>1.160184350809941</v>
      </c>
      <c r="O430" s="1474">
        <v>1.160184350809941</v>
      </c>
    </row>
    <row r="431" spans="2:15">
      <c r="B431" s="1390">
        <v>45536</v>
      </c>
      <c r="C431" s="1391" t="e">
        <v>#N/A</v>
      </c>
      <c r="D431" s="1391" t="e">
        <v>#N/A</v>
      </c>
      <c r="E431" s="1391" t="e">
        <v>#N/A</v>
      </c>
      <c r="F431" s="1391" t="e">
        <f t="shared" si="0"/>
        <v>#N/A</v>
      </c>
      <c r="K431" s="1471">
        <v>42488</v>
      </c>
      <c r="L431" s="1472" t="s">
        <v>2127</v>
      </c>
      <c r="M431" s="1473">
        <v>5.2531000000000001E-2</v>
      </c>
      <c r="N431" s="1474">
        <v>1.1607938072512649</v>
      </c>
      <c r="O431" s="1474">
        <v>1.1607938072512649</v>
      </c>
    </row>
    <row r="432" spans="2:15">
      <c r="B432" s="1390">
        <v>45566</v>
      </c>
      <c r="C432" s="1391" t="e">
        <v>#N/A</v>
      </c>
      <c r="D432" s="1391" t="e">
        <v>#N/A</v>
      </c>
      <c r="E432" s="1391" t="e">
        <v>#N/A</v>
      </c>
      <c r="F432" s="1391" t="e">
        <f t="shared" si="0"/>
        <v>#N/A</v>
      </c>
      <c r="K432" s="1471">
        <v>42489</v>
      </c>
      <c r="L432" s="1472" t="s">
        <v>2127</v>
      </c>
      <c r="M432" s="1473">
        <v>5.2531000000000001E-2</v>
      </c>
      <c r="N432" s="1474">
        <v>1.1614035838461521</v>
      </c>
      <c r="O432" s="1474">
        <v>1.1614035838461521</v>
      </c>
    </row>
    <row r="433" spans="2:15">
      <c r="B433" s="1390">
        <v>45597</v>
      </c>
      <c r="C433" s="1391" t="e">
        <v>#N/A</v>
      </c>
      <c r="D433" s="1391" t="e">
        <v>#N/A</v>
      </c>
      <c r="E433" s="1391" t="e">
        <v>#N/A</v>
      </c>
      <c r="F433" s="1391" t="e">
        <f t="shared" si="0"/>
        <v>#N/A</v>
      </c>
      <c r="K433" s="1471">
        <v>42490</v>
      </c>
      <c r="L433" s="1472"/>
      <c r="M433" s="1473">
        <v>0</v>
      </c>
      <c r="N433" s="1474">
        <v>1.1614035838461521</v>
      </c>
      <c r="O433" s="1474">
        <v>1.1614035838461521</v>
      </c>
    </row>
    <row r="434" spans="2:15">
      <c r="B434" s="1390">
        <v>45627</v>
      </c>
      <c r="C434" s="1391" t="e">
        <v>#N/A</v>
      </c>
      <c r="D434" s="1391" t="e">
        <v>#N/A</v>
      </c>
      <c r="E434" s="1391" t="e">
        <v>#N/A</v>
      </c>
      <c r="F434" s="1391" t="e">
        <f t="shared" si="0"/>
        <v>#N/A</v>
      </c>
      <c r="K434" s="1471">
        <v>42491</v>
      </c>
      <c r="L434" s="1472"/>
      <c r="M434" s="1473">
        <v>0</v>
      </c>
      <c r="N434" s="1474">
        <v>1.1614035838461521</v>
      </c>
      <c r="O434" s="1474">
        <v>1.1614035838461521</v>
      </c>
    </row>
    <row r="435" spans="2:15">
      <c r="B435" s="1390">
        <v>45658</v>
      </c>
      <c r="C435" s="1391" t="e">
        <v>#N/A</v>
      </c>
      <c r="D435" s="1391" t="e">
        <v>#N/A</v>
      </c>
      <c r="E435" s="1391" t="e">
        <v>#N/A</v>
      </c>
      <c r="F435" s="1391" t="e">
        <f t="shared" si="0"/>
        <v>#N/A</v>
      </c>
      <c r="K435" s="1471">
        <v>42492</v>
      </c>
      <c r="L435" s="1472" t="s">
        <v>2127</v>
      </c>
      <c r="M435" s="1473">
        <v>5.2531000000000001E-2</v>
      </c>
      <c r="N435" s="1474">
        <v>1.1620136807627823</v>
      </c>
      <c r="O435" s="1474">
        <v>1.1620136807627823</v>
      </c>
    </row>
    <row r="436" spans="2:15">
      <c r="B436" s="1390">
        <v>45689</v>
      </c>
      <c r="C436" s="1391" t="e">
        <v>#N/A</v>
      </c>
      <c r="D436" s="1391" t="e">
        <v>#N/A</v>
      </c>
      <c r="E436" s="1391" t="e">
        <v>#N/A</v>
      </c>
      <c r="F436" s="1391" t="e">
        <f t="shared" si="0"/>
        <v>#N/A</v>
      </c>
      <c r="K436" s="1471">
        <v>42493</v>
      </c>
      <c r="L436" s="1472" t="s">
        <v>2127</v>
      </c>
      <c r="M436" s="1473">
        <v>5.2531000000000001E-2</v>
      </c>
      <c r="N436" s="1474">
        <v>1.1626240981694238</v>
      </c>
      <c r="O436" s="1474">
        <v>1.1626240981694238</v>
      </c>
    </row>
    <row r="437" spans="2:15">
      <c r="B437" s="1390">
        <v>45717</v>
      </c>
      <c r="C437" s="1391" t="e">
        <v>#N/A</v>
      </c>
      <c r="D437" s="1391" t="e">
        <v>#N/A</v>
      </c>
      <c r="E437" s="1391" t="e">
        <v>#N/A</v>
      </c>
      <c r="F437" s="1391" t="e">
        <f t="shared" si="0"/>
        <v>#N/A</v>
      </c>
      <c r="K437" s="1471">
        <v>42494</v>
      </c>
      <c r="L437" s="1472" t="s">
        <v>2127</v>
      </c>
      <c r="M437" s="1473">
        <v>5.2531000000000001E-2</v>
      </c>
      <c r="N437" s="1474">
        <v>1.1632348362344331</v>
      </c>
      <c r="O437" s="1474">
        <v>1.1632348362344331</v>
      </c>
    </row>
    <row r="438" spans="2:15">
      <c r="B438" s="1390">
        <v>45748</v>
      </c>
      <c r="C438" s="1391" t="e">
        <v>#N/A</v>
      </c>
      <c r="D438" s="1391" t="e">
        <v>#N/A</v>
      </c>
      <c r="E438" s="1391" t="e">
        <v>#N/A</v>
      </c>
      <c r="F438" s="1391" t="e">
        <f t="shared" si="0"/>
        <v>#N/A</v>
      </c>
      <c r="K438" s="1471">
        <v>42495</v>
      </c>
      <c r="L438" s="1472" t="s">
        <v>2127</v>
      </c>
      <c r="M438" s="1473">
        <v>5.2531000000000001E-2</v>
      </c>
      <c r="N438" s="1474">
        <v>1.1638458951262554</v>
      </c>
      <c r="O438" s="1474">
        <v>1.1638458951262554</v>
      </c>
    </row>
    <row r="439" spans="2:15">
      <c r="B439" s="1390">
        <v>45778</v>
      </c>
      <c r="C439" s="1391" t="e">
        <v>#N/A</v>
      </c>
      <c r="D439" s="1391" t="e">
        <v>#N/A</v>
      </c>
      <c r="E439" s="1391" t="e">
        <v>#N/A</v>
      </c>
      <c r="F439" s="1391" t="e">
        <f t="shared" si="0"/>
        <v>#N/A</v>
      </c>
      <c r="K439" s="1471">
        <v>42496</v>
      </c>
      <c r="L439" s="1472" t="s">
        <v>2127</v>
      </c>
      <c r="M439" s="1473">
        <v>5.2531000000000001E-2</v>
      </c>
      <c r="N439" s="1474">
        <v>1.1644572750134241</v>
      </c>
      <c r="O439" s="1474">
        <v>1.1644572750134241</v>
      </c>
    </row>
    <row r="440" spans="2:15">
      <c r="B440" s="1390">
        <v>45809</v>
      </c>
      <c r="C440" s="1391" t="e">
        <v>#N/A</v>
      </c>
      <c r="D440" s="1391" t="e">
        <v>#N/A</v>
      </c>
      <c r="E440" s="1391" t="e">
        <v>#N/A</v>
      </c>
      <c r="F440" s="1391" t="e">
        <f t="shared" si="0"/>
        <v>#N/A</v>
      </c>
      <c r="K440" s="1471">
        <v>42497</v>
      </c>
      <c r="L440" s="1472"/>
      <c r="M440" s="1473">
        <v>0</v>
      </c>
      <c r="N440" s="1474">
        <v>1.1644572750134241</v>
      </c>
      <c r="O440" s="1474">
        <v>1.1644572750134241</v>
      </c>
    </row>
    <row r="441" spans="2:15">
      <c r="B441" s="1390">
        <v>45839</v>
      </c>
      <c r="C441" s="1391" t="e">
        <v>#N/A</v>
      </c>
      <c r="D441" s="1391" t="e">
        <v>#N/A</v>
      </c>
      <c r="E441" s="1391" t="e">
        <v>#N/A</v>
      </c>
      <c r="F441" s="1391" t="e">
        <f t="shared" si="0"/>
        <v>#N/A</v>
      </c>
      <c r="K441" s="1471">
        <v>42498</v>
      </c>
      <c r="L441" s="1472"/>
      <c r="M441" s="1473">
        <v>0</v>
      </c>
      <c r="N441" s="1474">
        <v>1.1644572750134241</v>
      </c>
      <c r="O441" s="1474">
        <v>1.1644572750134241</v>
      </c>
    </row>
    <row r="442" spans="2:15">
      <c r="B442" s="1390">
        <v>45870</v>
      </c>
      <c r="C442" s="1391" t="e">
        <v>#N/A</v>
      </c>
      <c r="D442" s="1391" t="e">
        <v>#N/A</v>
      </c>
      <c r="E442" s="1391" t="e">
        <v>#N/A</v>
      </c>
      <c r="F442" s="1391" t="e">
        <f t="shared" si="0"/>
        <v>#N/A</v>
      </c>
      <c r="K442" s="1471">
        <v>42499</v>
      </c>
      <c r="L442" s="1472" t="s">
        <v>2127</v>
      </c>
      <c r="M442" s="1473">
        <v>5.2531000000000001E-2</v>
      </c>
      <c r="N442" s="1474">
        <v>1.1650689760645614</v>
      </c>
      <c r="O442" s="1474">
        <v>1.1650689760645614</v>
      </c>
    </row>
    <row r="443" spans="2:15">
      <c r="B443" s="1390">
        <v>45901</v>
      </c>
      <c r="C443" s="1391" t="e">
        <v>#N/A</v>
      </c>
      <c r="D443" s="1391" t="e">
        <v>#N/A</v>
      </c>
      <c r="E443" s="1391" t="e">
        <v>#N/A</v>
      </c>
      <c r="F443" s="1391" t="e">
        <f t="shared" si="0"/>
        <v>#N/A</v>
      </c>
      <c r="K443" s="1471">
        <v>42500</v>
      </c>
      <c r="L443" s="1472" t="s">
        <v>2127</v>
      </c>
      <c r="M443" s="1473">
        <v>5.2531000000000001E-2</v>
      </c>
      <c r="N443" s="1474">
        <v>1.1656809984483778</v>
      </c>
      <c r="O443" s="1474">
        <v>1.1656809984483778</v>
      </c>
    </row>
    <row r="444" spans="2:15">
      <c r="B444" s="1390">
        <v>45931</v>
      </c>
      <c r="C444" s="1391" t="e">
        <v>#N/A</v>
      </c>
      <c r="D444" s="1391" t="e">
        <v>#N/A</v>
      </c>
      <c r="E444" s="1391" t="e">
        <v>#N/A</v>
      </c>
      <c r="F444" s="1391" t="e">
        <f t="shared" si="0"/>
        <v>#N/A</v>
      </c>
      <c r="K444" s="1471">
        <v>42501</v>
      </c>
      <c r="L444" s="1472" t="s">
        <v>2127</v>
      </c>
      <c r="M444" s="1473">
        <v>5.2531000000000001E-2</v>
      </c>
      <c r="N444" s="1474">
        <v>1.1662933423336728</v>
      </c>
      <c r="O444" s="1474">
        <v>1.1662933423336728</v>
      </c>
    </row>
    <row r="445" spans="2:15">
      <c r="B445" s="1390">
        <v>45962</v>
      </c>
      <c r="C445" s="1391" t="e">
        <v>#N/A</v>
      </c>
      <c r="D445" s="1391" t="e">
        <v>#N/A</v>
      </c>
      <c r="E445" s="1391" t="e">
        <v>#N/A</v>
      </c>
      <c r="F445" s="1391" t="e">
        <f t="shared" si="0"/>
        <v>#N/A</v>
      </c>
      <c r="K445" s="1471">
        <v>42502</v>
      </c>
      <c r="L445" s="1472" t="s">
        <v>2127</v>
      </c>
      <c r="M445" s="1473">
        <v>5.2531000000000001E-2</v>
      </c>
      <c r="N445" s="1474">
        <v>1.1669060078893341</v>
      </c>
      <c r="O445" s="1474">
        <v>1.1669060078893341</v>
      </c>
    </row>
    <row r="446" spans="2:15">
      <c r="B446" s="1390">
        <v>45992</v>
      </c>
      <c r="C446" s="1391" t="e">
        <v>#N/A</v>
      </c>
      <c r="D446" s="1391" t="e">
        <v>#N/A</v>
      </c>
      <c r="E446" s="1391" t="e">
        <v>#N/A</v>
      </c>
      <c r="F446" s="1391" t="e">
        <f t="shared" si="0"/>
        <v>#N/A</v>
      </c>
      <c r="K446" s="1471">
        <v>42503</v>
      </c>
      <c r="L446" s="1472" t="s">
        <v>2127</v>
      </c>
      <c r="M446" s="1473">
        <v>5.2531000000000001E-2</v>
      </c>
      <c r="N446" s="1474">
        <v>1.1675189952843383</v>
      </c>
      <c r="O446" s="1474">
        <v>1.1675189952843383</v>
      </c>
    </row>
    <row r="447" spans="2:15">
      <c r="B447" s="1390">
        <v>46023</v>
      </c>
      <c r="C447" s="1391" t="e">
        <v>#N/A</v>
      </c>
      <c r="D447" s="1391" t="e">
        <v>#N/A</v>
      </c>
      <c r="E447" s="1391" t="e">
        <v>#N/A</v>
      </c>
      <c r="F447" s="1391" t="e">
        <f t="shared" si="0"/>
        <v>#N/A</v>
      </c>
      <c r="K447" s="1471">
        <v>42504</v>
      </c>
      <c r="L447" s="1472"/>
      <c r="M447" s="1473">
        <v>0</v>
      </c>
      <c r="N447" s="1474">
        <v>1.1675189952843383</v>
      </c>
      <c r="O447" s="1474">
        <v>1.1675189952843383</v>
      </c>
    </row>
    <row r="448" spans="2:15">
      <c r="B448" s="1390">
        <v>46054</v>
      </c>
      <c r="C448" s="1391" t="e">
        <v>#N/A</v>
      </c>
      <c r="D448" s="1391" t="e">
        <v>#N/A</v>
      </c>
      <c r="E448" s="1391" t="e">
        <v>#N/A</v>
      </c>
      <c r="F448" s="1391" t="e">
        <f t="shared" si="0"/>
        <v>#N/A</v>
      </c>
      <c r="K448" s="1471">
        <v>42505</v>
      </c>
      <c r="L448" s="1472"/>
      <c r="M448" s="1473">
        <v>0</v>
      </c>
      <c r="N448" s="1474">
        <v>1.1675189952843383</v>
      </c>
      <c r="O448" s="1474">
        <v>1.1675189952843383</v>
      </c>
    </row>
    <row r="449" spans="2:15">
      <c r="B449" s="1390">
        <v>46082</v>
      </c>
      <c r="C449" s="1391" t="e">
        <v>#N/A</v>
      </c>
      <c r="D449" s="1391" t="e">
        <v>#N/A</v>
      </c>
      <c r="E449" s="1391" t="e">
        <v>#N/A</v>
      </c>
      <c r="F449" s="1391" t="e">
        <f t="shared" si="0"/>
        <v>#N/A</v>
      </c>
      <c r="K449" s="1471">
        <v>42506</v>
      </c>
      <c r="L449" s="1472" t="s">
        <v>2127</v>
      </c>
      <c r="M449" s="1473">
        <v>5.2531000000000001E-2</v>
      </c>
      <c r="N449" s="1474">
        <v>1.1681323046877512</v>
      </c>
      <c r="O449" s="1474">
        <v>1.1681323046877512</v>
      </c>
    </row>
    <row r="450" spans="2:15">
      <c r="B450" s="1390">
        <v>46113</v>
      </c>
      <c r="C450" s="1391" t="e">
        <v>#N/A</v>
      </c>
      <c r="D450" s="1391" t="e">
        <v>#N/A</v>
      </c>
      <c r="E450" s="1391" t="e">
        <v>#N/A</v>
      </c>
      <c r="F450" s="1391" t="e">
        <f t="shared" si="0"/>
        <v>#N/A</v>
      </c>
      <c r="K450" s="1471">
        <v>42507</v>
      </c>
      <c r="L450" s="1472" t="s">
        <v>2127</v>
      </c>
      <c r="M450" s="1473">
        <v>5.2531000000000001E-2</v>
      </c>
      <c r="N450" s="1474">
        <v>1.1687459362687267</v>
      </c>
      <c r="O450" s="1474">
        <v>1.1687459362687267</v>
      </c>
    </row>
    <row r="451" spans="2:15">
      <c r="B451" s="1390">
        <v>46143</v>
      </c>
      <c r="C451" s="1391" t="e">
        <v>#N/A</v>
      </c>
      <c r="D451" s="1391" t="e">
        <v>#N/A</v>
      </c>
      <c r="E451" s="1391" t="e">
        <v>#N/A</v>
      </c>
      <c r="F451" s="1391" t="e">
        <f t="shared" si="0"/>
        <v>#N/A</v>
      </c>
      <c r="K451" s="1471">
        <v>42508</v>
      </c>
      <c r="L451" s="1472" t="s">
        <v>2127</v>
      </c>
      <c r="M451" s="1473">
        <v>5.2531000000000001E-2</v>
      </c>
      <c r="N451" s="1474">
        <v>1.1693598901965081</v>
      </c>
      <c r="O451" s="1474">
        <v>1.1693598901965081</v>
      </c>
    </row>
    <row r="452" spans="2:15">
      <c r="B452" s="1390">
        <v>46174</v>
      </c>
      <c r="C452" s="1391" t="e">
        <v>#N/A</v>
      </c>
      <c r="D452" s="1391" t="e">
        <v>#N/A</v>
      </c>
      <c r="E452" s="1391" t="e">
        <v>#N/A</v>
      </c>
      <c r="F452" s="1391" t="e">
        <f t="shared" si="0"/>
        <v>#N/A</v>
      </c>
      <c r="K452" s="1471">
        <v>42509</v>
      </c>
      <c r="L452" s="1472" t="s">
        <v>2127</v>
      </c>
      <c r="M452" s="1473">
        <v>5.2531000000000001E-2</v>
      </c>
      <c r="N452" s="1474">
        <v>1.1699741666404273</v>
      </c>
      <c r="O452" s="1474">
        <v>1.1699741666404273</v>
      </c>
    </row>
    <row r="453" spans="2:15">
      <c r="B453" s="1390">
        <v>46204</v>
      </c>
      <c r="C453" s="1391" t="e">
        <v>#N/A</v>
      </c>
      <c r="D453" s="1391" t="e">
        <v>#N/A</v>
      </c>
      <c r="E453" s="1391" t="e">
        <v>#N/A</v>
      </c>
      <c r="F453" s="1391" t="e">
        <f t="shared" si="0"/>
        <v>#N/A</v>
      </c>
      <c r="K453" s="1471">
        <v>42510</v>
      </c>
      <c r="L453" s="1472" t="s">
        <v>2127</v>
      </c>
      <c r="M453" s="1473">
        <v>5.2531000000000001E-2</v>
      </c>
      <c r="N453" s="1474">
        <v>1.1705887657699052</v>
      </c>
      <c r="O453" s="1474">
        <v>1.1705887657699052</v>
      </c>
    </row>
    <row r="454" spans="2:15">
      <c r="B454" s="1390">
        <v>46235</v>
      </c>
      <c r="C454" s="1391" t="e">
        <v>#N/A</v>
      </c>
      <c r="D454" s="1391" t="e">
        <v>#N/A</v>
      </c>
      <c r="E454" s="1391" t="e">
        <v>#N/A</v>
      </c>
      <c r="F454" s="1391" t="e">
        <f t="shared" si="0"/>
        <v>#N/A</v>
      </c>
      <c r="K454" s="1471">
        <v>42511</v>
      </c>
      <c r="L454" s="1472"/>
      <c r="M454" s="1473">
        <v>0</v>
      </c>
      <c r="N454" s="1474">
        <v>1.1705887657699052</v>
      </c>
      <c r="O454" s="1474">
        <v>1.1705887657699052</v>
      </c>
    </row>
    <row r="455" spans="2:15">
      <c r="B455" s="1390">
        <v>46266</v>
      </c>
      <c r="C455" s="1391" t="e">
        <v>#N/A</v>
      </c>
      <c r="D455" s="1391" t="e">
        <v>#N/A</v>
      </c>
      <c r="E455" s="1391" t="e">
        <v>#N/A</v>
      </c>
      <c r="F455" s="1391" t="e">
        <f t="shared" si="0"/>
        <v>#N/A</v>
      </c>
      <c r="K455" s="1471">
        <v>42512</v>
      </c>
      <c r="L455" s="1472"/>
      <c r="M455" s="1473">
        <v>0</v>
      </c>
      <c r="N455" s="1474">
        <v>1.1705887657699052</v>
      </c>
      <c r="O455" s="1474">
        <v>1.1705887657699052</v>
      </c>
    </row>
    <row r="456" spans="2:15">
      <c r="B456" s="1390">
        <v>46296</v>
      </c>
      <c r="C456" s="1391" t="e">
        <v>#N/A</v>
      </c>
      <c r="D456" s="1391" t="e">
        <v>#N/A</v>
      </c>
      <c r="E456" s="1391" t="e">
        <v>#N/A</v>
      </c>
      <c r="F456" s="1391" t="e">
        <f t="shared" si="0"/>
        <v>#N/A</v>
      </c>
      <c r="K456" s="1471">
        <v>42513</v>
      </c>
      <c r="L456" s="1472" t="s">
        <v>2127</v>
      </c>
      <c r="M456" s="1473">
        <v>5.2531000000000001E-2</v>
      </c>
      <c r="N456" s="1474">
        <v>1.1712036877544518</v>
      </c>
      <c r="O456" s="1474">
        <v>1.1712036877544518</v>
      </c>
    </row>
    <row r="457" spans="2:15">
      <c r="B457" s="1390">
        <v>46327</v>
      </c>
      <c r="C457" s="1391" t="e">
        <v>#N/A</v>
      </c>
      <c r="D457" s="1391" t="e">
        <v>#N/A</v>
      </c>
      <c r="E457" s="1391" t="e">
        <v>#N/A</v>
      </c>
      <c r="F457" s="1391" t="e">
        <f t="shared" si="0"/>
        <v>#N/A</v>
      </c>
      <c r="K457" s="1471">
        <v>42514</v>
      </c>
      <c r="L457" s="1472" t="s">
        <v>2127</v>
      </c>
      <c r="M457" s="1473">
        <v>5.2531000000000001E-2</v>
      </c>
      <c r="N457" s="1474">
        <v>1.1718189327636661</v>
      </c>
      <c r="O457" s="1474">
        <v>1.1718189327636661</v>
      </c>
    </row>
    <row r="458" spans="2:15">
      <c r="B458" s="1390">
        <v>46357</v>
      </c>
      <c r="C458" s="1391" t="e">
        <v>#N/A</v>
      </c>
      <c r="D458" s="1391" t="e">
        <v>#N/A</v>
      </c>
      <c r="E458" s="1391" t="e">
        <v>#N/A</v>
      </c>
      <c r="F458" s="1391" t="e">
        <f t="shared" si="0"/>
        <v>#N/A</v>
      </c>
      <c r="K458" s="1471">
        <v>42515</v>
      </c>
      <c r="L458" s="1472" t="s">
        <v>2127</v>
      </c>
      <c r="M458" s="1473">
        <v>5.2531000000000001E-2</v>
      </c>
      <c r="N458" s="1474">
        <v>1.1724345009672361</v>
      </c>
      <c r="O458" s="1474">
        <v>1.1724345009672361</v>
      </c>
    </row>
    <row r="459" spans="2:15">
      <c r="B459" s="1390">
        <v>46388</v>
      </c>
      <c r="C459" s="1391" t="e">
        <v>#N/A</v>
      </c>
      <c r="D459" s="1391" t="e">
        <v>#N/A</v>
      </c>
      <c r="E459" s="1391" t="e">
        <v>#N/A</v>
      </c>
      <c r="F459" s="1391" t="e">
        <f t="shared" si="0"/>
        <v>#N/A</v>
      </c>
      <c r="K459" s="1471">
        <v>42516</v>
      </c>
      <c r="L459" s="1472"/>
      <c r="M459" s="1473">
        <v>0</v>
      </c>
      <c r="N459" s="1474">
        <v>1.1724345009672361</v>
      </c>
      <c r="O459" s="1474">
        <v>1.1724345009672361</v>
      </c>
    </row>
    <row r="460" spans="2:15">
      <c r="B460" s="1390">
        <v>46419</v>
      </c>
      <c r="C460" s="1391" t="e">
        <v>#N/A</v>
      </c>
      <c r="D460" s="1391" t="e">
        <v>#N/A</v>
      </c>
      <c r="E460" s="1391" t="e">
        <v>#N/A</v>
      </c>
      <c r="F460" s="1391" t="e">
        <f t="shared" si="0"/>
        <v>#N/A</v>
      </c>
      <c r="K460" s="1471">
        <v>42517</v>
      </c>
      <c r="L460" s="1472" t="s">
        <v>2127</v>
      </c>
      <c r="M460" s="1473">
        <v>5.2531000000000001E-2</v>
      </c>
      <c r="N460" s="1474">
        <v>1.1730503925349391</v>
      </c>
      <c r="O460" s="1474">
        <v>1.1730503925349391</v>
      </c>
    </row>
    <row r="461" spans="2:15">
      <c r="B461" s="1390">
        <v>46447</v>
      </c>
      <c r="C461" s="1391" t="e">
        <v>#N/A</v>
      </c>
      <c r="D461" s="1391" t="e">
        <v>#N/A</v>
      </c>
      <c r="E461" s="1391" t="e">
        <v>#N/A</v>
      </c>
      <c r="F461" s="1391" t="e">
        <f t="shared" si="0"/>
        <v>#N/A</v>
      </c>
      <c r="K461" s="1471">
        <v>42518</v>
      </c>
      <c r="L461" s="1472"/>
      <c r="M461" s="1473">
        <v>0</v>
      </c>
      <c r="N461" s="1474">
        <v>1.1730503925349391</v>
      </c>
      <c r="O461" s="1474">
        <v>1.1730503925349391</v>
      </c>
    </row>
    <row r="462" spans="2:15">
      <c r="B462" s="1390">
        <v>46478</v>
      </c>
      <c r="C462" s="1391" t="e">
        <v>#N/A</v>
      </c>
      <c r="D462" s="1391" t="e">
        <v>#N/A</v>
      </c>
      <c r="E462" s="1391" t="e">
        <v>#N/A</v>
      </c>
      <c r="F462" s="1391" t="e">
        <f t="shared" si="0"/>
        <v>#N/A</v>
      </c>
      <c r="K462" s="1471">
        <v>42519</v>
      </c>
      <c r="L462" s="1472"/>
      <c r="M462" s="1473">
        <v>0</v>
      </c>
      <c r="N462" s="1474">
        <v>1.1730503925349391</v>
      </c>
      <c r="O462" s="1474">
        <v>1.1730503925349391</v>
      </c>
    </row>
    <row r="463" spans="2:15">
      <c r="B463" s="1390">
        <v>46508</v>
      </c>
      <c r="C463" s="1391" t="e">
        <v>#N/A</v>
      </c>
      <c r="D463" s="1391" t="e">
        <v>#N/A</v>
      </c>
      <c r="E463" s="1391" t="e">
        <v>#N/A</v>
      </c>
      <c r="F463" s="1391" t="e">
        <f t="shared" si="0"/>
        <v>#N/A</v>
      </c>
      <c r="K463" s="1471">
        <v>42520</v>
      </c>
      <c r="L463" s="1472" t="s">
        <v>2127</v>
      </c>
      <c r="M463" s="1473">
        <v>5.2531000000000001E-2</v>
      </c>
      <c r="N463" s="1474">
        <v>1.1736666076366418</v>
      </c>
      <c r="O463" s="1474">
        <v>1.1736666076366418</v>
      </c>
    </row>
    <row r="464" spans="2:15">
      <c r="B464" s="1390">
        <v>46539</v>
      </c>
      <c r="C464" s="1391" t="e">
        <v>#N/A</v>
      </c>
      <c r="D464" s="1391" t="e">
        <v>#N/A</v>
      </c>
      <c r="E464" s="1391" t="e">
        <v>#N/A</v>
      </c>
      <c r="F464" s="1391" t="e">
        <f t="shared" si="0"/>
        <v>#N/A</v>
      </c>
      <c r="K464" s="1471">
        <v>42521</v>
      </c>
      <c r="L464" s="1472" t="s">
        <v>2127</v>
      </c>
      <c r="M464" s="1473">
        <v>5.2531000000000001E-2</v>
      </c>
      <c r="N464" s="1474">
        <v>1.1742831464422994</v>
      </c>
      <c r="O464" s="1474">
        <v>1.1742831464422994</v>
      </c>
    </row>
    <row r="465" spans="2:15">
      <c r="B465" s="1390">
        <v>46569</v>
      </c>
      <c r="C465" s="1391" t="e">
        <v>#N/A</v>
      </c>
      <c r="D465" s="1391" t="e">
        <v>#N/A</v>
      </c>
      <c r="E465" s="1391" t="e">
        <v>#N/A</v>
      </c>
      <c r="F465" s="1391" t="e">
        <f t="shared" si="0"/>
        <v>#N/A</v>
      </c>
      <c r="K465" s="1471">
        <v>42522</v>
      </c>
      <c r="L465" s="1472" t="s">
        <v>2127</v>
      </c>
      <c r="M465" s="1473">
        <v>5.2531000000000001E-2</v>
      </c>
      <c r="N465" s="1474">
        <v>1.174900009121957</v>
      </c>
      <c r="O465" s="1474">
        <v>1.174900009121957</v>
      </c>
    </row>
    <row r="466" spans="2:15">
      <c r="B466" s="1390">
        <v>46600</v>
      </c>
      <c r="C466" s="1391" t="e">
        <v>#N/A</v>
      </c>
      <c r="D466" s="1391" t="e">
        <v>#N/A</v>
      </c>
      <c r="E466" s="1391" t="e">
        <v>#N/A</v>
      </c>
      <c r="F466" s="1391" t="e">
        <f t="shared" si="0"/>
        <v>#N/A</v>
      </c>
      <c r="K466" s="1471">
        <v>42523</v>
      </c>
      <c r="L466" s="1472" t="s">
        <v>2127</v>
      </c>
      <c r="M466" s="1473">
        <v>5.2531000000000001E-2</v>
      </c>
      <c r="N466" s="1474">
        <v>1.1755171958457489</v>
      </c>
      <c r="O466" s="1474">
        <v>1.1755171958457489</v>
      </c>
    </row>
    <row r="467" spans="2:15">
      <c r="B467" s="1390">
        <v>46631</v>
      </c>
      <c r="C467" s="1391" t="e">
        <v>#N/A</v>
      </c>
      <c r="D467" s="1391" t="e">
        <v>#N/A</v>
      </c>
      <c r="E467" s="1391" t="e">
        <v>#N/A</v>
      </c>
      <c r="F467" s="1391" t="e">
        <f t="shared" si="0"/>
        <v>#N/A</v>
      </c>
      <c r="K467" s="1471">
        <v>42524</v>
      </c>
      <c r="L467" s="1472" t="s">
        <v>2127</v>
      </c>
      <c r="M467" s="1473">
        <v>5.2531000000000001E-2</v>
      </c>
      <c r="N467" s="1474">
        <v>1.1761347067838985</v>
      </c>
      <c r="O467" s="1474">
        <v>1.1761347067838985</v>
      </c>
    </row>
    <row r="468" spans="2:15">
      <c r="B468" s="1390">
        <v>46661</v>
      </c>
      <c r="C468" s="1391" t="e">
        <v>#N/A</v>
      </c>
      <c r="D468" s="1391" t="e">
        <v>#N/A</v>
      </c>
      <c r="E468" s="1391" t="e">
        <v>#N/A</v>
      </c>
      <c r="F468" s="1391" t="e">
        <f t="shared" si="0"/>
        <v>#N/A</v>
      </c>
      <c r="K468" s="1471">
        <v>42525</v>
      </c>
      <c r="L468" s="1472"/>
      <c r="M468" s="1473">
        <v>0</v>
      </c>
      <c r="N468" s="1474">
        <v>1.1761347067838985</v>
      </c>
      <c r="O468" s="1474">
        <v>1.1761347067838985</v>
      </c>
    </row>
    <row r="469" spans="2:15">
      <c r="B469" s="1390">
        <v>46692</v>
      </c>
      <c r="C469" s="1391" t="e">
        <v>#N/A</v>
      </c>
      <c r="D469" s="1391" t="e">
        <v>#N/A</v>
      </c>
      <c r="E469" s="1391" t="e">
        <v>#N/A</v>
      </c>
      <c r="F469" s="1391" t="e">
        <f t="shared" si="0"/>
        <v>#N/A</v>
      </c>
      <c r="K469" s="1471">
        <v>42526</v>
      </c>
      <c r="L469" s="1472"/>
      <c r="M469" s="1473">
        <v>0</v>
      </c>
      <c r="N469" s="1474">
        <v>1.1761347067838985</v>
      </c>
      <c r="O469" s="1474">
        <v>1.1761347067838985</v>
      </c>
    </row>
    <row r="470" spans="2:15">
      <c r="B470" s="1390">
        <v>46722</v>
      </c>
      <c r="C470" s="1391" t="e">
        <v>#N/A</v>
      </c>
      <c r="D470" s="1391" t="e">
        <v>#N/A</v>
      </c>
      <c r="E470" s="1391" t="e">
        <v>#N/A</v>
      </c>
      <c r="F470" s="1391" t="e">
        <f t="shared" si="0"/>
        <v>#N/A</v>
      </c>
      <c r="K470" s="1471">
        <v>42527</v>
      </c>
      <c r="L470" s="1472" t="s">
        <v>2127</v>
      </c>
      <c r="M470" s="1473">
        <v>5.2531000000000001E-2</v>
      </c>
      <c r="N470" s="1474">
        <v>1.1767525421067191</v>
      </c>
      <c r="O470" s="1474">
        <v>1.1767525421067191</v>
      </c>
    </row>
    <row r="471" spans="2:15">
      <c r="B471" s="1390">
        <v>46753</v>
      </c>
      <c r="C471" s="1391" t="e">
        <v>#N/A</v>
      </c>
      <c r="D471" s="1391" t="e">
        <v>#N/A</v>
      </c>
      <c r="E471" s="1391" t="e">
        <v>#N/A</v>
      </c>
      <c r="F471" s="1391" t="e">
        <f t="shared" si="0"/>
        <v>#N/A</v>
      </c>
      <c r="K471" s="1471">
        <v>42528</v>
      </c>
      <c r="L471" s="1472" t="s">
        <v>2127</v>
      </c>
      <c r="M471" s="1473">
        <v>5.2531000000000001E-2</v>
      </c>
      <c r="N471" s="1474">
        <v>1.1773707019846131</v>
      </c>
      <c r="O471" s="1474">
        <v>1.1773707019846131</v>
      </c>
    </row>
    <row r="472" spans="2:15">
      <c r="B472" s="1390">
        <v>46784</v>
      </c>
      <c r="C472" s="1391" t="e">
        <v>#N/A</v>
      </c>
      <c r="D472" s="1391" t="e">
        <v>#N/A</v>
      </c>
      <c r="E472" s="1391" t="e">
        <v>#N/A</v>
      </c>
      <c r="F472" s="1391" t="e">
        <f t="shared" si="0"/>
        <v>#N/A</v>
      </c>
      <c r="K472" s="1471">
        <v>42529</v>
      </c>
      <c r="L472" s="1472" t="s">
        <v>2127</v>
      </c>
      <c r="M472" s="1473">
        <v>5.2531000000000001E-2</v>
      </c>
      <c r="N472" s="1474">
        <v>1.1779891865880727</v>
      </c>
      <c r="O472" s="1474">
        <v>1.1779891865880727</v>
      </c>
    </row>
    <row r="473" spans="2:15">
      <c r="B473" s="1390">
        <v>46813</v>
      </c>
      <c r="C473" s="1391" t="e">
        <v>#N/A</v>
      </c>
      <c r="D473" s="1391" t="e">
        <v>#N/A</v>
      </c>
      <c r="E473" s="1391" t="e">
        <v>#N/A</v>
      </c>
      <c r="F473" s="1391" t="e">
        <f t="shared" si="0"/>
        <v>#N/A</v>
      </c>
      <c r="K473" s="1471">
        <v>42530</v>
      </c>
      <c r="L473" s="1472" t="s">
        <v>2127</v>
      </c>
      <c r="M473" s="1473">
        <v>5.2531000000000001E-2</v>
      </c>
      <c r="N473" s="1474">
        <v>1.1786079960876794</v>
      </c>
      <c r="O473" s="1474">
        <v>1.1786079960876794</v>
      </c>
    </row>
    <row r="474" spans="2:15">
      <c r="B474" s="1390">
        <v>46844</v>
      </c>
      <c r="C474" s="1391" t="e">
        <v>#N/A</v>
      </c>
      <c r="D474" s="1391" t="e">
        <v>#N/A</v>
      </c>
      <c r="E474" s="1391" t="e">
        <v>#N/A</v>
      </c>
      <c r="F474" s="1391" t="e">
        <f t="shared" si="0"/>
        <v>#N/A</v>
      </c>
      <c r="K474" s="1471">
        <v>42531</v>
      </c>
      <c r="L474" s="1472" t="s">
        <v>2127</v>
      </c>
      <c r="M474" s="1473">
        <v>5.2531000000000001E-2</v>
      </c>
      <c r="N474" s="1474">
        <v>1.1792271306541042</v>
      </c>
      <c r="O474" s="1474">
        <v>1.1792271306541042</v>
      </c>
    </row>
    <row r="475" spans="2:15">
      <c r="B475" s="1390">
        <v>46874</v>
      </c>
      <c r="C475" s="1391" t="e">
        <v>#N/A</v>
      </c>
      <c r="D475" s="1391" t="e">
        <v>#N/A</v>
      </c>
      <c r="E475" s="1391" t="e">
        <v>#N/A</v>
      </c>
      <c r="F475" s="1391" t="e">
        <f t="shared" si="0"/>
        <v>#N/A</v>
      </c>
      <c r="K475" s="1471">
        <v>42532</v>
      </c>
      <c r="L475" s="1472"/>
      <c r="M475" s="1473">
        <v>0</v>
      </c>
      <c r="N475" s="1474">
        <v>1.1792271306541042</v>
      </c>
      <c r="O475" s="1474">
        <v>1.1792271306541042</v>
      </c>
    </row>
    <row r="476" spans="2:15">
      <c r="B476" s="1390">
        <v>46905</v>
      </c>
      <c r="C476" s="1391" t="e">
        <v>#N/A</v>
      </c>
      <c r="D476" s="1391" t="e">
        <v>#N/A</v>
      </c>
      <c r="E476" s="1391" t="e">
        <v>#N/A</v>
      </c>
      <c r="F476" s="1391" t="e">
        <f t="shared" si="0"/>
        <v>#N/A</v>
      </c>
      <c r="K476" s="1471">
        <v>42533</v>
      </c>
      <c r="L476" s="1472"/>
      <c r="M476" s="1473">
        <v>0</v>
      </c>
      <c r="N476" s="1474">
        <v>1.1792271306541042</v>
      </c>
      <c r="O476" s="1474">
        <v>1.1792271306541042</v>
      </c>
    </row>
    <row r="477" spans="2:15">
      <c r="B477" s="1390">
        <v>46935</v>
      </c>
      <c r="C477" s="1391" t="e">
        <v>#N/A</v>
      </c>
      <c r="D477" s="1391" t="e">
        <v>#N/A</v>
      </c>
      <c r="E477" s="1391" t="e">
        <v>#N/A</v>
      </c>
      <c r="F477" s="1391" t="e">
        <f t="shared" si="0"/>
        <v>#N/A</v>
      </c>
      <c r="K477" s="1471">
        <v>42534</v>
      </c>
      <c r="L477" s="1472" t="s">
        <v>2127</v>
      </c>
      <c r="M477" s="1473">
        <v>5.2531000000000001E-2</v>
      </c>
      <c r="N477" s="1474">
        <v>1.1798465904581081</v>
      </c>
      <c r="O477" s="1474">
        <v>1.1798465904581081</v>
      </c>
    </row>
    <row r="478" spans="2:15">
      <c r="B478" s="1390">
        <v>46966</v>
      </c>
      <c r="C478" s="1391" t="e">
        <v>#N/A</v>
      </c>
      <c r="D478" s="1391" t="e">
        <v>#N/A</v>
      </c>
      <c r="E478" s="1391" t="e">
        <v>#N/A</v>
      </c>
      <c r="F478" s="1391" t="e">
        <f t="shared" si="0"/>
        <v>#N/A</v>
      </c>
      <c r="K478" s="1471">
        <v>42535</v>
      </c>
      <c r="L478" s="1472" t="s">
        <v>2127</v>
      </c>
      <c r="M478" s="1473">
        <v>5.2531000000000001E-2</v>
      </c>
      <c r="N478" s="1474">
        <v>1.1804663756705416</v>
      </c>
      <c r="O478" s="1474">
        <v>1.1804663756705416</v>
      </c>
    </row>
    <row r="479" spans="2:15">
      <c r="B479" s="1390">
        <v>46997</v>
      </c>
      <c r="C479" s="1391" t="e">
        <v>#N/A</v>
      </c>
      <c r="D479" s="1391" t="e">
        <v>#N/A</v>
      </c>
      <c r="E479" s="1391" t="e">
        <v>#N/A</v>
      </c>
      <c r="F479" s="1391" t="e">
        <f t="shared" si="0"/>
        <v>#N/A</v>
      </c>
      <c r="K479" s="1471">
        <v>42536</v>
      </c>
      <c r="L479" s="1472" t="s">
        <v>2127</v>
      </c>
      <c r="M479" s="1473">
        <v>5.2531000000000001E-2</v>
      </c>
      <c r="N479" s="1474">
        <v>1.1810864864623452</v>
      </c>
      <c r="O479" s="1474">
        <v>1.1810864864623452</v>
      </c>
    </row>
    <row r="480" spans="2:15">
      <c r="B480" s="1390">
        <v>47027</v>
      </c>
      <c r="C480" s="1391" t="e">
        <v>#N/A</v>
      </c>
      <c r="D480" s="1391" t="e">
        <v>#N/A</v>
      </c>
      <c r="E480" s="1391" t="e">
        <v>#N/A</v>
      </c>
      <c r="F480" s="1391" t="e">
        <f t="shared" si="0"/>
        <v>#N/A</v>
      </c>
      <c r="K480" s="1471">
        <v>42537</v>
      </c>
      <c r="L480" s="1472" t="s">
        <v>2127</v>
      </c>
      <c r="M480" s="1473">
        <v>5.2531000000000001E-2</v>
      </c>
      <c r="N480" s="1474">
        <v>1.1817069230045487</v>
      </c>
      <c r="O480" s="1474">
        <v>1.1817069230045487</v>
      </c>
    </row>
    <row r="481" spans="2:15">
      <c r="B481" s="1390">
        <v>47058</v>
      </c>
      <c r="C481" s="1391" t="e">
        <v>#N/A</v>
      </c>
      <c r="D481" s="1391" t="e">
        <v>#N/A</v>
      </c>
      <c r="E481" s="1391" t="e">
        <v>#N/A</v>
      </c>
      <c r="F481" s="1391" t="e">
        <f t="shared" si="0"/>
        <v>#N/A</v>
      </c>
      <c r="K481" s="1471">
        <v>42538</v>
      </c>
      <c r="L481" s="1472" t="s">
        <v>2127</v>
      </c>
      <c r="M481" s="1473">
        <v>5.2531000000000001E-2</v>
      </c>
      <c r="N481" s="1474">
        <v>1.1823276854682723</v>
      </c>
      <c r="O481" s="1474">
        <v>1.1823276854682723</v>
      </c>
    </row>
    <row r="482" spans="2:15">
      <c r="B482" s="1390">
        <v>47088</v>
      </c>
      <c r="C482" s="1391" t="e">
        <v>#N/A</v>
      </c>
      <c r="D482" s="1391" t="e">
        <v>#N/A</v>
      </c>
      <c r="E482" s="1391" t="e">
        <v>#N/A</v>
      </c>
      <c r="F482" s="1391" t="e">
        <f t="shared" si="0"/>
        <v>#N/A</v>
      </c>
      <c r="K482" s="1471">
        <v>42539</v>
      </c>
      <c r="L482" s="1472"/>
      <c r="M482" s="1473">
        <v>0</v>
      </c>
      <c r="N482" s="1474">
        <v>1.1823276854682723</v>
      </c>
      <c r="O482" s="1474">
        <v>1.1823276854682723</v>
      </c>
    </row>
    <row r="483" spans="2:15">
      <c r="B483" s="1390">
        <v>47119</v>
      </c>
      <c r="C483" s="1391" t="e">
        <v>#N/A</v>
      </c>
      <c r="D483" s="1391" t="e">
        <v>#N/A</v>
      </c>
      <c r="E483" s="1391" t="e">
        <v>#N/A</v>
      </c>
      <c r="F483" s="1391" t="e">
        <f t="shared" si="0"/>
        <v>#N/A</v>
      </c>
      <c r="K483" s="1471">
        <v>42540</v>
      </c>
      <c r="L483" s="1472"/>
      <c r="M483" s="1473">
        <v>0</v>
      </c>
      <c r="N483" s="1474">
        <v>1.1823276854682723</v>
      </c>
      <c r="O483" s="1474">
        <v>1.1823276854682723</v>
      </c>
    </row>
    <row r="484" spans="2:15">
      <c r="B484" s="1390">
        <v>47150</v>
      </c>
      <c r="C484" s="1391" t="e">
        <v>#N/A</v>
      </c>
      <c r="D484" s="1391" t="e">
        <v>#N/A</v>
      </c>
      <c r="E484" s="1391" t="e">
        <v>#N/A</v>
      </c>
      <c r="F484" s="1391" t="e">
        <f t="shared" ref="F484:F500" si="1">F483*E484</f>
        <v>#N/A</v>
      </c>
      <c r="K484" s="1471">
        <v>42541</v>
      </c>
      <c r="L484" s="1472" t="s">
        <v>2127</v>
      </c>
      <c r="M484" s="1473">
        <v>5.2531000000000001E-2</v>
      </c>
      <c r="N484" s="1474">
        <v>1.1829487740247255</v>
      </c>
      <c r="O484" s="1474">
        <v>1.1829487740247255</v>
      </c>
    </row>
    <row r="485" spans="2:15">
      <c r="B485" s="1390">
        <v>47178</v>
      </c>
      <c r="C485" s="1391" t="e">
        <v>#N/A</v>
      </c>
      <c r="D485" s="1391" t="e">
        <v>#N/A</v>
      </c>
      <c r="E485" s="1391" t="e">
        <v>#N/A</v>
      </c>
      <c r="F485" s="1391" t="e">
        <f t="shared" si="1"/>
        <v>#N/A</v>
      </c>
      <c r="K485" s="1471">
        <v>42542</v>
      </c>
      <c r="L485" s="1472" t="s">
        <v>2127</v>
      </c>
      <c r="M485" s="1473">
        <v>5.2531000000000001E-2</v>
      </c>
      <c r="N485" s="1474">
        <v>1.1835701888452084</v>
      </c>
      <c r="O485" s="1474">
        <v>1.1835701888452084</v>
      </c>
    </row>
    <row r="486" spans="2:15">
      <c r="B486" s="1390">
        <v>47209</v>
      </c>
      <c r="C486" s="1391" t="e">
        <v>#N/A</v>
      </c>
      <c r="D486" s="1391" t="e">
        <v>#N/A</v>
      </c>
      <c r="E486" s="1391" t="e">
        <v>#N/A</v>
      </c>
      <c r="F486" s="1391" t="e">
        <f t="shared" si="1"/>
        <v>#N/A</v>
      </c>
      <c r="K486" s="1471">
        <v>42543</v>
      </c>
      <c r="L486" s="1472" t="s">
        <v>2127</v>
      </c>
      <c r="M486" s="1473">
        <v>5.2531000000000001E-2</v>
      </c>
      <c r="N486" s="1474">
        <v>1.1841919301011106</v>
      </c>
      <c r="O486" s="1474">
        <v>1.1841919301011106</v>
      </c>
    </row>
    <row r="487" spans="2:15">
      <c r="B487" s="1390">
        <v>47239</v>
      </c>
      <c r="C487" s="1391" t="e">
        <v>#N/A</v>
      </c>
      <c r="D487" s="1391" t="e">
        <v>#N/A</v>
      </c>
      <c r="E487" s="1391" t="e">
        <v>#N/A</v>
      </c>
      <c r="F487" s="1391" t="e">
        <f t="shared" si="1"/>
        <v>#N/A</v>
      </c>
      <c r="K487" s="1471">
        <v>42544</v>
      </c>
      <c r="L487" s="1472" t="s">
        <v>2127</v>
      </c>
      <c r="M487" s="1473">
        <v>5.2531000000000001E-2</v>
      </c>
      <c r="N487" s="1474">
        <v>1.1848139979639121</v>
      </c>
      <c r="O487" s="1474">
        <v>1.1848139979639121</v>
      </c>
    </row>
    <row r="488" spans="2:15">
      <c r="B488" s="1390">
        <v>47270</v>
      </c>
      <c r="C488" s="1391" t="e">
        <v>#N/A</v>
      </c>
      <c r="D488" s="1391" t="e">
        <v>#N/A</v>
      </c>
      <c r="E488" s="1391" t="e">
        <v>#N/A</v>
      </c>
      <c r="F488" s="1391" t="e">
        <f t="shared" si="1"/>
        <v>#N/A</v>
      </c>
      <c r="K488" s="1471">
        <v>42545</v>
      </c>
      <c r="L488" s="1472" t="s">
        <v>2127</v>
      </c>
      <c r="M488" s="1473">
        <v>5.2531000000000001E-2</v>
      </c>
      <c r="N488" s="1474">
        <v>1.1854363926051825</v>
      </c>
      <c r="O488" s="1474">
        <v>1.1854363926051825</v>
      </c>
    </row>
    <row r="489" spans="2:15">
      <c r="B489" s="1390">
        <v>47300</v>
      </c>
      <c r="C489" s="1391" t="e">
        <v>#N/A</v>
      </c>
      <c r="D489" s="1391" t="e">
        <v>#N/A</v>
      </c>
      <c r="E489" s="1391" t="e">
        <v>#N/A</v>
      </c>
      <c r="F489" s="1391" t="e">
        <f t="shared" si="1"/>
        <v>#N/A</v>
      </c>
      <c r="K489" s="1471">
        <v>42546</v>
      </c>
      <c r="L489" s="1472"/>
      <c r="M489" s="1473">
        <v>0</v>
      </c>
      <c r="N489" s="1474">
        <v>1.1854363926051825</v>
      </c>
      <c r="O489" s="1474">
        <v>1.1854363926051825</v>
      </c>
    </row>
    <row r="490" spans="2:15">
      <c r="B490" s="1390">
        <v>47331</v>
      </c>
      <c r="C490" s="1391" t="e">
        <v>#N/A</v>
      </c>
      <c r="D490" s="1391" t="e">
        <v>#N/A</v>
      </c>
      <c r="E490" s="1391" t="e">
        <v>#N/A</v>
      </c>
      <c r="F490" s="1391" t="e">
        <f t="shared" si="1"/>
        <v>#N/A</v>
      </c>
      <c r="K490" s="1471">
        <v>42547</v>
      </c>
      <c r="L490" s="1472"/>
      <c r="M490" s="1473">
        <v>0</v>
      </c>
      <c r="N490" s="1474">
        <v>1.1854363926051825</v>
      </c>
      <c r="O490" s="1474">
        <v>1.1854363926051825</v>
      </c>
    </row>
    <row r="491" spans="2:15">
      <c r="B491" s="1390">
        <v>47362</v>
      </c>
      <c r="C491" s="1391" t="e">
        <v>#N/A</v>
      </c>
      <c r="D491" s="1391" t="e">
        <v>#N/A</v>
      </c>
      <c r="E491" s="1391" t="e">
        <v>#N/A</v>
      </c>
      <c r="F491" s="1391" t="e">
        <f t="shared" si="1"/>
        <v>#N/A</v>
      </c>
      <c r="K491" s="1471">
        <v>42548</v>
      </c>
      <c r="L491" s="1472" t="s">
        <v>2127</v>
      </c>
      <c r="M491" s="1473">
        <v>5.2531000000000001E-2</v>
      </c>
      <c r="N491" s="1474">
        <v>1.1860591141965819</v>
      </c>
      <c r="O491" s="1474">
        <v>1.1860591141965819</v>
      </c>
    </row>
    <row r="492" spans="2:15">
      <c r="B492" s="1390">
        <v>47392</v>
      </c>
      <c r="C492" s="1391" t="e">
        <v>#N/A</v>
      </c>
      <c r="D492" s="1391" t="e">
        <v>#N/A</v>
      </c>
      <c r="E492" s="1391" t="e">
        <v>#N/A</v>
      </c>
      <c r="F492" s="1391" t="e">
        <f t="shared" si="1"/>
        <v>#N/A</v>
      </c>
      <c r="K492" s="1471">
        <v>42549</v>
      </c>
      <c r="L492" s="1472" t="s">
        <v>2127</v>
      </c>
      <c r="M492" s="1473">
        <v>5.2531000000000001E-2</v>
      </c>
      <c r="N492" s="1474">
        <v>1.1866821629098605</v>
      </c>
      <c r="O492" s="1474">
        <v>1.1866821629098605</v>
      </c>
    </row>
    <row r="493" spans="2:15">
      <c r="B493" s="1390">
        <v>47423</v>
      </c>
      <c r="C493" s="1391" t="e">
        <v>#N/A</v>
      </c>
      <c r="D493" s="1391" t="e">
        <v>#N/A</v>
      </c>
      <c r="E493" s="1391" t="e">
        <v>#N/A</v>
      </c>
      <c r="F493" s="1391" t="e">
        <f t="shared" si="1"/>
        <v>#N/A</v>
      </c>
      <c r="K493" s="1471">
        <v>42550</v>
      </c>
      <c r="L493" s="1472" t="s">
        <v>2127</v>
      </c>
      <c r="M493" s="1473">
        <v>5.2531000000000001E-2</v>
      </c>
      <c r="N493" s="1474">
        <v>1.1873055389168587</v>
      </c>
      <c r="O493" s="1474">
        <v>1.1873055389168587</v>
      </c>
    </row>
    <row r="494" spans="2:15">
      <c r="B494" s="1390">
        <v>47453</v>
      </c>
      <c r="C494" s="1391" t="e">
        <v>#N/A</v>
      </c>
      <c r="D494" s="1391" t="e">
        <v>#N/A</v>
      </c>
      <c r="E494" s="1391" t="e">
        <v>#N/A</v>
      </c>
      <c r="F494" s="1391" t="e">
        <f t="shared" si="1"/>
        <v>#N/A</v>
      </c>
      <c r="K494" s="1471">
        <v>42551</v>
      </c>
      <c r="L494" s="1472" t="s">
        <v>2127</v>
      </c>
      <c r="M494" s="1473">
        <v>5.2531000000000001E-2</v>
      </c>
      <c r="N494" s="1474">
        <v>1.1879292423895071</v>
      </c>
      <c r="O494" s="1474">
        <v>1.1879292423895071</v>
      </c>
    </row>
    <row r="495" spans="2:15">
      <c r="B495" s="1390">
        <v>47484</v>
      </c>
      <c r="C495" s="1391" t="e">
        <v>#N/A</v>
      </c>
      <c r="D495" s="1391" t="e">
        <v>#N/A</v>
      </c>
      <c r="E495" s="1391" t="e">
        <v>#N/A</v>
      </c>
      <c r="F495" s="1391" t="e">
        <f t="shared" si="1"/>
        <v>#N/A</v>
      </c>
      <c r="K495" s="1471">
        <v>42552</v>
      </c>
      <c r="L495" s="1472" t="s">
        <v>2127</v>
      </c>
      <c r="M495" s="1473">
        <v>5.2531000000000001E-2</v>
      </c>
      <c r="N495" s="1474">
        <v>1.1885532734998268</v>
      </c>
      <c r="O495" s="1474">
        <v>1.1885532734998268</v>
      </c>
    </row>
    <row r="496" spans="2:15">
      <c r="B496" s="1390">
        <v>47515</v>
      </c>
      <c r="C496" s="1391" t="e">
        <v>#N/A</v>
      </c>
      <c r="D496" s="1391" t="e">
        <v>#N/A</v>
      </c>
      <c r="E496" s="1391" t="e">
        <v>#N/A</v>
      </c>
      <c r="F496" s="1391" t="e">
        <f t="shared" si="1"/>
        <v>#N/A</v>
      </c>
      <c r="K496" s="1471">
        <v>42553</v>
      </c>
      <c r="L496" s="1472"/>
      <c r="M496" s="1473">
        <v>0</v>
      </c>
      <c r="N496" s="1474">
        <v>1.1885532734998268</v>
      </c>
      <c r="O496" s="1474">
        <v>1.1885532734998268</v>
      </c>
    </row>
    <row r="497" spans="2:15">
      <c r="B497" s="1390">
        <v>47543</v>
      </c>
      <c r="C497" s="1391" t="e">
        <v>#N/A</v>
      </c>
      <c r="D497" s="1391" t="e">
        <v>#N/A</v>
      </c>
      <c r="E497" s="1391" t="e">
        <v>#N/A</v>
      </c>
      <c r="F497" s="1391" t="e">
        <f t="shared" si="1"/>
        <v>#N/A</v>
      </c>
      <c r="K497" s="1471">
        <v>42554</v>
      </c>
      <c r="L497" s="1472"/>
      <c r="M497" s="1473">
        <v>0</v>
      </c>
      <c r="N497" s="1474">
        <v>1.1885532734998268</v>
      </c>
      <c r="O497" s="1474">
        <v>1.1885532734998268</v>
      </c>
    </row>
    <row r="498" spans="2:15">
      <c r="B498" s="1390">
        <v>47574</v>
      </c>
      <c r="C498" s="1391" t="e">
        <v>#N/A</v>
      </c>
      <c r="D498" s="1391" t="e">
        <v>#N/A</v>
      </c>
      <c r="E498" s="1391" t="e">
        <v>#N/A</v>
      </c>
      <c r="F498" s="1391" t="e">
        <f t="shared" si="1"/>
        <v>#N/A</v>
      </c>
      <c r="K498" s="1471">
        <v>42555</v>
      </c>
      <c r="L498" s="1472" t="s">
        <v>2127</v>
      </c>
      <c r="M498" s="1473">
        <v>5.2531000000000001E-2</v>
      </c>
      <c r="N498" s="1474">
        <v>1.189177632419929</v>
      </c>
      <c r="O498" s="1474">
        <v>1.189177632419929</v>
      </c>
    </row>
    <row r="499" spans="2:15">
      <c r="B499" s="1390">
        <v>47604</v>
      </c>
      <c r="C499" s="1391" t="e">
        <v>#N/A</v>
      </c>
      <c r="D499" s="1391" t="e">
        <v>#N/A</v>
      </c>
      <c r="E499" s="1391" t="e">
        <v>#N/A</v>
      </c>
      <c r="F499" s="1391" t="e">
        <f t="shared" si="1"/>
        <v>#N/A</v>
      </c>
      <c r="K499" s="1471">
        <v>42556</v>
      </c>
      <c r="L499" s="1472" t="s">
        <v>2127</v>
      </c>
      <c r="M499" s="1473">
        <v>5.2531000000000001E-2</v>
      </c>
      <c r="N499" s="1474">
        <v>1.1898023193220155</v>
      </c>
      <c r="O499" s="1474">
        <v>1.1898023193220155</v>
      </c>
    </row>
    <row r="500" spans="2:15">
      <c r="B500" s="1390">
        <v>47635</v>
      </c>
      <c r="C500" s="1391" t="e">
        <v>#N/A</v>
      </c>
      <c r="D500" s="1391" t="e">
        <v>#N/A</v>
      </c>
      <c r="E500" s="1391" t="e">
        <v>#N/A</v>
      </c>
      <c r="F500" s="1391" t="e">
        <f t="shared" si="1"/>
        <v>#N/A</v>
      </c>
      <c r="K500" s="1471">
        <v>42557</v>
      </c>
      <c r="L500" s="1472" t="s">
        <v>2127</v>
      </c>
      <c r="M500" s="1473">
        <v>5.2531000000000001E-2</v>
      </c>
      <c r="N500" s="1474">
        <v>1.1904273343783787</v>
      </c>
      <c r="O500" s="1474">
        <v>1.1904273343783787</v>
      </c>
    </row>
    <row r="501" spans="2:15">
      <c r="K501" s="1471">
        <v>42558</v>
      </c>
      <c r="L501" s="1472" t="s">
        <v>2127</v>
      </c>
      <c r="M501" s="1473">
        <v>5.2531000000000001E-2</v>
      </c>
      <c r="N501" s="1474">
        <v>1.191052677761401</v>
      </c>
      <c r="O501" s="1474">
        <v>1.191052677761401</v>
      </c>
    </row>
    <row r="502" spans="2:15">
      <c r="K502" s="1471">
        <v>42559</v>
      </c>
      <c r="L502" s="1472" t="s">
        <v>2127</v>
      </c>
      <c r="M502" s="1473">
        <v>5.2531000000000001E-2</v>
      </c>
      <c r="N502" s="1474">
        <v>1.1916783496435559</v>
      </c>
      <c r="O502" s="1474">
        <v>1.1916783496435559</v>
      </c>
    </row>
    <row r="503" spans="2:15">
      <c r="K503" s="1471">
        <v>42560</v>
      </c>
      <c r="L503" s="1472"/>
      <c r="M503" s="1473">
        <v>0</v>
      </c>
      <c r="N503" s="1474">
        <v>1.1916783496435559</v>
      </c>
      <c r="O503" s="1474">
        <v>1.1916783496435559</v>
      </c>
    </row>
    <row r="504" spans="2:15">
      <c r="K504" s="1471">
        <v>42561</v>
      </c>
      <c r="L504" s="1472"/>
      <c r="M504" s="1473">
        <v>0</v>
      </c>
      <c r="N504" s="1474">
        <v>1.1916783496435559</v>
      </c>
      <c r="O504" s="1474">
        <v>1.1916783496435559</v>
      </c>
    </row>
    <row r="505" spans="2:15">
      <c r="K505" s="1471">
        <v>42562</v>
      </c>
      <c r="L505" s="1472" t="s">
        <v>2127</v>
      </c>
      <c r="M505" s="1473">
        <v>5.2531000000000001E-2</v>
      </c>
      <c r="N505" s="1474">
        <v>1.1923043501974071</v>
      </c>
      <c r="O505" s="1474">
        <v>1.1923043501974071</v>
      </c>
    </row>
    <row r="506" spans="2:15">
      <c r="K506" s="1471">
        <v>42563</v>
      </c>
      <c r="L506" s="1472" t="s">
        <v>2127</v>
      </c>
      <c r="M506" s="1473">
        <v>5.2531000000000001E-2</v>
      </c>
      <c r="N506" s="1474">
        <v>1.1929306795956094</v>
      </c>
      <c r="O506" s="1474">
        <v>1.1929306795956094</v>
      </c>
    </row>
    <row r="507" spans="2:15">
      <c r="K507" s="1471">
        <v>42564</v>
      </c>
      <c r="L507" s="1472" t="s">
        <v>2127</v>
      </c>
      <c r="M507" s="1473">
        <v>5.2531000000000001E-2</v>
      </c>
      <c r="N507" s="1474">
        <v>1.1935573380109077</v>
      </c>
      <c r="O507" s="1474">
        <v>1.1935573380109077</v>
      </c>
    </row>
    <row r="508" spans="2:15">
      <c r="K508" s="1471">
        <v>42565</v>
      </c>
      <c r="L508" s="1472" t="s">
        <v>2127</v>
      </c>
      <c r="M508" s="1473">
        <v>5.2531000000000001E-2</v>
      </c>
      <c r="N508" s="1474">
        <v>1.1941843256161382</v>
      </c>
      <c r="O508" s="1474">
        <v>1.1941843256161382</v>
      </c>
    </row>
    <row r="509" spans="2:15">
      <c r="K509" s="1471">
        <v>42566</v>
      </c>
      <c r="L509" s="1472" t="s">
        <v>2127</v>
      </c>
      <c r="M509" s="1473">
        <v>5.2531000000000001E-2</v>
      </c>
      <c r="N509" s="1474">
        <v>1.1948116425842277</v>
      </c>
      <c r="O509" s="1474">
        <v>1.1948116425842277</v>
      </c>
    </row>
    <row r="510" spans="2:15">
      <c r="K510" s="1471">
        <v>42567</v>
      </c>
      <c r="L510" s="1472"/>
      <c r="M510" s="1473">
        <v>0</v>
      </c>
      <c r="N510" s="1474">
        <v>1.1948116425842277</v>
      </c>
      <c r="O510" s="1474">
        <v>1.1948116425842277</v>
      </c>
    </row>
    <row r="511" spans="2:15">
      <c r="K511" s="1471">
        <v>42568</v>
      </c>
      <c r="L511" s="1472"/>
      <c r="M511" s="1473">
        <v>0</v>
      </c>
      <c r="N511" s="1474">
        <v>1.1948116425842277</v>
      </c>
      <c r="O511" s="1474">
        <v>1.1948116425842277</v>
      </c>
    </row>
    <row r="512" spans="2:15">
      <c r="K512" s="1471">
        <v>42569</v>
      </c>
      <c r="L512" s="1472" t="s">
        <v>2127</v>
      </c>
      <c r="M512" s="1473">
        <v>5.2531000000000001E-2</v>
      </c>
      <c r="N512" s="1474">
        <v>1.1954392890881935</v>
      </c>
      <c r="O512" s="1474">
        <v>1.1954392890881935</v>
      </c>
    </row>
    <row r="513" spans="11:15">
      <c r="K513" s="1471">
        <v>42570</v>
      </c>
      <c r="L513" s="1472" t="s">
        <v>2127</v>
      </c>
      <c r="M513" s="1473">
        <v>5.2531000000000001E-2</v>
      </c>
      <c r="N513" s="1474">
        <v>1.1960672653011444</v>
      </c>
      <c r="O513" s="1474">
        <v>1.1960672653011444</v>
      </c>
    </row>
    <row r="514" spans="11:15">
      <c r="K514" s="1471">
        <v>42571</v>
      </c>
      <c r="L514" s="1472" t="s">
        <v>2127</v>
      </c>
      <c r="M514" s="1473">
        <v>5.2531000000000001E-2</v>
      </c>
      <c r="N514" s="1474">
        <v>1.1966955713962797</v>
      </c>
      <c r="O514" s="1474">
        <v>1.1966955713962797</v>
      </c>
    </row>
    <row r="515" spans="11:15">
      <c r="K515" s="1471">
        <v>42572</v>
      </c>
      <c r="L515" s="1472" t="s">
        <v>2127</v>
      </c>
      <c r="M515" s="1473">
        <v>5.2531000000000001E-2</v>
      </c>
      <c r="N515" s="1474">
        <v>1.19732420754689</v>
      </c>
      <c r="O515" s="1474">
        <v>1.19732420754689</v>
      </c>
    </row>
    <row r="516" spans="11:15">
      <c r="K516" s="1471">
        <v>42573</v>
      </c>
      <c r="L516" s="1472" t="s">
        <v>2127</v>
      </c>
      <c r="M516" s="1473">
        <v>5.2531000000000001E-2</v>
      </c>
      <c r="N516" s="1474">
        <v>1.1979531739263565</v>
      </c>
      <c r="O516" s="1474">
        <v>1.1979531739263565</v>
      </c>
    </row>
    <row r="517" spans="11:15">
      <c r="K517" s="1471">
        <v>42574</v>
      </c>
      <c r="L517" s="1472"/>
      <c r="M517" s="1473">
        <v>0</v>
      </c>
      <c r="N517" s="1474">
        <v>1.1979531739263565</v>
      </c>
      <c r="O517" s="1474">
        <v>1.1979531739263565</v>
      </c>
    </row>
    <row r="518" spans="11:15">
      <c r="K518" s="1471">
        <v>42575</v>
      </c>
      <c r="L518" s="1472"/>
      <c r="M518" s="1473">
        <v>0</v>
      </c>
      <c r="N518" s="1474">
        <v>1.1979531739263565</v>
      </c>
      <c r="O518" s="1474">
        <v>1.1979531739263565</v>
      </c>
    </row>
    <row r="519" spans="11:15">
      <c r="K519" s="1471">
        <v>42576</v>
      </c>
      <c r="L519" s="1472" t="s">
        <v>2127</v>
      </c>
      <c r="M519" s="1473">
        <v>5.2531000000000001E-2</v>
      </c>
      <c r="N519" s="1474">
        <v>1.1985824707081518</v>
      </c>
      <c r="O519" s="1474">
        <v>1.1985824707081518</v>
      </c>
    </row>
    <row r="520" spans="11:15">
      <c r="K520" s="1471">
        <v>42577</v>
      </c>
      <c r="L520" s="1472" t="s">
        <v>2127</v>
      </c>
      <c r="M520" s="1473">
        <v>5.2531000000000001E-2</v>
      </c>
      <c r="N520" s="1474">
        <v>1.1992120980658396</v>
      </c>
      <c r="O520" s="1474">
        <v>1.1992120980658396</v>
      </c>
    </row>
    <row r="521" spans="11:15">
      <c r="K521" s="1471">
        <v>42578</v>
      </c>
      <c r="L521" s="1472" t="s">
        <v>2127</v>
      </c>
      <c r="M521" s="1473">
        <v>5.2531000000000001E-2</v>
      </c>
      <c r="N521" s="1474">
        <v>1.1998420561730745</v>
      </c>
      <c r="O521" s="1474">
        <v>1.1998420561730745</v>
      </c>
    </row>
    <row r="522" spans="11:15">
      <c r="K522" s="1471">
        <v>42579</v>
      </c>
      <c r="L522" s="1472" t="s">
        <v>2127</v>
      </c>
      <c r="M522" s="1473">
        <v>5.2531000000000001E-2</v>
      </c>
      <c r="N522" s="1474">
        <v>1.2004723452036028</v>
      </c>
      <c r="O522" s="1474">
        <v>1.2004723452036028</v>
      </c>
    </row>
    <row r="523" spans="11:15">
      <c r="K523" s="1471">
        <v>42580</v>
      </c>
      <c r="L523" s="1472" t="s">
        <v>2127</v>
      </c>
      <c r="M523" s="1473">
        <v>5.2531000000000001E-2</v>
      </c>
      <c r="N523" s="1474">
        <v>1.2011029653312617</v>
      </c>
      <c r="O523" s="1474">
        <v>1.2011029653312617</v>
      </c>
    </row>
    <row r="524" spans="11:15">
      <c r="K524" s="1471">
        <v>42581</v>
      </c>
      <c r="L524" s="1472"/>
      <c r="M524" s="1473">
        <v>0</v>
      </c>
      <c r="N524" s="1474">
        <v>1.2011029653312617</v>
      </c>
      <c r="O524" s="1474">
        <v>1.2011029653312617</v>
      </c>
    </row>
    <row r="525" spans="11:15">
      <c r="K525" s="1471">
        <v>42582</v>
      </c>
      <c r="L525" s="1472"/>
      <c r="M525" s="1473">
        <v>0</v>
      </c>
      <c r="N525" s="1474">
        <v>1.2011029653312617</v>
      </c>
      <c r="O525" s="1474">
        <v>1.2011029653312617</v>
      </c>
    </row>
    <row r="526" spans="11:15">
      <c r="K526" s="1471">
        <v>42583</v>
      </c>
      <c r="L526" s="1472" t="s">
        <v>2127</v>
      </c>
      <c r="M526" s="1473">
        <v>5.2531000000000001E-2</v>
      </c>
      <c r="N526" s="1474">
        <v>1.2017339167299799</v>
      </c>
      <c r="O526" s="1474">
        <v>1.2017339167299799</v>
      </c>
    </row>
    <row r="527" spans="11:15">
      <c r="K527" s="1471">
        <v>42584</v>
      </c>
      <c r="L527" s="1472" t="s">
        <v>2127</v>
      </c>
      <c r="M527" s="1473">
        <v>5.2531000000000001E-2</v>
      </c>
      <c r="N527" s="1474">
        <v>1.2023651995737772</v>
      </c>
      <c r="O527" s="1474">
        <v>1.2023651995737772</v>
      </c>
    </row>
    <row r="528" spans="11:15">
      <c r="K528" s="1471">
        <v>42585</v>
      </c>
      <c r="L528" s="1472" t="s">
        <v>2127</v>
      </c>
      <c r="M528" s="1473">
        <v>5.2531000000000001E-2</v>
      </c>
      <c r="N528" s="1474">
        <v>1.2029968140367653</v>
      </c>
      <c r="O528" s="1474">
        <v>1.2029968140367653</v>
      </c>
    </row>
    <row r="529" spans="11:15">
      <c r="K529" s="1471">
        <v>42586</v>
      </c>
      <c r="L529" s="1472" t="s">
        <v>2127</v>
      </c>
      <c r="M529" s="1473">
        <v>5.2531000000000001E-2</v>
      </c>
      <c r="N529" s="1474">
        <v>1.203628760293147</v>
      </c>
      <c r="O529" s="1474">
        <v>1.203628760293147</v>
      </c>
    </row>
    <row r="530" spans="11:15">
      <c r="K530" s="1471">
        <v>42587</v>
      </c>
      <c r="L530" s="1472" t="s">
        <v>2127</v>
      </c>
      <c r="M530" s="1473">
        <v>5.2531000000000001E-2</v>
      </c>
      <c r="N530" s="1474">
        <v>1.2042610385172166</v>
      </c>
      <c r="O530" s="1474">
        <v>1.2042610385172166</v>
      </c>
    </row>
    <row r="531" spans="11:15">
      <c r="K531" s="1471">
        <v>42588</v>
      </c>
      <c r="L531" s="1472"/>
      <c r="M531" s="1473">
        <v>0</v>
      </c>
      <c r="N531" s="1474">
        <v>1.2042610385172166</v>
      </c>
      <c r="O531" s="1474">
        <v>1.2042610385172166</v>
      </c>
    </row>
    <row r="532" spans="11:15">
      <c r="K532" s="1471">
        <v>42589</v>
      </c>
      <c r="L532" s="1472"/>
      <c r="M532" s="1473">
        <v>0</v>
      </c>
      <c r="N532" s="1474">
        <v>1.2042610385172166</v>
      </c>
      <c r="O532" s="1474">
        <v>1.2042610385172166</v>
      </c>
    </row>
    <row r="533" spans="11:15">
      <c r="K533" s="1471">
        <v>42590</v>
      </c>
      <c r="L533" s="1472" t="s">
        <v>2127</v>
      </c>
      <c r="M533" s="1473">
        <v>5.2531000000000001E-2</v>
      </c>
      <c r="N533" s="1474">
        <v>1.2048936488833599</v>
      </c>
      <c r="O533" s="1474">
        <v>1.2048936488833599</v>
      </c>
    </row>
    <row r="534" spans="11:15">
      <c r="K534" s="1471">
        <v>42591</v>
      </c>
      <c r="L534" s="1472" t="s">
        <v>2127</v>
      </c>
      <c r="M534" s="1473">
        <v>5.2531000000000001E-2</v>
      </c>
      <c r="N534" s="1474">
        <v>1.2055265915660549</v>
      </c>
      <c r="O534" s="1474">
        <v>1.2055265915660549</v>
      </c>
    </row>
    <row r="535" spans="11:15">
      <c r="K535" s="1471">
        <v>42592</v>
      </c>
      <c r="L535" s="1472" t="s">
        <v>2127</v>
      </c>
      <c r="M535" s="1473">
        <v>5.2531000000000001E-2</v>
      </c>
      <c r="N535" s="1474">
        <v>1.2061598667398705</v>
      </c>
      <c r="O535" s="1474">
        <v>1.2061598667398705</v>
      </c>
    </row>
    <row r="536" spans="11:15">
      <c r="K536" s="1471">
        <v>42593</v>
      </c>
      <c r="L536" s="1472" t="s">
        <v>2127</v>
      </c>
      <c r="M536" s="1473">
        <v>5.2531000000000001E-2</v>
      </c>
      <c r="N536" s="1474">
        <v>1.2067934745794677</v>
      </c>
      <c r="O536" s="1474">
        <v>1.2067934745794677</v>
      </c>
    </row>
    <row r="537" spans="11:15">
      <c r="K537" s="1471">
        <v>42594</v>
      </c>
      <c r="L537" s="1472" t="s">
        <v>2127</v>
      </c>
      <c r="M537" s="1473">
        <v>5.2531000000000001E-2</v>
      </c>
      <c r="N537" s="1474">
        <v>1.2074274152595992</v>
      </c>
      <c r="O537" s="1474">
        <v>1.2074274152595992</v>
      </c>
    </row>
    <row r="538" spans="11:15">
      <c r="K538" s="1471">
        <v>42595</v>
      </c>
      <c r="L538" s="1472"/>
      <c r="M538" s="1473">
        <v>0</v>
      </c>
      <c r="N538" s="1474">
        <v>1.2074274152595992</v>
      </c>
      <c r="O538" s="1474">
        <v>1.2074274152595992</v>
      </c>
    </row>
    <row r="539" spans="11:15">
      <c r="K539" s="1471">
        <v>42596</v>
      </c>
      <c r="L539" s="1472"/>
      <c r="M539" s="1473">
        <v>0</v>
      </c>
      <c r="N539" s="1474">
        <v>1.2074274152595992</v>
      </c>
      <c r="O539" s="1474">
        <v>1.2074274152595992</v>
      </c>
    </row>
    <row r="540" spans="11:15">
      <c r="K540" s="1471">
        <v>42597</v>
      </c>
      <c r="L540" s="1472" t="s">
        <v>2127</v>
      </c>
      <c r="M540" s="1473">
        <v>5.2531000000000001E-2</v>
      </c>
      <c r="N540" s="1474">
        <v>1.2080616889551092</v>
      </c>
      <c r="O540" s="1474">
        <v>1.2080616889551092</v>
      </c>
    </row>
    <row r="541" spans="11:15">
      <c r="K541" s="1471">
        <v>42598</v>
      </c>
      <c r="L541" s="1472" t="s">
        <v>2127</v>
      </c>
      <c r="M541" s="1473">
        <v>5.2531000000000001E-2</v>
      </c>
      <c r="N541" s="1474">
        <v>1.2086962958409342</v>
      </c>
      <c r="O541" s="1474">
        <v>1.2086962958409342</v>
      </c>
    </row>
    <row r="542" spans="11:15">
      <c r="K542" s="1471">
        <v>42599</v>
      </c>
      <c r="L542" s="1472" t="s">
        <v>2127</v>
      </c>
      <c r="M542" s="1473">
        <v>5.2531000000000001E-2</v>
      </c>
      <c r="N542" s="1474">
        <v>1.2093312360921025</v>
      </c>
      <c r="O542" s="1474">
        <v>1.2093312360921025</v>
      </c>
    </row>
    <row r="543" spans="11:15">
      <c r="K543" s="1471">
        <v>42600</v>
      </c>
      <c r="L543" s="1472" t="s">
        <v>2127</v>
      </c>
      <c r="M543" s="1473">
        <v>5.2531000000000001E-2</v>
      </c>
      <c r="N543" s="1474">
        <v>1.209966509883734</v>
      </c>
      <c r="O543" s="1474">
        <v>1.209966509883734</v>
      </c>
    </row>
    <row r="544" spans="11:15">
      <c r="K544" s="1471">
        <v>42601</v>
      </c>
      <c r="L544" s="1472" t="s">
        <v>2127</v>
      </c>
      <c r="M544" s="1473">
        <v>5.2531000000000001E-2</v>
      </c>
      <c r="N544" s="1474">
        <v>1.2106021173910411</v>
      </c>
      <c r="O544" s="1474">
        <v>1.2106021173910411</v>
      </c>
    </row>
    <row r="545" spans="11:15">
      <c r="K545" s="1471">
        <v>42602</v>
      </c>
      <c r="L545" s="1472"/>
      <c r="M545" s="1473">
        <v>0</v>
      </c>
      <c r="N545" s="1474">
        <v>1.2106021173910411</v>
      </c>
      <c r="O545" s="1474">
        <v>1.2106021173910411</v>
      </c>
    </row>
    <row r="546" spans="11:15">
      <c r="K546" s="1471">
        <v>42603</v>
      </c>
      <c r="L546" s="1472"/>
      <c r="M546" s="1473">
        <v>0</v>
      </c>
      <c r="N546" s="1474">
        <v>1.2106021173910411</v>
      </c>
      <c r="O546" s="1474">
        <v>1.2106021173910411</v>
      </c>
    </row>
    <row r="547" spans="11:15">
      <c r="K547" s="1471">
        <v>42604</v>
      </c>
      <c r="L547" s="1472" t="s">
        <v>2127</v>
      </c>
      <c r="M547" s="1473">
        <v>5.2531000000000001E-2</v>
      </c>
      <c r="N547" s="1474">
        <v>1.2112380587893277</v>
      </c>
      <c r="O547" s="1474">
        <v>1.2112380587893277</v>
      </c>
    </row>
    <row r="548" spans="11:15">
      <c r="K548" s="1471">
        <v>42605</v>
      </c>
      <c r="L548" s="1472" t="s">
        <v>2127</v>
      </c>
      <c r="M548" s="1473">
        <v>5.2531000000000001E-2</v>
      </c>
      <c r="N548" s="1474">
        <v>1.2118743342539904</v>
      </c>
      <c r="O548" s="1474">
        <v>1.2118743342539904</v>
      </c>
    </row>
    <row r="549" spans="11:15">
      <c r="K549" s="1471">
        <v>42606</v>
      </c>
      <c r="L549" s="1472" t="s">
        <v>2127</v>
      </c>
      <c r="M549" s="1473">
        <v>5.2531000000000001E-2</v>
      </c>
      <c r="N549" s="1474">
        <v>1.2125109439605173</v>
      </c>
      <c r="O549" s="1474">
        <v>1.2125109439605173</v>
      </c>
    </row>
    <row r="550" spans="11:15">
      <c r="K550" s="1471">
        <v>42607</v>
      </c>
      <c r="L550" s="1472" t="s">
        <v>2127</v>
      </c>
      <c r="M550" s="1473">
        <v>5.2531000000000001E-2</v>
      </c>
      <c r="N550" s="1474">
        <v>1.2131478880844893</v>
      </c>
      <c r="O550" s="1474">
        <v>1.2131478880844893</v>
      </c>
    </row>
    <row r="551" spans="11:15">
      <c r="K551" s="1471">
        <v>42608</v>
      </c>
      <c r="L551" s="1472" t="s">
        <v>2127</v>
      </c>
      <c r="M551" s="1473">
        <v>5.2531000000000001E-2</v>
      </c>
      <c r="N551" s="1474">
        <v>1.2137851668015789</v>
      </c>
      <c r="O551" s="1474">
        <v>1.2137851668015789</v>
      </c>
    </row>
    <row r="552" spans="11:15">
      <c r="K552" s="1471">
        <v>42609</v>
      </c>
      <c r="L552" s="1472"/>
      <c r="M552" s="1473">
        <v>0</v>
      </c>
      <c r="N552" s="1474">
        <v>1.2137851668015789</v>
      </c>
      <c r="O552" s="1474">
        <v>1.2137851668015789</v>
      </c>
    </row>
    <row r="553" spans="11:15">
      <c r="K553" s="1471">
        <v>42610</v>
      </c>
      <c r="L553" s="1472"/>
      <c r="M553" s="1473">
        <v>0</v>
      </c>
      <c r="N553" s="1474">
        <v>1.2137851668015789</v>
      </c>
      <c r="O553" s="1474">
        <v>1.2137851668015789</v>
      </c>
    </row>
    <row r="554" spans="11:15">
      <c r="K554" s="1471">
        <v>42611</v>
      </c>
      <c r="L554" s="1472" t="s">
        <v>2127</v>
      </c>
      <c r="M554" s="1473">
        <v>5.2531000000000001E-2</v>
      </c>
      <c r="N554" s="1474">
        <v>1.2144227802875514</v>
      </c>
      <c r="O554" s="1474">
        <v>1.2144227802875514</v>
      </c>
    </row>
    <row r="555" spans="11:15">
      <c r="K555" s="1471">
        <v>42612</v>
      </c>
      <c r="L555" s="1472" t="s">
        <v>2127</v>
      </c>
      <c r="M555" s="1473">
        <v>5.2531000000000001E-2</v>
      </c>
      <c r="N555" s="1474">
        <v>1.2150607287182642</v>
      </c>
      <c r="O555" s="1474">
        <v>1.2150607287182642</v>
      </c>
    </row>
    <row r="556" spans="11:15">
      <c r="K556" s="1471">
        <v>42613</v>
      </c>
      <c r="L556" s="1472" t="s">
        <v>2127</v>
      </c>
      <c r="M556" s="1473">
        <v>5.2531000000000001E-2</v>
      </c>
      <c r="N556" s="1474">
        <v>1.2156990122696671</v>
      </c>
      <c r="O556" s="1474">
        <v>1.2156990122696671</v>
      </c>
    </row>
    <row r="557" spans="11:15">
      <c r="K557" s="1471">
        <v>42614</v>
      </c>
      <c r="L557" s="1472" t="s">
        <v>2127</v>
      </c>
      <c r="M557" s="1473">
        <v>5.2531000000000001E-2</v>
      </c>
      <c r="N557" s="1474">
        <v>1.2163376311178025</v>
      </c>
      <c r="O557" s="1474">
        <v>1.2163376311178025</v>
      </c>
    </row>
    <row r="558" spans="11:15">
      <c r="K558" s="1471">
        <v>42615</v>
      </c>
      <c r="L558" s="1472" t="s">
        <v>2127</v>
      </c>
      <c r="M558" s="1473">
        <v>5.2531000000000001E-2</v>
      </c>
      <c r="N558" s="1474">
        <v>1.216976585438805</v>
      </c>
      <c r="O558" s="1474">
        <v>1.216976585438805</v>
      </c>
    </row>
    <row r="559" spans="11:15">
      <c r="K559" s="1471">
        <v>42616</v>
      </c>
      <c r="L559" s="1472"/>
      <c r="M559" s="1473">
        <v>0</v>
      </c>
      <c r="N559" s="1474">
        <v>1.216976585438805</v>
      </c>
      <c r="O559" s="1474">
        <v>1.216976585438805</v>
      </c>
    </row>
    <row r="560" spans="11:15">
      <c r="K560" s="1471">
        <v>42617</v>
      </c>
      <c r="L560" s="1472"/>
      <c r="M560" s="1473">
        <v>0</v>
      </c>
      <c r="N560" s="1474">
        <v>1.216976585438805</v>
      </c>
      <c r="O560" s="1474">
        <v>1.216976585438805</v>
      </c>
    </row>
    <row r="561" spans="11:15">
      <c r="K561" s="1471">
        <v>42618</v>
      </c>
      <c r="L561" s="1472" t="s">
        <v>2127</v>
      </c>
      <c r="M561" s="1473">
        <v>5.2531000000000001E-2</v>
      </c>
      <c r="N561" s="1474">
        <v>1.2176158754089019</v>
      </c>
      <c r="O561" s="1474">
        <v>1.2176158754089019</v>
      </c>
    </row>
    <row r="562" spans="11:15">
      <c r="K562" s="1471">
        <v>42619</v>
      </c>
      <c r="L562" s="1472" t="s">
        <v>2127</v>
      </c>
      <c r="M562" s="1473">
        <v>5.2531000000000001E-2</v>
      </c>
      <c r="N562" s="1474">
        <v>1.2182555012044129</v>
      </c>
      <c r="O562" s="1474">
        <v>1.2182555012044129</v>
      </c>
    </row>
    <row r="563" spans="11:15">
      <c r="K563" s="1471">
        <v>42620</v>
      </c>
      <c r="L563" s="1472"/>
      <c r="M563" s="1473">
        <v>0</v>
      </c>
      <c r="N563" s="1474">
        <v>1.2182555012044129</v>
      </c>
      <c r="O563" s="1474">
        <v>1.2182555012044129</v>
      </c>
    </row>
    <row r="564" spans="11:15">
      <c r="K564" s="1471">
        <v>42621</v>
      </c>
      <c r="L564" s="1472" t="s">
        <v>2127</v>
      </c>
      <c r="M564" s="1473">
        <v>5.2531000000000001E-2</v>
      </c>
      <c r="N564" s="1474">
        <v>1.2188954630017506</v>
      </c>
      <c r="O564" s="1474">
        <v>1.2188954630017506</v>
      </c>
    </row>
    <row r="565" spans="11:15">
      <c r="K565" s="1471">
        <v>42622</v>
      </c>
      <c r="L565" s="1472" t="s">
        <v>2127</v>
      </c>
      <c r="M565" s="1473">
        <v>5.2531000000000001E-2</v>
      </c>
      <c r="N565" s="1474">
        <v>1.21953576097742</v>
      </c>
      <c r="O565" s="1474">
        <v>1.21953576097742</v>
      </c>
    </row>
    <row r="566" spans="11:15">
      <c r="K566" s="1471">
        <v>42623</v>
      </c>
      <c r="L566" s="1472"/>
      <c r="M566" s="1473">
        <v>0</v>
      </c>
      <c r="N566" s="1474">
        <v>1.21953576097742</v>
      </c>
      <c r="O566" s="1474">
        <v>1.21953576097742</v>
      </c>
    </row>
    <row r="567" spans="11:15">
      <c r="K567" s="1471">
        <v>42624</v>
      </c>
      <c r="L567" s="1472"/>
      <c r="M567" s="1473">
        <v>0</v>
      </c>
      <c r="N567" s="1474">
        <v>1.21953576097742</v>
      </c>
      <c r="O567" s="1474">
        <v>1.21953576097742</v>
      </c>
    </row>
    <row r="568" spans="11:15">
      <c r="K568" s="1471">
        <v>42625</v>
      </c>
      <c r="L568" s="1472" t="s">
        <v>2127</v>
      </c>
      <c r="M568" s="1473">
        <v>5.2531000000000001E-2</v>
      </c>
      <c r="N568" s="1474">
        <v>1.2201763953080191</v>
      </c>
      <c r="O568" s="1474">
        <v>1.2201763953080191</v>
      </c>
    </row>
    <row r="569" spans="11:15">
      <c r="K569" s="1471">
        <v>42626</v>
      </c>
      <c r="L569" s="1472" t="s">
        <v>2127</v>
      </c>
      <c r="M569" s="1473">
        <v>5.2531000000000001E-2</v>
      </c>
      <c r="N569" s="1474">
        <v>1.2208173661702384</v>
      </c>
      <c r="O569" s="1474">
        <v>1.2208173661702384</v>
      </c>
    </row>
    <row r="570" spans="11:15">
      <c r="K570" s="1471">
        <v>42627</v>
      </c>
      <c r="L570" s="1472" t="s">
        <v>2127</v>
      </c>
      <c r="M570" s="1473">
        <v>5.2531000000000001E-2</v>
      </c>
      <c r="N570" s="1474">
        <v>1.2214586737408613</v>
      </c>
      <c r="O570" s="1474">
        <v>1.2214586737408613</v>
      </c>
    </row>
    <row r="571" spans="11:15">
      <c r="K571" s="1471">
        <v>42628</v>
      </c>
      <c r="L571" s="1472" t="s">
        <v>2127</v>
      </c>
      <c r="M571" s="1473">
        <v>5.2531000000000001E-2</v>
      </c>
      <c r="N571" s="1474">
        <v>1.222100318196764</v>
      </c>
      <c r="O571" s="1474">
        <v>1.222100318196764</v>
      </c>
    </row>
    <row r="572" spans="11:15">
      <c r="K572" s="1471">
        <v>42629</v>
      </c>
      <c r="L572" s="1472" t="s">
        <v>2127</v>
      </c>
      <c r="M572" s="1473">
        <v>5.2531000000000001E-2</v>
      </c>
      <c r="N572" s="1474">
        <v>1.222742299714916</v>
      </c>
      <c r="O572" s="1474">
        <v>1.222742299714916</v>
      </c>
    </row>
    <row r="573" spans="11:15">
      <c r="K573" s="1471">
        <v>42630</v>
      </c>
      <c r="L573" s="1472"/>
      <c r="M573" s="1473">
        <v>0</v>
      </c>
      <c r="N573" s="1474">
        <v>1.222742299714916</v>
      </c>
      <c r="O573" s="1474">
        <v>1.222742299714916</v>
      </c>
    </row>
    <row r="574" spans="11:15">
      <c r="K574" s="1471">
        <v>42631</v>
      </c>
      <c r="L574" s="1472"/>
      <c r="M574" s="1473">
        <v>0</v>
      </c>
      <c r="N574" s="1474">
        <v>1.222742299714916</v>
      </c>
      <c r="O574" s="1474">
        <v>1.222742299714916</v>
      </c>
    </row>
    <row r="575" spans="11:15">
      <c r="K575" s="1471">
        <v>42632</v>
      </c>
      <c r="L575" s="1472" t="s">
        <v>2127</v>
      </c>
      <c r="M575" s="1473">
        <v>5.2531000000000001E-2</v>
      </c>
      <c r="N575" s="1474">
        <v>1.2233846184723793</v>
      </c>
      <c r="O575" s="1474">
        <v>1.2233846184723793</v>
      </c>
    </row>
    <row r="576" spans="11:15">
      <c r="K576" s="1471">
        <v>42633</v>
      </c>
      <c r="L576" s="1472" t="s">
        <v>2127</v>
      </c>
      <c r="M576" s="1473">
        <v>5.2531000000000001E-2</v>
      </c>
      <c r="N576" s="1474">
        <v>1.224027274646309</v>
      </c>
      <c r="O576" s="1474">
        <v>1.224027274646309</v>
      </c>
    </row>
    <row r="577" spans="11:15">
      <c r="K577" s="1471">
        <v>42634</v>
      </c>
      <c r="L577" s="1472" t="s">
        <v>2127</v>
      </c>
      <c r="M577" s="1473">
        <v>5.2531000000000001E-2</v>
      </c>
      <c r="N577" s="1474">
        <v>1.2246702684139534</v>
      </c>
      <c r="O577" s="1474">
        <v>1.2246702684139534</v>
      </c>
    </row>
    <row r="578" spans="11:15">
      <c r="K578" s="1471">
        <v>42635</v>
      </c>
      <c r="L578" s="1472" t="s">
        <v>2127</v>
      </c>
      <c r="M578" s="1473">
        <v>5.2531000000000001E-2</v>
      </c>
      <c r="N578" s="1474">
        <v>1.2253135999526539</v>
      </c>
      <c r="O578" s="1474">
        <v>1.2253135999526539</v>
      </c>
    </row>
    <row r="579" spans="11:15">
      <c r="K579" s="1471">
        <v>42636</v>
      </c>
      <c r="L579" s="1472" t="s">
        <v>2127</v>
      </c>
      <c r="M579" s="1473">
        <v>5.2531000000000001E-2</v>
      </c>
      <c r="N579" s="1474">
        <v>1.2259572694398451</v>
      </c>
      <c r="O579" s="1474">
        <v>1.2259572694398451</v>
      </c>
    </row>
    <row r="580" spans="11:15">
      <c r="K580" s="1471">
        <v>42637</v>
      </c>
      <c r="L580" s="1472"/>
      <c r="M580" s="1473">
        <v>0</v>
      </c>
      <c r="N580" s="1474">
        <v>1.2259572694398451</v>
      </c>
      <c r="O580" s="1474">
        <v>1.2259572694398451</v>
      </c>
    </row>
    <row r="581" spans="11:15">
      <c r="K581" s="1471">
        <v>42638</v>
      </c>
      <c r="L581" s="1472"/>
      <c r="M581" s="1473">
        <v>0</v>
      </c>
      <c r="N581" s="1474">
        <v>1.2259572694398451</v>
      </c>
      <c r="O581" s="1474">
        <v>1.2259572694398451</v>
      </c>
    </row>
    <row r="582" spans="11:15">
      <c r="K582" s="1471">
        <v>42639</v>
      </c>
      <c r="L582" s="1472" t="s">
        <v>2127</v>
      </c>
      <c r="M582" s="1473">
        <v>5.2531000000000001E-2</v>
      </c>
      <c r="N582" s="1474">
        <v>1.2266012770530546</v>
      </c>
      <c r="O582" s="1474">
        <v>1.2266012770530546</v>
      </c>
    </row>
    <row r="583" spans="11:15">
      <c r="K583" s="1471">
        <v>42640</v>
      </c>
      <c r="L583" s="1472" t="s">
        <v>2127</v>
      </c>
      <c r="M583" s="1473">
        <v>5.2531000000000001E-2</v>
      </c>
      <c r="N583" s="1474">
        <v>1.2272456229699034</v>
      </c>
      <c r="O583" s="1474">
        <v>1.2272456229699034</v>
      </c>
    </row>
    <row r="584" spans="11:15">
      <c r="K584" s="1471">
        <v>42641</v>
      </c>
      <c r="L584" s="1472" t="s">
        <v>2127</v>
      </c>
      <c r="M584" s="1473">
        <v>5.2531000000000001E-2</v>
      </c>
      <c r="N584" s="1474">
        <v>1.2278903073681058</v>
      </c>
      <c r="O584" s="1474">
        <v>1.2278903073681058</v>
      </c>
    </row>
    <row r="585" spans="11:15">
      <c r="K585" s="1471">
        <v>42642</v>
      </c>
      <c r="L585" s="1472" t="s">
        <v>2127</v>
      </c>
      <c r="M585" s="1473">
        <v>5.2531000000000001E-2</v>
      </c>
      <c r="N585" s="1474">
        <v>1.2285353304254694</v>
      </c>
      <c r="O585" s="1474">
        <v>1.2285353304254694</v>
      </c>
    </row>
    <row r="586" spans="11:15">
      <c r="K586" s="1471">
        <v>42643</v>
      </c>
      <c r="L586" s="1472" t="s">
        <v>2127</v>
      </c>
      <c r="M586" s="1473">
        <v>5.2531000000000001E-2</v>
      </c>
      <c r="N586" s="1474">
        <v>1.2291806923198951</v>
      </c>
      <c r="O586" s="1474">
        <v>1.2291806923198951</v>
      </c>
    </row>
    <row r="587" spans="11:15">
      <c r="K587" s="1471">
        <v>42644</v>
      </c>
      <c r="L587" s="1472"/>
      <c r="M587" s="1473">
        <v>0</v>
      </c>
      <c r="N587" s="1474">
        <v>1.2291806923198951</v>
      </c>
      <c r="O587" s="1474">
        <v>1.2291806923198951</v>
      </c>
    </row>
    <row r="588" spans="11:15">
      <c r="K588" s="1471">
        <v>42645</v>
      </c>
      <c r="L588" s="1472"/>
      <c r="M588" s="1473">
        <v>0</v>
      </c>
      <c r="N588" s="1474">
        <v>1.2291806923198951</v>
      </c>
      <c r="O588" s="1474">
        <v>1.2291806923198951</v>
      </c>
    </row>
    <row r="589" spans="11:15">
      <c r="K589" s="1471">
        <v>42646</v>
      </c>
      <c r="L589" s="1472" t="s">
        <v>2127</v>
      </c>
      <c r="M589" s="1473">
        <v>5.2531000000000001E-2</v>
      </c>
      <c r="N589" s="1474">
        <v>1.2298263932293776</v>
      </c>
      <c r="O589" s="1474">
        <v>1.2298263932293776</v>
      </c>
    </row>
    <row r="590" spans="11:15">
      <c r="K590" s="1471">
        <v>42647</v>
      </c>
      <c r="L590" s="1472" t="s">
        <v>2127</v>
      </c>
      <c r="M590" s="1473">
        <v>5.2531000000000001E-2</v>
      </c>
      <c r="N590" s="1474">
        <v>1.230472433332005</v>
      </c>
      <c r="O590" s="1474">
        <v>1.230472433332005</v>
      </c>
    </row>
    <row r="591" spans="11:15">
      <c r="K591" s="1471">
        <v>42648</v>
      </c>
      <c r="L591" s="1472" t="s">
        <v>2127</v>
      </c>
      <c r="M591" s="1473">
        <v>5.2531000000000001E-2</v>
      </c>
      <c r="N591" s="1474">
        <v>1.2311188128059587</v>
      </c>
      <c r="O591" s="1474">
        <v>1.2311188128059587</v>
      </c>
    </row>
    <row r="592" spans="11:15">
      <c r="K592" s="1471">
        <v>42649</v>
      </c>
      <c r="L592" s="1472" t="s">
        <v>2127</v>
      </c>
      <c r="M592" s="1473">
        <v>5.2531000000000001E-2</v>
      </c>
      <c r="N592" s="1474">
        <v>1.2317655318295138</v>
      </c>
      <c r="O592" s="1474">
        <v>1.2317655318295138</v>
      </c>
    </row>
    <row r="593" spans="11:15">
      <c r="K593" s="1471">
        <v>42650</v>
      </c>
      <c r="L593" s="1472" t="s">
        <v>2127</v>
      </c>
      <c r="M593" s="1473">
        <v>5.2531000000000001E-2</v>
      </c>
      <c r="N593" s="1474">
        <v>1.232412590581039</v>
      </c>
      <c r="O593" s="1474">
        <v>1.232412590581039</v>
      </c>
    </row>
    <row r="594" spans="11:15">
      <c r="K594" s="1471">
        <v>42651</v>
      </c>
      <c r="L594" s="1472"/>
      <c r="M594" s="1473">
        <v>0</v>
      </c>
      <c r="N594" s="1474">
        <v>1.232412590581039</v>
      </c>
      <c r="O594" s="1474">
        <v>1.232412590581039</v>
      </c>
    </row>
    <row r="595" spans="11:15">
      <c r="K595" s="1471">
        <v>42652</v>
      </c>
      <c r="L595" s="1472"/>
      <c r="M595" s="1473">
        <v>0</v>
      </c>
      <c r="N595" s="1474">
        <v>1.232412590581039</v>
      </c>
      <c r="O595" s="1474">
        <v>1.232412590581039</v>
      </c>
    </row>
    <row r="596" spans="11:15">
      <c r="K596" s="1471">
        <v>42653</v>
      </c>
      <c r="L596" s="1472" t="s">
        <v>2127</v>
      </c>
      <c r="M596" s="1473">
        <v>5.2531000000000001E-2</v>
      </c>
      <c r="N596" s="1474">
        <v>1.2330599892389971</v>
      </c>
      <c r="O596" s="1474">
        <v>1.2330599892389971</v>
      </c>
    </row>
    <row r="597" spans="11:15">
      <c r="K597" s="1471">
        <v>42654</v>
      </c>
      <c r="L597" s="1472" t="s">
        <v>2127</v>
      </c>
      <c r="M597" s="1473">
        <v>5.2531000000000001E-2</v>
      </c>
      <c r="N597" s="1474">
        <v>1.2337077279819442</v>
      </c>
      <c r="O597" s="1474">
        <v>1.2337077279819442</v>
      </c>
    </row>
    <row r="598" spans="11:15">
      <c r="K598" s="1471">
        <v>42655</v>
      </c>
      <c r="L598" s="1472"/>
      <c r="M598" s="1473">
        <v>0</v>
      </c>
      <c r="N598" s="1474">
        <v>1.2337077279819442</v>
      </c>
      <c r="O598" s="1474">
        <v>1.2337077279819442</v>
      </c>
    </row>
    <row r="599" spans="11:15">
      <c r="K599" s="1471">
        <v>42656</v>
      </c>
      <c r="L599" s="1472" t="s">
        <v>2127</v>
      </c>
      <c r="M599" s="1473">
        <v>5.2531000000000001E-2</v>
      </c>
      <c r="N599" s="1474">
        <v>1.2343558069885303</v>
      </c>
      <c r="O599" s="1474">
        <v>1.2343558069885303</v>
      </c>
    </row>
    <row r="600" spans="11:15">
      <c r="K600" s="1471">
        <v>42657</v>
      </c>
      <c r="L600" s="1472" t="s">
        <v>2127</v>
      </c>
      <c r="M600" s="1473">
        <v>5.2531000000000001E-2</v>
      </c>
      <c r="N600" s="1474">
        <v>1.2350042264374994</v>
      </c>
      <c r="O600" s="1474">
        <v>1.2350042264374994</v>
      </c>
    </row>
    <row r="601" spans="11:15">
      <c r="K601" s="1471">
        <v>42658</v>
      </c>
      <c r="L601" s="1472"/>
      <c r="M601" s="1473">
        <v>0</v>
      </c>
      <c r="N601" s="1474">
        <v>1.2350042264374994</v>
      </c>
      <c r="O601" s="1474">
        <v>1.2350042264374994</v>
      </c>
    </row>
    <row r="602" spans="11:15">
      <c r="K602" s="1471">
        <v>42659</v>
      </c>
      <c r="L602" s="1472"/>
      <c r="M602" s="1473">
        <v>0</v>
      </c>
      <c r="N602" s="1474">
        <v>1.2350042264374994</v>
      </c>
      <c r="O602" s="1474">
        <v>1.2350042264374994</v>
      </c>
    </row>
    <row r="603" spans="11:15">
      <c r="K603" s="1471">
        <v>42660</v>
      </c>
      <c r="L603" s="1472" t="s">
        <v>2127</v>
      </c>
      <c r="M603" s="1473">
        <v>5.2531000000000001E-2</v>
      </c>
      <c r="N603" s="1474">
        <v>1.2356529865076893</v>
      </c>
      <c r="O603" s="1474">
        <v>1.2356529865076893</v>
      </c>
    </row>
    <row r="604" spans="11:15">
      <c r="K604" s="1471">
        <v>42661</v>
      </c>
      <c r="L604" s="1472" t="s">
        <v>2127</v>
      </c>
      <c r="M604" s="1473">
        <v>5.2531000000000001E-2</v>
      </c>
      <c r="N604" s="1474">
        <v>1.2363020873780317</v>
      </c>
      <c r="O604" s="1474">
        <v>1.2363020873780317</v>
      </c>
    </row>
    <row r="605" spans="11:15">
      <c r="K605" s="1471">
        <v>42662</v>
      </c>
      <c r="L605" s="1472" t="s">
        <v>2127</v>
      </c>
      <c r="M605" s="1473">
        <v>5.2531000000000001E-2</v>
      </c>
      <c r="N605" s="1474">
        <v>1.2369515292275524</v>
      </c>
      <c r="O605" s="1474">
        <v>1.2369515292275524</v>
      </c>
    </row>
    <row r="606" spans="11:15">
      <c r="K606" s="1471">
        <v>42663</v>
      </c>
      <c r="L606" s="1472" t="s">
        <v>2127</v>
      </c>
      <c r="M606" s="1473">
        <v>5.1659999999999998E-2</v>
      </c>
      <c r="N606" s="1474">
        <v>1.2375905383875514</v>
      </c>
      <c r="O606" s="1474">
        <v>1.2376013122353708</v>
      </c>
    </row>
    <row r="607" spans="11:15">
      <c r="K607" s="1471">
        <v>42664</v>
      </c>
      <c r="L607" s="1472" t="s">
        <v>2127</v>
      </c>
      <c r="M607" s="1473">
        <v>5.1659999999999998E-2</v>
      </c>
      <c r="N607" s="1474">
        <v>1.2382298776596825</v>
      </c>
      <c r="O607" s="1474">
        <v>1.2382514365807011</v>
      </c>
    </row>
    <row r="608" spans="11:15">
      <c r="K608" s="1471">
        <v>42665</v>
      </c>
      <c r="L608" s="1472"/>
      <c r="M608" s="1473">
        <v>0</v>
      </c>
      <c r="N608" s="1474">
        <v>1.2382298776596825</v>
      </c>
      <c r="O608" s="1474">
        <v>1.2382514365807011</v>
      </c>
    </row>
    <row r="609" spans="11:15">
      <c r="K609" s="1471">
        <v>42666</v>
      </c>
      <c r="L609" s="1472"/>
      <c r="M609" s="1473">
        <v>0</v>
      </c>
      <c r="N609" s="1474">
        <v>1.2382298776596825</v>
      </c>
      <c r="O609" s="1474">
        <v>1.2382514365807011</v>
      </c>
    </row>
    <row r="610" spans="11:15">
      <c r="K610" s="1471">
        <v>42667</v>
      </c>
      <c r="L610" s="1472" t="s">
        <v>2127</v>
      </c>
      <c r="M610" s="1473">
        <v>5.1659999999999998E-2</v>
      </c>
      <c r="N610" s="1474">
        <v>1.2388695472144815</v>
      </c>
      <c r="O610" s="1474">
        <v>1.2389019024428514</v>
      </c>
    </row>
    <row r="611" spans="11:15">
      <c r="K611" s="1471">
        <v>42668</v>
      </c>
      <c r="L611" s="1472" t="s">
        <v>2127</v>
      </c>
      <c r="M611" s="1473">
        <v>5.1659999999999998E-2</v>
      </c>
      <c r="N611" s="1474">
        <v>1.2395095472225726</v>
      </c>
      <c r="O611" s="1474">
        <v>1.2395527100012236</v>
      </c>
    </row>
    <row r="612" spans="11:15">
      <c r="K612" s="1471">
        <v>42669</v>
      </c>
      <c r="L612" s="1472" t="s">
        <v>2127</v>
      </c>
      <c r="M612" s="1473">
        <v>5.1659999999999998E-2</v>
      </c>
      <c r="N612" s="1474">
        <v>1.2401498778546678</v>
      </c>
      <c r="O612" s="1474">
        <v>1.2402038594353144</v>
      </c>
    </row>
    <row r="613" spans="11:15">
      <c r="K613" s="1471">
        <v>42670</v>
      </c>
      <c r="L613" s="1472" t="s">
        <v>2127</v>
      </c>
      <c r="M613" s="1473">
        <v>5.1659999999999998E-2</v>
      </c>
      <c r="N613" s="1474">
        <v>1.2407905392815677</v>
      </c>
      <c r="O613" s="1474">
        <v>1.2408553509247144</v>
      </c>
    </row>
    <row r="614" spans="11:15">
      <c r="K614" s="1471">
        <v>42671</v>
      </c>
      <c r="L614" s="1472" t="s">
        <v>2127</v>
      </c>
      <c r="M614" s="1473">
        <v>5.1659999999999998E-2</v>
      </c>
      <c r="N614" s="1474">
        <v>1.2414315316741606</v>
      </c>
      <c r="O614" s="1474">
        <v>1.2415071846491088</v>
      </c>
    </row>
    <row r="615" spans="11:15">
      <c r="K615" s="1471">
        <v>42672</v>
      </c>
      <c r="L615" s="1472"/>
      <c r="M615" s="1473">
        <v>0</v>
      </c>
      <c r="N615" s="1474">
        <v>1.2414315316741606</v>
      </c>
      <c r="O615" s="1474">
        <v>1.2415071846491088</v>
      </c>
    </row>
    <row r="616" spans="11:15">
      <c r="K616" s="1471">
        <v>42673</v>
      </c>
      <c r="L616" s="1472"/>
      <c r="M616" s="1473">
        <v>0</v>
      </c>
      <c r="N616" s="1474">
        <v>1.2414315316741606</v>
      </c>
      <c r="O616" s="1474">
        <v>1.2415071846491088</v>
      </c>
    </row>
    <row r="617" spans="11:15">
      <c r="K617" s="1471">
        <v>42674</v>
      </c>
      <c r="L617" s="1472" t="s">
        <v>2127</v>
      </c>
      <c r="M617" s="1473">
        <v>5.1659999999999998E-2</v>
      </c>
      <c r="N617" s="1474">
        <v>1.2420728552034237</v>
      </c>
      <c r="O617" s="1474">
        <v>1.2421593607882768</v>
      </c>
    </row>
    <row r="618" spans="11:15">
      <c r="K618" s="1471">
        <v>42675</v>
      </c>
      <c r="L618" s="1472" t="s">
        <v>2127</v>
      </c>
      <c r="M618" s="1473">
        <v>5.1659999999999998E-2</v>
      </c>
      <c r="N618" s="1474">
        <v>1.242714510040422</v>
      </c>
      <c r="O618" s="1474">
        <v>1.2428118795220926</v>
      </c>
    </row>
    <row r="619" spans="11:15">
      <c r="K619" s="1471">
        <v>42676</v>
      </c>
      <c r="L619" s="1472"/>
      <c r="M619" s="1473">
        <v>0</v>
      </c>
      <c r="N619" s="1474">
        <v>1.242714510040422</v>
      </c>
      <c r="O619" s="1474">
        <v>1.2428118795220926</v>
      </c>
    </row>
    <row r="620" spans="11:15">
      <c r="K620" s="1471">
        <v>42677</v>
      </c>
      <c r="L620" s="1472" t="s">
        <v>2127</v>
      </c>
      <c r="M620" s="1473">
        <v>5.1659999999999998E-2</v>
      </c>
      <c r="N620" s="1474">
        <v>1.2433564963563091</v>
      </c>
      <c r="O620" s="1474">
        <v>1.2434647410305244</v>
      </c>
    </row>
    <row r="621" spans="11:15">
      <c r="K621" s="1471">
        <v>42678</v>
      </c>
      <c r="L621" s="1472" t="s">
        <v>2127</v>
      </c>
      <c r="M621" s="1473">
        <v>5.1659999999999998E-2</v>
      </c>
      <c r="N621" s="1474">
        <v>1.2439988143223268</v>
      </c>
      <c r="O621" s="1474">
        <v>1.2441179454936351</v>
      </c>
    </row>
    <row r="622" spans="11:15">
      <c r="K622" s="1471">
        <v>42679</v>
      </c>
      <c r="L622" s="1472"/>
      <c r="M622" s="1473">
        <v>0</v>
      </c>
      <c r="N622" s="1474">
        <v>1.2439988143223268</v>
      </c>
      <c r="O622" s="1474">
        <v>1.2441179454936351</v>
      </c>
    </row>
    <row r="623" spans="11:15">
      <c r="K623" s="1471">
        <v>42680</v>
      </c>
      <c r="L623" s="1472"/>
      <c r="M623" s="1473">
        <v>0</v>
      </c>
      <c r="N623" s="1474">
        <v>1.2439988143223268</v>
      </c>
      <c r="O623" s="1474">
        <v>1.2441179454936351</v>
      </c>
    </row>
    <row r="624" spans="11:15">
      <c r="K624" s="1471">
        <v>42681</v>
      </c>
      <c r="L624" s="1472" t="s">
        <v>2127</v>
      </c>
      <c r="M624" s="1473">
        <v>5.1659999999999998E-2</v>
      </c>
      <c r="N624" s="1474">
        <v>1.2446414641098058</v>
      </c>
      <c r="O624" s="1474">
        <v>1.2447714930915823</v>
      </c>
    </row>
    <row r="625" spans="11:15">
      <c r="K625" s="1471">
        <v>42682</v>
      </c>
      <c r="L625" s="1472" t="s">
        <v>2127</v>
      </c>
      <c r="M625" s="1473">
        <v>5.1659999999999998E-2</v>
      </c>
      <c r="N625" s="1474">
        <v>1.2452844458901651</v>
      </c>
      <c r="O625" s="1474">
        <v>1.2454253840046183</v>
      </c>
    </row>
    <row r="626" spans="11:15">
      <c r="K626" s="1471">
        <v>42683</v>
      </c>
      <c r="L626" s="1472" t="s">
        <v>2127</v>
      </c>
      <c r="M626" s="1473">
        <v>5.1659999999999998E-2</v>
      </c>
      <c r="N626" s="1474">
        <v>1.2459277598349121</v>
      </c>
      <c r="O626" s="1474">
        <v>1.2460796184130898</v>
      </c>
    </row>
    <row r="627" spans="11:15">
      <c r="K627" s="1471">
        <v>42684</v>
      </c>
      <c r="L627" s="1472" t="s">
        <v>2127</v>
      </c>
      <c r="M627" s="1473">
        <v>5.1659999999999998E-2</v>
      </c>
      <c r="N627" s="1474">
        <v>1.246571406115643</v>
      </c>
      <c r="O627" s="1474">
        <v>1.2467341964974383</v>
      </c>
    </row>
    <row r="628" spans="11:15">
      <c r="K628" s="1471">
        <v>42685</v>
      </c>
      <c r="L628" s="1472" t="s">
        <v>2127</v>
      </c>
      <c r="M628" s="1473">
        <v>5.1659999999999998E-2</v>
      </c>
      <c r="N628" s="1474">
        <v>1.2472153849040424</v>
      </c>
      <c r="O628" s="1474">
        <v>1.2473891184382004</v>
      </c>
    </row>
    <row r="629" spans="11:15">
      <c r="K629" s="1471">
        <v>42686</v>
      </c>
      <c r="L629" s="1472"/>
      <c r="M629" s="1473">
        <v>0</v>
      </c>
      <c r="N629" s="1474">
        <v>1.2472153849040424</v>
      </c>
      <c r="O629" s="1474">
        <v>1.2473891184382004</v>
      </c>
    </row>
    <row r="630" spans="11:15">
      <c r="K630" s="1471">
        <v>42687</v>
      </c>
      <c r="L630" s="1472"/>
      <c r="M630" s="1473">
        <v>0</v>
      </c>
      <c r="N630" s="1474">
        <v>1.2472153849040424</v>
      </c>
      <c r="O630" s="1474">
        <v>1.2473891184382004</v>
      </c>
    </row>
    <row r="631" spans="11:15">
      <c r="K631" s="1471">
        <v>42688</v>
      </c>
      <c r="L631" s="1472" t="s">
        <v>2127</v>
      </c>
      <c r="M631" s="1473">
        <v>5.1659999999999998E-2</v>
      </c>
      <c r="N631" s="1474">
        <v>1.247859696371884</v>
      </c>
      <c r="O631" s="1474">
        <v>1.2480443844160072</v>
      </c>
    </row>
    <row r="632" spans="11:15">
      <c r="K632" s="1471">
        <v>42689</v>
      </c>
      <c r="L632" s="1472"/>
      <c r="M632" s="1473">
        <v>0</v>
      </c>
      <c r="N632" s="1474">
        <v>1.247859696371884</v>
      </c>
      <c r="O632" s="1474">
        <v>1.2480443844160072</v>
      </c>
    </row>
    <row r="633" spans="11:15">
      <c r="K633" s="1471">
        <v>42690</v>
      </c>
      <c r="L633" s="1472" t="s">
        <v>2127</v>
      </c>
      <c r="M633" s="1473">
        <v>5.1659999999999998E-2</v>
      </c>
      <c r="N633" s="1474">
        <v>1.2485043406910299</v>
      </c>
      <c r="O633" s="1474">
        <v>1.2486999946115847</v>
      </c>
    </row>
    <row r="634" spans="11:15">
      <c r="K634" s="1471">
        <v>42691</v>
      </c>
      <c r="L634" s="1472" t="s">
        <v>2127</v>
      </c>
      <c r="M634" s="1473">
        <v>5.1659999999999998E-2</v>
      </c>
      <c r="N634" s="1474">
        <v>1.249149318033431</v>
      </c>
      <c r="O634" s="1474">
        <v>1.249355949205754</v>
      </c>
    </row>
    <row r="635" spans="11:15">
      <c r="K635" s="1471">
        <v>42692</v>
      </c>
      <c r="L635" s="1472" t="s">
        <v>2127</v>
      </c>
      <c r="M635" s="1473">
        <v>5.1659999999999998E-2</v>
      </c>
      <c r="N635" s="1474">
        <v>1.2497946285711272</v>
      </c>
      <c r="O635" s="1474">
        <v>1.2500122483794314</v>
      </c>
    </row>
    <row r="636" spans="11:15">
      <c r="K636" s="1471">
        <v>42693</v>
      </c>
      <c r="L636" s="1472"/>
      <c r="M636" s="1473">
        <v>0</v>
      </c>
      <c r="N636" s="1474">
        <v>1.2497946285711272</v>
      </c>
      <c r="O636" s="1474">
        <v>1.2500122483794314</v>
      </c>
    </row>
    <row r="637" spans="11:15">
      <c r="K637" s="1471">
        <v>42694</v>
      </c>
      <c r="L637" s="1472"/>
      <c r="M637" s="1473">
        <v>0</v>
      </c>
      <c r="N637" s="1474">
        <v>1.2497946285711272</v>
      </c>
      <c r="O637" s="1474">
        <v>1.2500122483794314</v>
      </c>
    </row>
    <row r="638" spans="11:15">
      <c r="K638" s="1471">
        <v>42695</v>
      </c>
      <c r="L638" s="1472" t="s">
        <v>2127</v>
      </c>
      <c r="M638" s="1473">
        <v>5.1659999999999998E-2</v>
      </c>
      <c r="N638" s="1474">
        <v>1.2504402724762471</v>
      </c>
      <c r="O638" s="1474">
        <v>1.2506688923136275</v>
      </c>
    </row>
    <row r="639" spans="11:15">
      <c r="K639" s="1471">
        <v>42696</v>
      </c>
      <c r="L639" s="1472" t="s">
        <v>2127</v>
      </c>
      <c r="M639" s="1473">
        <v>5.1659999999999998E-2</v>
      </c>
      <c r="N639" s="1474">
        <v>1.2510862499210085</v>
      </c>
      <c r="O639" s="1474">
        <v>1.2513258811894488</v>
      </c>
    </row>
    <row r="640" spans="11:15">
      <c r="K640" s="1471">
        <v>42697</v>
      </c>
      <c r="L640" s="1472" t="s">
        <v>2127</v>
      </c>
      <c r="M640" s="1473">
        <v>5.1659999999999998E-2</v>
      </c>
      <c r="N640" s="1474">
        <v>1.2517325610777177</v>
      </c>
      <c r="O640" s="1474">
        <v>1.2519832151880963</v>
      </c>
    </row>
    <row r="641" spans="11:15">
      <c r="K641" s="1471">
        <v>42698</v>
      </c>
      <c r="L641" s="1472" t="s">
        <v>2127</v>
      </c>
      <c r="M641" s="1473">
        <v>5.1659999999999998E-2</v>
      </c>
      <c r="N641" s="1474">
        <v>1.2523792061187706</v>
      </c>
      <c r="O641" s="1474">
        <v>1.2526408944908667</v>
      </c>
    </row>
    <row r="642" spans="11:15">
      <c r="K642" s="1471">
        <v>42699</v>
      </c>
      <c r="L642" s="1472" t="s">
        <v>2127</v>
      </c>
      <c r="M642" s="1473">
        <v>5.1659999999999998E-2</v>
      </c>
      <c r="N642" s="1474">
        <v>1.2530261852166518</v>
      </c>
      <c r="O642" s="1474">
        <v>1.2532989192791517</v>
      </c>
    </row>
    <row r="643" spans="11:15">
      <c r="K643" s="1471">
        <v>42700</v>
      </c>
      <c r="L643" s="1472"/>
      <c r="M643" s="1473">
        <v>0</v>
      </c>
      <c r="N643" s="1474">
        <v>1.2530261852166518</v>
      </c>
      <c r="O643" s="1474">
        <v>1.2532989192791517</v>
      </c>
    </row>
    <row r="644" spans="11:15">
      <c r="K644" s="1471">
        <v>42701</v>
      </c>
      <c r="L644" s="1472"/>
      <c r="M644" s="1473">
        <v>0</v>
      </c>
      <c r="N644" s="1474">
        <v>1.2530261852166518</v>
      </c>
      <c r="O644" s="1474">
        <v>1.2532989192791517</v>
      </c>
    </row>
    <row r="645" spans="11:15">
      <c r="K645" s="1471">
        <v>42702</v>
      </c>
      <c r="L645" s="1472" t="s">
        <v>2127</v>
      </c>
      <c r="M645" s="1473">
        <v>5.1659999999999998E-2</v>
      </c>
      <c r="N645" s="1474">
        <v>1.2536734985439348</v>
      </c>
      <c r="O645" s="1474">
        <v>1.2539572897344382</v>
      </c>
    </row>
    <row r="646" spans="11:15">
      <c r="K646" s="1471">
        <v>42703</v>
      </c>
      <c r="L646" s="1472" t="s">
        <v>2127</v>
      </c>
      <c r="M646" s="1473">
        <v>5.1659999999999998E-2</v>
      </c>
      <c r="N646" s="1474">
        <v>1.2543211462732828</v>
      </c>
      <c r="O646" s="1474">
        <v>1.2546160060383087</v>
      </c>
    </row>
    <row r="647" spans="11:15">
      <c r="K647" s="1471">
        <v>42704</v>
      </c>
      <c r="L647" s="1472" t="s">
        <v>2127</v>
      </c>
      <c r="M647" s="1473">
        <v>5.1659999999999998E-2</v>
      </c>
      <c r="N647" s="1474">
        <v>1.2549691285774478</v>
      </c>
      <c r="O647" s="1474">
        <v>1.2552750683724407</v>
      </c>
    </row>
    <row r="648" spans="11:15">
      <c r="K648" s="1471">
        <v>42705</v>
      </c>
      <c r="L648" s="1472" t="s">
        <v>2127</v>
      </c>
      <c r="M648" s="1473">
        <v>5.0788E-2</v>
      </c>
      <c r="N648" s="1474">
        <v>1.2556065022984697</v>
      </c>
      <c r="O648" s="1474">
        <v>1.2559344769186074</v>
      </c>
    </row>
    <row r="649" spans="11:15">
      <c r="K649" s="1471">
        <v>42706</v>
      </c>
      <c r="L649" s="1472" t="s">
        <v>2127</v>
      </c>
      <c r="M649" s="1473">
        <v>5.0788E-2</v>
      </c>
      <c r="N649" s="1474">
        <v>1.2562441997288571</v>
      </c>
      <c r="O649" s="1474">
        <v>1.2565942318586776</v>
      </c>
    </row>
    <row r="650" spans="11:15">
      <c r="K650" s="1471">
        <v>42707</v>
      </c>
      <c r="L650" s="1472"/>
      <c r="M650" s="1473">
        <v>0</v>
      </c>
      <c r="N650" s="1474">
        <v>1.2562441997288571</v>
      </c>
      <c r="O650" s="1474">
        <v>1.2565942318586776</v>
      </c>
    </row>
    <row r="651" spans="11:15">
      <c r="K651" s="1471">
        <v>42708</v>
      </c>
      <c r="L651" s="1472"/>
      <c r="M651" s="1473">
        <v>0</v>
      </c>
      <c r="N651" s="1474">
        <v>1.2562441997288571</v>
      </c>
      <c r="O651" s="1474">
        <v>1.2565942318586776</v>
      </c>
    </row>
    <row r="652" spans="11:15">
      <c r="K652" s="1471">
        <v>42709</v>
      </c>
      <c r="L652" s="1472" t="s">
        <v>2127</v>
      </c>
      <c r="M652" s="1473">
        <v>5.0788E-2</v>
      </c>
      <c r="N652" s="1474">
        <v>1.2568822210330155</v>
      </c>
      <c r="O652" s="1474">
        <v>1.2572543333746153</v>
      </c>
    </row>
    <row r="653" spans="11:15">
      <c r="K653" s="1471">
        <v>42710</v>
      </c>
      <c r="L653" s="1472" t="s">
        <v>2127</v>
      </c>
      <c r="M653" s="1473">
        <v>5.0788E-2</v>
      </c>
      <c r="N653" s="1474">
        <v>1.2575205663754339</v>
      </c>
      <c r="O653" s="1474">
        <v>1.2579147816484804</v>
      </c>
    </row>
    <row r="654" spans="11:15">
      <c r="K654" s="1471">
        <v>42711</v>
      </c>
      <c r="L654" s="1472" t="s">
        <v>2127</v>
      </c>
      <c r="M654" s="1473">
        <v>5.0788E-2</v>
      </c>
      <c r="N654" s="1474">
        <v>1.2581592359206846</v>
      </c>
      <c r="O654" s="1474">
        <v>1.258575576862428</v>
      </c>
    </row>
    <row r="655" spans="11:15">
      <c r="K655" s="1471">
        <v>42712</v>
      </c>
      <c r="L655" s="1472" t="s">
        <v>2127</v>
      </c>
      <c r="M655" s="1473">
        <v>5.0788E-2</v>
      </c>
      <c r="N655" s="1474">
        <v>1.2587982298334239</v>
      </c>
      <c r="O655" s="1474">
        <v>1.2592367191987097</v>
      </c>
    </row>
    <row r="656" spans="11:15">
      <c r="K656" s="1471">
        <v>42713</v>
      </c>
      <c r="L656" s="1472" t="s">
        <v>2127</v>
      </c>
      <c r="M656" s="1473">
        <v>5.0788E-2</v>
      </c>
      <c r="N656" s="1474">
        <v>1.2594375482783917</v>
      </c>
      <c r="O656" s="1474">
        <v>1.259898208839672</v>
      </c>
    </row>
    <row r="657" spans="11:15">
      <c r="K657" s="1471">
        <v>42714</v>
      </c>
      <c r="L657" s="1472"/>
      <c r="M657" s="1473">
        <v>0</v>
      </c>
      <c r="N657" s="1474">
        <v>1.2594375482783917</v>
      </c>
      <c r="O657" s="1474">
        <v>1.259898208839672</v>
      </c>
    </row>
    <row r="658" spans="11:15">
      <c r="K658" s="1471">
        <v>42715</v>
      </c>
      <c r="L658" s="1472"/>
      <c r="M658" s="1473">
        <v>0</v>
      </c>
      <c r="N658" s="1474">
        <v>1.2594375482783917</v>
      </c>
      <c r="O658" s="1474">
        <v>1.259898208839672</v>
      </c>
    </row>
    <row r="659" spans="11:15">
      <c r="K659" s="1471">
        <v>42716</v>
      </c>
      <c r="L659" s="1472" t="s">
        <v>2127</v>
      </c>
      <c r="M659" s="1473">
        <v>5.0788E-2</v>
      </c>
      <c r="N659" s="1474">
        <v>1.2600771914204114</v>
      </c>
      <c r="O659" s="1474">
        <v>1.2605600459677575</v>
      </c>
    </row>
    <row r="660" spans="11:15">
      <c r="K660" s="1471">
        <v>42717</v>
      </c>
      <c r="L660" s="1472" t="s">
        <v>2127</v>
      </c>
      <c r="M660" s="1473">
        <v>5.0788E-2</v>
      </c>
      <c r="N660" s="1474">
        <v>1.26071715942439</v>
      </c>
      <c r="O660" s="1474">
        <v>1.2612222307655048</v>
      </c>
    </row>
    <row r="661" spans="11:15">
      <c r="K661" s="1471">
        <v>42718</v>
      </c>
      <c r="L661" s="1472" t="s">
        <v>2127</v>
      </c>
      <c r="M661" s="1473">
        <v>5.0788E-2</v>
      </c>
      <c r="N661" s="1474">
        <v>1.2613574524553184</v>
      </c>
      <c r="O661" s="1474">
        <v>1.2618847634155481</v>
      </c>
    </row>
    <row r="662" spans="11:15">
      <c r="K662" s="1471">
        <v>42719</v>
      </c>
      <c r="L662" s="1472" t="s">
        <v>2127</v>
      </c>
      <c r="M662" s="1473">
        <v>5.0788E-2</v>
      </c>
      <c r="N662" s="1474">
        <v>1.2619980706782714</v>
      </c>
      <c r="O662" s="1474">
        <v>1.262547644100618</v>
      </c>
    </row>
    <row r="663" spans="11:15">
      <c r="K663" s="1471">
        <v>42720</v>
      </c>
      <c r="L663" s="1472" t="s">
        <v>2127</v>
      </c>
      <c r="M663" s="1473">
        <v>5.0788E-2</v>
      </c>
      <c r="N663" s="1474">
        <v>1.2626390142584074</v>
      </c>
      <c r="O663" s="1474">
        <v>1.2632108730035405</v>
      </c>
    </row>
    <row r="664" spans="11:15">
      <c r="K664" s="1471">
        <v>42721</v>
      </c>
      <c r="L664" s="1472"/>
      <c r="M664" s="1473">
        <v>0</v>
      </c>
      <c r="N664" s="1474">
        <v>1.2626390142584074</v>
      </c>
      <c r="O664" s="1474">
        <v>1.2632108730035405</v>
      </c>
    </row>
    <row r="665" spans="11:15">
      <c r="K665" s="1471">
        <v>42722</v>
      </c>
      <c r="L665" s="1472"/>
      <c r="M665" s="1473">
        <v>0</v>
      </c>
      <c r="N665" s="1474">
        <v>1.2626390142584074</v>
      </c>
      <c r="O665" s="1474">
        <v>1.2632108730035405</v>
      </c>
    </row>
    <row r="666" spans="11:15">
      <c r="K666" s="1471">
        <v>42723</v>
      </c>
      <c r="L666" s="1472" t="s">
        <v>2127</v>
      </c>
      <c r="M666" s="1473">
        <v>5.0788E-2</v>
      </c>
      <c r="N666" s="1474">
        <v>1.2632802833609691</v>
      </c>
      <c r="O666" s="1474">
        <v>1.2638744503072381</v>
      </c>
    </row>
    <row r="667" spans="11:15">
      <c r="K667" s="1471">
        <v>42724</v>
      </c>
      <c r="L667" s="1472" t="s">
        <v>2127</v>
      </c>
      <c r="M667" s="1473">
        <v>5.0788E-2</v>
      </c>
      <c r="N667" s="1474">
        <v>1.2639218781512824</v>
      </c>
      <c r="O667" s="1474">
        <v>1.2645383761947291</v>
      </c>
    </row>
    <row r="668" spans="11:15">
      <c r="K668" s="1471">
        <v>42725</v>
      </c>
      <c r="L668" s="1472" t="s">
        <v>2127</v>
      </c>
      <c r="M668" s="1473">
        <v>5.0788E-2</v>
      </c>
      <c r="N668" s="1474">
        <v>1.264563798794758</v>
      </c>
      <c r="O668" s="1474">
        <v>1.2652026508491279</v>
      </c>
    </row>
    <row r="669" spans="11:15">
      <c r="K669" s="1471">
        <v>42726</v>
      </c>
      <c r="L669" s="1472" t="s">
        <v>2127</v>
      </c>
      <c r="M669" s="1473">
        <v>5.0788E-2</v>
      </c>
      <c r="N669" s="1474">
        <v>1.2652060454568899</v>
      </c>
      <c r="O669" s="1474">
        <v>1.2658672744536454</v>
      </c>
    </row>
    <row r="670" spans="11:15">
      <c r="K670" s="1471">
        <v>42727</v>
      </c>
      <c r="L670" s="1472" t="s">
        <v>2127</v>
      </c>
      <c r="M670" s="1473">
        <v>5.0788E-2</v>
      </c>
      <c r="N670" s="1474">
        <v>1.2658486183032565</v>
      </c>
      <c r="O670" s="1474">
        <v>1.2665322471915887</v>
      </c>
    </row>
    <row r="671" spans="11:15">
      <c r="K671" s="1471">
        <v>42728</v>
      </c>
      <c r="L671" s="1472"/>
      <c r="M671" s="1473">
        <v>0</v>
      </c>
      <c r="N671" s="1474">
        <v>1.2658486183032565</v>
      </c>
      <c r="O671" s="1474">
        <v>1.2665322471915887</v>
      </c>
    </row>
    <row r="672" spans="11:15">
      <c r="K672" s="1471">
        <v>42729</v>
      </c>
      <c r="L672" s="1472"/>
      <c r="M672" s="1473">
        <v>0</v>
      </c>
      <c r="N672" s="1474">
        <v>1.2658486183032565</v>
      </c>
      <c r="O672" s="1474">
        <v>1.2665322471915887</v>
      </c>
    </row>
    <row r="673" spans="11:15">
      <c r="K673" s="1471">
        <v>42730</v>
      </c>
      <c r="L673" s="1472" t="s">
        <v>2127</v>
      </c>
      <c r="M673" s="1473">
        <v>5.0788E-2</v>
      </c>
      <c r="N673" s="1474">
        <v>1.2664915174995204</v>
      </c>
      <c r="O673" s="1474">
        <v>1.2671975692463611</v>
      </c>
    </row>
    <row r="674" spans="11:15">
      <c r="K674" s="1471">
        <v>42731</v>
      </c>
      <c r="L674" s="1472" t="s">
        <v>2127</v>
      </c>
      <c r="M674" s="1473">
        <v>5.0788E-2</v>
      </c>
      <c r="N674" s="1474">
        <v>1.2671347432114282</v>
      </c>
      <c r="O674" s="1474">
        <v>1.2678632408014618</v>
      </c>
    </row>
    <row r="675" spans="11:15">
      <c r="K675" s="1471">
        <v>42732</v>
      </c>
      <c r="L675" s="1472" t="s">
        <v>2127</v>
      </c>
      <c r="M675" s="1473">
        <v>5.0788E-2</v>
      </c>
      <c r="N675" s="1474">
        <v>1.2677782956048105</v>
      </c>
      <c r="O675" s="1474">
        <v>1.2685292620404873</v>
      </c>
    </row>
    <row r="676" spans="11:15">
      <c r="K676" s="1471">
        <v>42733</v>
      </c>
      <c r="L676" s="1472" t="s">
        <v>2127</v>
      </c>
      <c r="M676" s="1473">
        <v>5.0788E-2</v>
      </c>
      <c r="N676" s="1474">
        <v>1.2684221748455822</v>
      </c>
      <c r="O676" s="1474">
        <v>1.2691956331471299</v>
      </c>
    </row>
    <row r="677" spans="11:15">
      <c r="K677" s="1471">
        <v>42734</v>
      </c>
      <c r="L677" s="1472" t="s">
        <v>2127</v>
      </c>
      <c r="M677" s="1473">
        <v>5.0788E-2</v>
      </c>
      <c r="N677" s="1474">
        <v>1.2690663810997427</v>
      </c>
      <c r="O677" s="1474">
        <v>1.2698623543051784</v>
      </c>
    </row>
    <row r="678" spans="11:15">
      <c r="K678" s="1471">
        <v>42735</v>
      </c>
      <c r="L678" s="1472"/>
      <c r="M678" s="1473">
        <v>0</v>
      </c>
      <c r="N678" s="1474">
        <v>1.2690663810997427</v>
      </c>
      <c r="O678" s="1474">
        <v>1.2698623543051784</v>
      </c>
    </row>
    <row r="679" spans="11:15">
      <c r="K679" s="1471">
        <v>42736</v>
      </c>
      <c r="L679" s="1472"/>
      <c r="M679" s="1473">
        <v>0</v>
      </c>
      <c r="N679" s="1474">
        <v>1.2690663810997427</v>
      </c>
      <c r="O679" s="1474">
        <v>1.2698623543051784</v>
      </c>
    </row>
    <row r="680" spans="11:15">
      <c r="K680" s="1471">
        <v>42737</v>
      </c>
      <c r="L680" s="1472" t="s">
        <v>2127</v>
      </c>
      <c r="M680" s="1473">
        <v>5.0788E-2</v>
      </c>
      <c r="N680" s="1474">
        <v>1.2697109145333756</v>
      </c>
      <c r="O680" s="1474">
        <v>1.2705294256985185</v>
      </c>
    </row>
    <row r="681" spans="11:15">
      <c r="K681" s="1471">
        <v>42738</v>
      </c>
      <c r="L681" s="1472" t="s">
        <v>2127</v>
      </c>
      <c r="M681" s="1473">
        <v>5.0788E-2</v>
      </c>
      <c r="N681" s="1474">
        <v>1.2703557753126489</v>
      </c>
      <c r="O681" s="1474">
        <v>1.2711968475111322</v>
      </c>
    </row>
    <row r="682" spans="11:15">
      <c r="K682" s="1471">
        <v>42739</v>
      </c>
      <c r="L682" s="1472" t="s">
        <v>2127</v>
      </c>
      <c r="M682" s="1473">
        <v>5.0788E-2</v>
      </c>
      <c r="N682" s="1474">
        <v>1.2710009636038146</v>
      </c>
      <c r="O682" s="1474">
        <v>1.2718646199270982</v>
      </c>
    </row>
    <row r="683" spans="11:15">
      <c r="K683" s="1471">
        <v>42740</v>
      </c>
      <c r="L683" s="1472" t="s">
        <v>2127</v>
      </c>
      <c r="M683" s="1473">
        <v>5.0788E-2</v>
      </c>
      <c r="N683" s="1474">
        <v>1.2716464795732099</v>
      </c>
      <c r="O683" s="1474">
        <v>1.2725327431305922</v>
      </c>
    </row>
    <row r="684" spans="11:15">
      <c r="K684" s="1471">
        <v>42741</v>
      </c>
      <c r="L684" s="1472" t="s">
        <v>2127</v>
      </c>
      <c r="M684" s="1473">
        <v>5.0788E-2</v>
      </c>
      <c r="N684" s="1474">
        <v>1.2722923233872556</v>
      </c>
      <c r="O684" s="1474">
        <v>1.2732012173058862</v>
      </c>
    </row>
    <row r="685" spans="11:15">
      <c r="K685" s="1471">
        <v>42742</v>
      </c>
      <c r="L685" s="1472"/>
      <c r="M685" s="1473">
        <v>0</v>
      </c>
      <c r="N685" s="1474">
        <v>1.2722923233872556</v>
      </c>
      <c r="O685" s="1474">
        <v>1.2732012173058862</v>
      </c>
    </row>
    <row r="686" spans="11:15">
      <c r="K686" s="1471">
        <v>42743</v>
      </c>
      <c r="L686" s="1472"/>
      <c r="M686" s="1473">
        <v>0</v>
      </c>
      <c r="N686" s="1474">
        <v>1.2722923233872556</v>
      </c>
      <c r="O686" s="1474">
        <v>1.2732012173058862</v>
      </c>
    </row>
    <row r="687" spans="11:15">
      <c r="K687" s="1471">
        <v>42744</v>
      </c>
      <c r="L687" s="1472" t="s">
        <v>2127</v>
      </c>
      <c r="M687" s="1473">
        <v>5.0788E-2</v>
      </c>
      <c r="N687" s="1474">
        <v>1.2729384952124576</v>
      </c>
      <c r="O687" s="1474">
        <v>1.2738700426373493</v>
      </c>
    </row>
    <row r="688" spans="11:15">
      <c r="K688" s="1471">
        <v>42745</v>
      </c>
      <c r="L688" s="1472" t="s">
        <v>2127</v>
      </c>
      <c r="M688" s="1473">
        <v>5.0788E-2</v>
      </c>
      <c r="N688" s="1474">
        <v>1.2735849952154061</v>
      </c>
      <c r="O688" s="1474">
        <v>1.2745392193094471</v>
      </c>
    </row>
    <row r="689" spans="11:15">
      <c r="K689" s="1471">
        <v>42746</v>
      </c>
      <c r="L689" s="1472" t="s">
        <v>2127</v>
      </c>
      <c r="M689" s="1473">
        <v>5.0788E-2</v>
      </c>
      <c r="N689" s="1474">
        <v>1.2742318235627761</v>
      </c>
      <c r="O689" s="1474">
        <v>1.2752087475067426</v>
      </c>
    </row>
    <row r="690" spans="11:15">
      <c r="K690" s="1471">
        <v>42747</v>
      </c>
      <c r="L690" s="1472" t="s">
        <v>2127</v>
      </c>
      <c r="M690" s="1473">
        <v>4.8159E-2</v>
      </c>
      <c r="N690" s="1474">
        <v>1.2748454808666856</v>
      </c>
      <c r="O690" s="1474">
        <v>1.2758786274138953</v>
      </c>
    </row>
    <row r="691" spans="11:15">
      <c r="K691" s="1471">
        <v>42748</v>
      </c>
      <c r="L691" s="1472" t="s">
        <v>2127</v>
      </c>
      <c r="M691" s="1473">
        <v>4.8159E-2</v>
      </c>
      <c r="N691" s="1474">
        <v>1.2754594337018161</v>
      </c>
      <c r="O691" s="1474">
        <v>1.2765488592156622</v>
      </c>
    </row>
    <row r="692" spans="11:15">
      <c r="K692" s="1471">
        <v>42749</v>
      </c>
      <c r="L692" s="1472"/>
      <c r="M692" s="1473">
        <v>0</v>
      </c>
      <c r="N692" s="1474">
        <v>1.2754594337018161</v>
      </c>
      <c r="O692" s="1474">
        <v>1.2765488592156622</v>
      </c>
    </row>
    <row r="693" spans="11:15">
      <c r="K693" s="1471">
        <v>42750</v>
      </c>
      <c r="L693" s="1472"/>
      <c r="M693" s="1473">
        <v>0</v>
      </c>
      <c r="N693" s="1474">
        <v>1.2754594337018161</v>
      </c>
      <c r="O693" s="1474">
        <v>1.2765488592156622</v>
      </c>
    </row>
    <row r="694" spans="11:15">
      <c r="K694" s="1471">
        <v>42751</v>
      </c>
      <c r="L694" s="1472" t="s">
        <v>2127</v>
      </c>
      <c r="M694" s="1473">
        <v>4.8159E-2</v>
      </c>
      <c r="N694" s="1474">
        <v>1.2760736822104926</v>
      </c>
      <c r="O694" s="1474">
        <v>1.2772194430968968</v>
      </c>
    </row>
    <row r="695" spans="11:15">
      <c r="K695" s="1471">
        <v>42752</v>
      </c>
      <c r="L695" s="1472" t="s">
        <v>2127</v>
      </c>
      <c r="M695" s="1473">
        <v>4.8159E-2</v>
      </c>
      <c r="N695" s="1474">
        <v>1.2766882265351083</v>
      </c>
      <c r="O695" s="1474">
        <v>1.27789037924255</v>
      </c>
    </row>
    <row r="696" spans="11:15">
      <c r="K696" s="1471">
        <v>42753</v>
      </c>
      <c r="L696" s="1472" t="s">
        <v>2127</v>
      </c>
      <c r="M696" s="1473">
        <v>4.8159E-2</v>
      </c>
      <c r="N696" s="1474">
        <v>1.2773030668181251</v>
      </c>
      <c r="O696" s="1474">
        <v>1.2785616678376699</v>
      </c>
    </row>
    <row r="697" spans="11:15">
      <c r="K697" s="1471">
        <v>42754</v>
      </c>
      <c r="L697" s="1472" t="s">
        <v>2127</v>
      </c>
      <c r="M697" s="1473">
        <v>4.8159E-2</v>
      </c>
      <c r="N697" s="1474">
        <v>1.2779182032020739</v>
      </c>
      <c r="O697" s="1474">
        <v>1.2792333090674017</v>
      </c>
    </row>
    <row r="698" spans="11:15">
      <c r="K698" s="1471">
        <v>42755</v>
      </c>
      <c r="L698" s="1472" t="s">
        <v>2127</v>
      </c>
      <c r="M698" s="1473">
        <v>4.8159E-2</v>
      </c>
      <c r="N698" s="1474">
        <v>1.278533635829554</v>
      </c>
      <c r="O698" s="1474">
        <v>1.279905303116988</v>
      </c>
    </row>
    <row r="699" spans="11:15">
      <c r="K699" s="1471">
        <v>42756</v>
      </c>
      <c r="L699" s="1472"/>
      <c r="M699" s="1473">
        <v>0</v>
      </c>
      <c r="N699" s="1474">
        <v>1.278533635829554</v>
      </c>
      <c r="O699" s="1474">
        <v>1.279905303116988</v>
      </c>
    </row>
    <row r="700" spans="11:15">
      <c r="K700" s="1471">
        <v>42757</v>
      </c>
      <c r="L700" s="1472"/>
      <c r="M700" s="1473">
        <v>0</v>
      </c>
      <c r="N700" s="1474">
        <v>1.278533635829554</v>
      </c>
      <c r="O700" s="1474">
        <v>1.279905303116988</v>
      </c>
    </row>
    <row r="701" spans="11:15">
      <c r="K701" s="1471">
        <v>42758</v>
      </c>
      <c r="L701" s="1472" t="s">
        <v>2127</v>
      </c>
      <c r="M701" s="1473">
        <v>4.8159E-2</v>
      </c>
      <c r="N701" s="1474">
        <v>1.279149364843233</v>
      </c>
      <c r="O701" s="1474">
        <v>1.2805776501717685</v>
      </c>
    </row>
    <row r="702" spans="11:15">
      <c r="K702" s="1471">
        <v>42759</v>
      </c>
      <c r="L702" s="1472" t="s">
        <v>2127</v>
      </c>
      <c r="M702" s="1473">
        <v>4.8159E-2</v>
      </c>
      <c r="N702" s="1474">
        <v>1.2797653903858479</v>
      </c>
      <c r="O702" s="1474">
        <v>1.2812503504171802</v>
      </c>
    </row>
    <row r="703" spans="11:15">
      <c r="K703" s="1471">
        <v>42760</v>
      </c>
      <c r="L703" s="1472" t="s">
        <v>2127</v>
      </c>
      <c r="M703" s="1473">
        <v>4.8159E-2</v>
      </c>
      <c r="N703" s="1474">
        <v>1.2803817126002037</v>
      </c>
      <c r="O703" s="1474">
        <v>1.2819234040387577</v>
      </c>
    </row>
    <row r="704" spans="11:15">
      <c r="K704" s="1471">
        <v>42761</v>
      </c>
      <c r="L704" s="1472" t="s">
        <v>2127</v>
      </c>
      <c r="M704" s="1473">
        <v>4.8159E-2</v>
      </c>
      <c r="N704" s="1474">
        <v>1.2809983316291746</v>
      </c>
      <c r="O704" s="1474">
        <v>1.2825968112221333</v>
      </c>
    </row>
    <row r="705" spans="11:15">
      <c r="K705" s="1471">
        <v>42762</v>
      </c>
      <c r="L705" s="1472" t="s">
        <v>2127</v>
      </c>
      <c r="M705" s="1473">
        <v>4.8159E-2</v>
      </c>
      <c r="N705" s="1474">
        <v>1.2816152476157039</v>
      </c>
      <c r="O705" s="1474">
        <v>1.2832705721530364</v>
      </c>
    </row>
    <row r="706" spans="11:15">
      <c r="K706" s="1471">
        <v>42763</v>
      </c>
      <c r="L706" s="1472"/>
      <c r="M706" s="1473">
        <v>0</v>
      </c>
      <c r="N706" s="1474">
        <v>1.2816152476157039</v>
      </c>
      <c r="O706" s="1474">
        <v>1.2832705721530364</v>
      </c>
    </row>
    <row r="707" spans="11:15">
      <c r="K707" s="1471">
        <v>42764</v>
      </c>
      <c r="L707" s="1472"/>
      <c r="M707" s="1473">
        <v>0</v>
      </c>
      <c r="N707" s="1474">
        <v>1.2816152476157039</v>
      </c>
      <c r="O707" s="1474">
        <v>1.2832705721530364</v>
      </c>
    </row>
    <row r="708" spans="11:15">
      <c r="K708" s="1471">
        <v>42765</v>
      </c>
      <c r="L708" s="1472" t="s">
        <v>2127</v>
      </c>
      <c r="M708" s="1473">
        <v>4.8159E-2</v>
      </c>
      <c r="N708" s="1474">
        <v>1.2822324607028031</v>
      </c>
      <c r="O708" s="1474">
        <v>1.2839446870172941</v>
      </c>
    </row>
    <row r="709" spans="11:15">
      <c r="K709" s="1471">
        <v>42766</v>
      </c>
      <c r="L709" s="1472" t="s">
        <v>2127</v>
      </c>
      <c r="M709" s="1473">
        <v>4.8159E-2</v>
      </c>
      <c r="N709" s="1474">
        <v>1.2828499710335528</v>
      </c>
      <c r="O709" s="1474">
        <v>1.2846191560008311</v>
      </c>
    </row>
    <row r="710" spans="11:15">
      <c r="K710" s="1471">
        <v>42767</v>
      </c>
      <c r="L710" s="1472" t="s">
        <v>2127</v>
      </c>
      <c r="M710" s="1473">
        <v>4.8159E-2</v>
      </c>
      <c r="N710" s="1474">
        <v>1.2834677787511029</v>
      </c>
      <c r="O710" s="1474">
        <v>1.2852939792896698</v>
      </c>
    </row>
    <row r="711" spans="11:15">
      <c r="K711" s="1471">
        <v>42768</v>
      </c>
      <c r="L711" s="1472" t="s">
        <v>2127</v>
      </c>
      <c r="M711" s="1473">
        <v>4.8159E-2</v>
      </c>
      <c r="N711" s="1474">
        <v>1.2840858839986715</v>
      </c>
      <c r="O711" s="1474">
        <v>1.2859691570699305</v>
      </c>
    </row>
    <row r="712" spans="11:15">
      <c r="K712" s="1471">
        <v>42769</v>
      </c>
      <c r="L712" s="1472" t="s">
        <v>2127</v>
      </c>
      <c r="M712" s="1473">
        <v>4.8159E-2</v>
      </c>
      <c r="N712" s="1474">
        <v>1.2847042869195464</v>
      </c>
      <c r="O712" s="1474">
        <v>1.286644689527831</v>
      </c>
    </row>
    <row r="713" spans="11:15">
      <c r="K713" s="1471">
        <v>42770</v>
      </c>
      <c r="L713" s="1472"/>
      <c r="M713" s="1473">
        <v>0</v>
      </c>
      <c r="N713" s="1474">
        <v>1.2847042869195464</v>
      </c>
      <c r="O713" s="1474">
        <v>1.286644689527831</v>
      </c>
    </row>
    <row r="714" spans="11:15">
      <c r="K714" s="1471">
        <v>42771</v>
      </c>
      <c r="L714" s="1472"/>
      <c r="M714" s="1473">
        <v>0</v>
      </c>
      <c r="N714" s="1474">
        <v>1.2847042869195464</v>
      </c>
      <c r="O714" s="1474">
        <v>1.286644689527831</v>
      </c>
    </row>
    <row r="715" spans="11:15">
      <c r="K715" s="1471">
        <v>42772</v>
      </c>
      <c r="L715" s="1472" t="s">
        <v>2127</v>
      </c>
      <c r="M715" s="1473">
        <v>4.8159E-2</v>
      </c>
      <c r="N715" s="1474">
        <v>1.285322987657084</v>
      </c>
      <c r="O715" s="1474">
        <v>1.2873205768496869</v>
      </c>
    </row>
    <row r="716" spans="11:15">
      <c r="K716" s="1471">
        <v>42773</v>
      </c>
      <c r="L716" s="1472" t="s">
        <v>2127</v>
      </c>
      <c r="M716" s="1473">
        <v>4.8159E-2</v>
      </c>
      <c r="N716" s="1474">
        <v>1.2859419863547097</v>
      </c>
      <c r="O716" s="1474">
        <v>1.2879968192219118</v>
      </c>
    </row>
    <row r="717" spans="11:15">
      <c r="K717" s="1471">
        <v>42774</v>
      </c>
      <c r="L717" s="1472" t="s">
        <v>2127</v>
      </c>
      <c r="M717" s="1473">
        <v>4.8159E-2</v>
      </c>
      <c r="N717" s="1474">
        <v>1.2865612831559181</v>
      </c>
      <c r="O717" s="1474">
        <v>1.2886734168310172</v>
      </c>
    </row>
    <row r="718" spans="11:15">
      <c r="K718" s="1471">
        <v>42775</v>
      </c>
      <c r="L718" s="1472" t="s">
        <v>2127</v>
      </c>
      <c r="M718" s="1473">
        <v>4.8159E-2</v>
      </c>
      <c r="N718" s="1474">
        <v>1.2871808782042731</v>
      </c>
      <c r="O718" s="1474">
        <v>1.2893503698636126</v>
      </c>
    </row>
    <row r="719" spans="11:15">
      <c r="K719" s="1471">
        <v>42776</v>
      </c>
      <c r="L719" s="1472" t="s">
        <v>2127</v>
      </c>
      <c r="M719" s="1473">
        <v>4.8159E-2</v>
      </c>
      <c r="N719" s="1474">
        <v>1.2878007716434074</v>
      </c>
      <c r="O719" s="1474">
        <v>1.2900276785064058</v>
      </c>
    </row>
    <row r="720" spans="11:15">
      <c r="K720" s="1471">
        <v>42777</v>
      </c>
      <c r="L720" s="1472"/>
      <c r="M720" s="1473">
        <v>0</v>
      </c>
      <c r="N720" s="1474">
        <v>1.2878007716434074</v>
      </c>
      <c r="O720" s="1474">
        <v>1.2900276785064058</v>
      </c>
    </row>
    <row r="721" spans="11:15">
      <c r="K721" s="1471">
        <v>42778</v>
      </c>
      <c r="L721" s="1472"/>
      <c r="M721" s="1473">
        <v>0</v>
      </c>
      <c r="N721" s="1474">
        <v>1.2878007716434074</v>
      </c>
      <c r="O721" s="1474">
        <v>1.2900276785064058</v>
      </c>
    </row>
    <row r="722" spans="11:15">
      <c r="K722" s="1471">
        <v>42779</v>
      </c>
      <c r="L722" s="1472" t="s">
        <v>2127</v>
      </c>
      <c r="M722" s="1473">
        <v>4.8159E-2</v>
      </c>
      <c r="N722" s="1474">
        <v>1.2884209636170232</v>
      </c>
      <c r="O722" s="1474">
        <v>1.2907053429462019</v>
      </c>
    </row>
    <row r="723" spans="11:15">
      <c r="K723" s="1471">
        <v>42780</v>
      </c>
      <c r="L723" s="1472" t="s">
        <v>2127</v>
      </c>
      <c r="M723" s="1473">
        <v>4.8159E-2</v>
      </c>
      <c r="N723" s="1474">
        <v>1.2890414542688915</v>
      </c>
      <c r="O723" s="1474">
        <v>1.291383363369905</v>
      </c>
    </row>
    <row r="724" spans="11:15">
      <c r="K724" s="1471">
        <v>42781</v>
      </c>
      <c r="L724" s="1472" t="s">
        <v>2127</v>
      </c>
      <c r="M724" s="1473">
        <v>4.8159E-2</v>
      </c>
      <c r="N724" s="1474">
        <v>1.2896622437428527</v>
      </c>
      <c r="O724" s="1474">
        <v>1.2920617399645169</v>
      </c>
    </row>
    <row r="725" spans="11:15">
      <c r="K725" s="1471">
        <v>42782</v>
      </c>
      <c r="L725" s="1472" t="s">
        <v>2127</v>
      </c>
      <c r="M725" s="1473">
        <v>4.8159E-2</v>
      </c>
      <c r="N725" s="1474">
        <v>1.2902833321828167</v>
      </c>
      <c r="O725" s="1474">
        <v>1.2927404729171377</v>
      </c>
    </row>
    <row r="726" spans="11:15">
      <c r="K726" s="1471">
        <v>42783</v>
      </c>
      <c r="L726" s="1472" t="s">
        <v>2127</v>
      </c>
      <c r="M726" s="1473">
        <v>4.8159E-2</v>
      </c>
      <c r="N726" s="1474">
        <v>1.2909047197327626</v>
      </c>
      <c r="O726" s="1474">
        <v>1.2934195624149658</v>
      </c>
    </row>
    <row r="727" spans="11:15">
      <c r="K727" s="1471">
        <v>42784</v>
      </c>
      <c r="L727" s="1472"/>
      <c r="M727" s="1473">
        <v>0</v>
      </c>
      <c r="N727" s="1474">
        <v>1.2909047197327626</v>
      </c>
      <c r="O727" s="1474">
        <v>1.2934195624149658</v>
      </c>
    </row>
    <row r="728" spans="11:15">
      <c r="K728" s="1471">
        <v>42785</v>
      </c>
      <c r="L728" s="1472"/>
      <c r="M728" s="1473">
        <v>0</v>
      </c>
      <c r="N728" s="1474">
        <v>1.2909047197327626</v>
      </c>
      <c r="O728" s="1474">
        <v>1.2934195624149658</v>
      </c>
    </row>
    <row r="729" spans="11:15">
      <c r="K729" s="1471">
        <v>42786</v>
      </c>
      <c r="L729" s="1472" t="s">
        <v>2127</v>
      </c>
      <c r="M729" s="1473">
        <v>4.8159E-2</v>
      </c>
      <c r="N729" s="1474">
        <v>1.2915264065367384</v>
      </c>
      <c r="O729" s="1474">
        <v>1.2940990086452979</v>
      </c>
    </row>
    <row r="730" spans="11:15">
      <c r="K730" s="1471">
        <v>42787</v>
      </c>
      <c r="L730" s="1472" t="s">
        <v>2127</v>
      </c>
      <c r="M730" s="1473">
        <v>4.8159E-2</v>
      </c>
      <c r="N730" s="1474">
        <v>1.2921483927388624</v>
      </c>
      <c r="O730" s="1474">
        <v>1.2947788117955294</v>
      </c>
    </row>
    <row r="731" spans="11:15">
      <c r="K731" s="1471">
        <v>42788</v>
      </c>
      <c r="L731" s="1472" t="s">
        <v>2127</v>
      </c>
      <c r="M731" s="1473">
        <v>4.8159E-2</v>
      </c>
      <c r="N731" s="1474">
        <v>1.2927706784833215</v>
      </c>
      <c r="O731" s="1474">
        <v>1.2954589720531537</v>
      </c>
    </row>
    <row r="732" spans="11:15">
      <c r="K732" s="1471">
        <v>42789</v>
      </c>
      <c r="L732" s="1472" t="s">
        <v>2127</v>
      </c>
      <c r="M732" s="1473">
        <v>4.5512999999999998E-2</v>
      </c>
      <c r="N732" s="1474">
        <v>1.2933590572022196</v>
      </c>
      <c r="O732" s="1474">
        <v>1.296139489605763</v>
      </c>
    </row>
    <row r="733" spans="11:15">
      <c r="K733" s="1471">
        <v>42790</v>
      </c>
      <c r="L733" s="1472" t="s">
        <v>2127</v>
      </c>
      <c r="M733" s="1473">
        <v>4.5512999999999998E-2</v>
      </c>
      <c r="N733" s="1474">
        <v>1.2939477037099241</v>
      </c>
      <c r="O733" s="1474">
        <v>1.2968203646410479</v>
      </c>
    </row>
    <row r="734" spans="11:15">
      <c r="K734" s="1471">
        <v>42791</v>
      </c>
      <c r="L734" s="1472"/>
      <c r="M734" s="1473">
        <v>0</v>
      </c>
      <c r="N734" s="1474">
        <v>1.2939477037099241</v>
      </c>
      <c r="O734" s="1474">
        <v>1.2968203646410479</v>
      </c>
    </row>
    <row r="735" spans="11:15">
      <c r="K735" s="1471">
        <v>42792</v>
      </c>
      <c r="L735" s="1472"/>
      <c r="M735" s="1473">
        <v>0</v>
      </c>
      <c r="N735" s="1474">
        <v>1.2939477037099241</v>
      </c>
      <c r="O735" s="1474">
        <v>1.2968203646410479</v>
      </c>
    </row>
    <row r="736" spans="11:15">
      <c r="K736" s="1471">
        <v>42793</v>
      </c>
      <c r="L736" s="1472"/>
      <c r="M736" s="1473">
        <v>0</v>
      </c>
      <c r="N736" s="1474">
        <v>1.2939477037099241</v>
      </c>
      <c r="O736" s="1474">
        <v>1.2968203646410479</v>
      </c>
    </row>
    <row r="737" spans="11:15">
      <c r="K737" s="1471">
        <v>42794</v>
      </c>
      <c r="L737" s="1472"/>
      <c r="M737" s="1473">
        <v>0</v>
      </c>
      <c r="N737" s="1474">
        <v>1.2939477037099241</v>
      </c>
      <c r="O737" s="1474">
        <v>1.2968203646410479</v>
      </c>
    </row>
    <row r="738" spans="11:15">
      <c r="K738" s="1471">
        <v>42795</v>
      </c>
      <c r="L738" s="1472" t="s">
        <v>2127</v>
      </c>
      <c r="M738" s="1473">
        <v>4.5512999999999998E-2</v>
      </c>
      <c r="N738" s="1474">
        <v>1.2945366181283136</v>
      </c>
      <c r="O738" s="1474">
        <v>1.2975015973467974</v>
      </c>
    </row>
    <row r="739" spans="11:15">
      <c r="K739" s="1471">
        <v>42796</v>
      </c>
      <c r="L739" s="1472" t="s">
        <v>2127</v>
      </c>
      <c r="M739" s="1473">
        <v>4.5512999999999998E-2</v>
      </c>
      <c r="N739" s="1474">
        <v>1.2951258005793223</v>
      </c>
      <c r="O739" s="1474">
        <v>1.2981831879108996</v>
      </c>
    </row>
    <row r="740" spans="11:15">
      <c r="K740" s="1471">
        <v>42797</v>
      </c>
      <c r="L740" s="1472" t="s">
        <v>2127</v>
      </c>
      <c r="M740" s="1473">
        <v>4.5512999999999998E-2</v>
      </c>
      <c r="N740" s="1474">
        <v>1.2957152511849399</v>
      </c>
      <c r="O740" s="1474">
        <v>1.2988651365213411</v>
      </c>
    </row>
    <row r="741" spans="11:15">
      <c r="K741" s="1471">
        <v>42798</v>
      </c>
      <c r="L741" s="1472"/>
      <c r="M741" s="1473">
        <v>0</v>
      </c>
      <c r="N741" s="1474">
        <v>1.2957152511849399</v>
      </c>
      <c r="O741" s="1474">
        <v>1.2988651365213411</v>
      </c>
    </row>
    <row r="742" spans="11:15">
      <c r="K742" s="1471">
        <v>42799</v>
      </c>
      <c r="L742" s="1472"/>
      <c r="M742" s="1473">
        <v>0</v>
      </c>
      <c r="N742" s="1474">
        <v>1.2957152511849399</v>
      </c>
      <c r="O742" s="1474">
        <v>1.2988651365213411</v>
      </c>
    </row>
    <row r="743" spans="11:15">
      <c r="K743" s="1471">
        <v>42800</v>
      </c>
      <c r="L743" s="1472" t="s">
        <v>2127</v>
      </c>
      <c r="M743" s="1473">
        <v>4.5512999999999998E-2</v>
      </c>
      <c r="N743" s="1474">
        <v>1.2963049700672116</v>
      </c>
      <c r="O743" s="1474">
        <v>1.2995474433662071</v>
      </c>
    </row>
    <row r="744" spans="11:15">
      <c r="K744" s="1471">
        <v>42801</v>
      </c>
      <c r="L744" s="1472" t="s">
        <v>2127</v>
      </c>
      <c r="M744" s="1473">
        <v>4.5512999999999998E-2</v>
      </c>
      <c r="N744" s="1474">
        <v>1.2968949573482382</v>
      </c>
      <c r="O744" s="1474">
        <v>1.3002301086336818</v>
      </c>
    </row>
    <row r="745" spans="11:15">
      <c r="K745" s="1471">
        <v>42802</v>
      </c>
      <c r="L745" s="1472" t="s">
        <v>2127</v>
      </c>
      <c r="M745" s="1473">
        <v>4.5512999999999998E-2</v>
      </c>
      <c r="N745" s="1474">
        <v>1.2974852131501762</v>
      </c>
      <c r="O745" s="1474">
        <v>1.3009131325120482</v>
      </c>
    </row>
    <row r="746" spans="11:15">
      <c r="K746" s="1471">
        <v>42803</v>
      </c>
      <c r="L746" s="1472" t="s">
        <v>2127</v>
      </c>
      <c r="M746" s="1473">
        <v>4.5512999999999998E-2</v>
      </c>
      <c r="N746" s="1474">
        <v>1.2980757375952372</v>
      </c>
      <c r="O746" s="1474">
        <v>1.3015965151896882</v>
      </c>
    </row>
    <row r="747" spans="11:15">
      <c r="K747" s="1471">
        <v>42804</v>
      </c>
      <c r="L747" s="1472" t="s">
        <v>2127</v>
      </c>
      <c r="M747" s="1473">
        <v>4.5512999999999998E-2</v>
      </c>
      <c r="N747" s="1474">
        <v>1.2986665308056888</v>
      </c>
      <c r="O747" s="1474">
        <v>1.3022802568550824</v>
      </c>
    </row>
    <row r="748" spans="11:15">
      <c r="K748" s="1471">
        <v>42805</v>
      </c>
      <c r="L748" s="1472"/>
      <c r="M748" s="1473">
        <v>0</v>
      </c>
      <c r="N748" s="1474">
        <v>1.2986665308056888</v>
      </c>
      <c r="O748" s="1474">
        <v>1.3022802568550824</v>
      </c>
    </row>
    <row r="749" spans="11:15">
      <c r="K749" s="1471">
        <v>42806</v>
      </c>
      <c r="L749" s="1472"/>
      <c r="M749" s="1473">
        <v>0</v>
      </c>
      <c r="N749" s="1474">
        <v>1.2986665308056888</v>
      </c>
      <c r="O749" s="1474">
        <v>1.3022802568550824</v>
      </c>
    </row>
    <row r="750" spans="11:15">
      <c r="K750" s="1471">
        <v>42807</v>
      </c>
      <c r="L750" s="1472" t="s">
        <v>2127</v>
      </c>
      <c r="M750" s="1473">
        <v>4.5512999999999998E-2</v>
      </c>
      <c r="N750" s="1474">
        <v>1.2992575929038543</v>
      </c>
      <c r="O750" s="1474">
        <v>1.3029643576968111</v>
      </c>
    </row>
    <row r="751" spans="11:15">
      <c r="K751" s="1471">
        <v>42808</v>
      </c>
      <c r="L751" s="1472" t="s">
        <v>2127</v>
      </c>
      <c r="M751" s="1473">
        <v>4.5512999999999998E-2</v>
      </c>
      <c r="N751" s="1474">
        <v>1.2998489240121127</v>
      </c>
      <c r="O751" s="1474">
        <v>1.3036488179035528</v>
      </c>
    </row>
    <row r="752" spans="11:15">
      <c r="K752" s="1471">
        <v>42809</v>
      </c>
      <c r="L752" s="1472" t="s">
        <v>2127</v>
      </c>
      <c r="M752" s="1473">
        <v>4.5512999999999998E-2</v>
      </c>
      <c r="N752" s="1474">
        <v>1.3004405242528982</v>
      </c>
      <c r="O752" s="1474">
        <v>1.3043336376640857</v>
      </c>
    </row>
    <row r="753" spans="11:15">
      <c r="K753" s="1471">
        <v>42810</v>
      </c>
      <c r="L753" s="1472" t="s">
        <v>2127</v>
      </c>
      <c r="M753" s="1473">
        <v>4.5512999999999998E-2</v>
      </c>
      <c r="N753" s="1474">
        <v>1.3010323937487014</v>
      </c>
      <c r="O753" s="1474">
        <v>1.305018817167287</v>
      </c>
    </row>
    <row r="754" spans="11:15">
      <c r="K754" s="1471">
        <v>42811</v>
      </c>
      <c r="L754" s="1472" t="s">
        <v>2127</v>
      </c>
      <c r="M754" s="1473">
        <v>4.5512999999999998E-2</v>
      </c>
      <c r="N754" s="1474">
        <v>1.3016245326220681</v>
      </c>
      <c r="O754" s="1474">
        <v>1.3057043566021331</v>
      </c>
    </row>
    <row r="755" spans="11:15">
      <c r="K755" s="1471">
        <v>42812</v>
      </c>
      <c r="L755" s="1472"/>
      <c r="M755" s="1473">
        <v>0</v>
      </c>
      <c r="N755" s="1474">
        <v>1.3016245326220681</v>
      </c>
      <c r="O755" s="1474">
        <v>1.3057043566021331</v>
      </c>
    </row>
    <row r="756" spans="11:15">
      <c r="K756" s="1471">
        <v>42813</v>
      </c>
      <c r="L756" s="1472"/>
      <c r="M756" s="1473">
        <v>0</v>
      </c>
      <c r="N756" s="1474">
        <v>1.3016245326220681</v>
      </c>
      <c r="O756" s="1474">
        <v>1.3057043566021331</v>
      </c>
    </row>
    <row r="757" spans="11:15">
      <c r="K757" s="1471">
        <v>42814</v>
      </c>
      <c r="L757" s="1472" t="s">
        <v>2127</v>
      </c>
      <c r="M757" s="1473">
        <v>4.5512999999999998E-2</v>
      </c>
      <c r="N757" s="1474">
        <v>1.3022169409956004</v>
      </c>
      <c r="O757" s="1474">
        <v>1.3063902561576999</v>
      </c>
    </row>
    <row r="758" spans="11:15">
      <c r="K758" s="1471">
        <v>42815</v>
      </c>
      <c r="L758" s="1472" t="s">
        <v>2127</v>
      </c>
      <c r="M758" s="1473">
        <v>4.5512999999999998E-2</v>
      </c>
      <c r="N758" s="1474">
        <v>1.3028096189919556</v>
      </c>
      <c r="O758" s="1474">
        <v>1.3070765160231621</v>
      </c>
    </row>
    <row r="759" spans="11:15">
      <c r="K759" s="1471">
        <v>42816</v>
      </c>
      <c r="L759" s="1472" t="s">
        <v>2127</v>
      </c>
      <c r="M759" s="1473">
        <v>4.5512999999999998E-2</v>
      </c>
      <c r="N759" s="1474">
        <v>1.3034025667338474</v>
      </c>
      <c r="O759" s="1474">
        <v>1.3077631363877942</v>
      </c>
    </row>
    <row r="760" spans="11:15">
      <c r="K760" s="1471">
        <v>42817</v>
      </c>
      <c r="L760" s="1472" t="s">
        <v>2127</v>
      </c>
      <c r="M760" s="1473">
        <v>4.5512999999999998E-2</v>
      </c>
      <c r="N760" s="1474">
        <v>1.3039957843440448</v>
      </c>
      <c r="O760" s="1474">
        <v>1.30845011744097</v>
      </c>
    </row>
    <row r="761" spans="11:15">
      <c r="K761" s="1471">
        <v>42818</v>
      </c>
      <c r="L761" s="1472" t="s">
        <v>2127</v>
      </c>
      <c r="M761" s="1473">
        <v>4.5512999999999998E-2</v>
      </c>
      <c r="N761" s="1474">
        <v>1.3045892719453733</v>
      </c>
      <c r="O761" s="1474">
        <v>1.309137459372163</v>
      </c>
    </row>
    <row r="762" spans="11:15">
      <c r="K762" s="1471">
        <v>42819</v>
      </c>
      <c r="L762" s="1472"/>
      <c r="M762" s="1473">
        <v>0</v>
      </c>
      <c r="N762" s="1474">
        <v>1.3045892719453733</v>
      </c>
      <c r="O762" s="1474">
        <v>1.309137459372163</v>
      </c>
    </row>
    <row r="763" spans="11:15">
      <c r="K763" s="1471">
        <v>42820</v>
      </c>
      <c r="L763" s="1472"/>
      <c r="M763" s="1473">
        <v>0</v>
      </c>
      <c r="N763" s="1474">
        <v>1.3045892719453733</v>
      </c>
      <c r="O763" s="1474">
        <v>1.309137459372163</v>
      </c>
    </row>
    <row r="764" spans="11:15">
      <c r="K764" s="1471">
        <v>42821</v>
      </c>
      <c r="L764" s="1472" t="s">
        <v>2127</v>
      </c>
      <c r="M764" s="1473">
        <v>4.5512999999999998E-2</v>
      </c>
      <c r="N764" s="1474">
        <v>1.3051830296607139</v>
      </c>
      <c r="O764" s="1474">
        <v>1.3098251623709458</v>
      </c>
    </row>
    <row r="765" spans="11:15">
      <c r="K765" s="1471">
        <v>42822</v>
      </c>
      <c r="L765" s="1472" t="s">
        <v>2127</v>
      </c>
      <c r="M765" s="1473">
        <v>4.5512999999999998E-2</v>
      </c>
      <c r="N765" s="1474">
        <v>1.3057770576130032</v>
      </c>
      <c r="O765" s="1474">
        <v>1.310513226626991</v>
      </c>
    </row>
    <row r="766" spans="11:15">
      <c r="K766" s="1471">
        <v>42823</v>
      </c>
      <c r="L766" s="1472" t="s">
        <v>2127</v>
      </c>
      <c r="M766" s="1473">
        <v>4.5512999999999998E-2</v>
      </c>
      <c r="N766" s="1474">
        <v>1.3063713559252346</v>
      </c>
      <c r="O766" s="1474">
        <v>1.3112016523300705</v>
      </c>
    </row>
    <row r="767" spans="11:15">
      <c r="K767" s="1471">
        <v>42824</v>
      </c>
      <c r="L767" s="1472" t="s">
        <v>2127</v>
      </c>
      <c r="M767" s="1473">
        <v>4.5512999999999998E-2</v>
      </c>
      <c r="N767" s="1474">
        <v>1.3069659247204568</v>
      </c>
      <c r="O767" s="1474">
        <v>1.3118904396700559</v>
      </c>
    </row>
    <row r="768" spans="11:15">
      <c r="K768" s="1471">
        <v>42825</v>
      </c>
      <c r="L768" s="1472" t="s">
        <v>2127</v>
      </c>
      <c r="M768" s="1473">
        <v>4.5512999999999998E-2</v>
      </c>
      <c r="N768" s="1474">
        <v>1.3075607641217748</v>
      </c>
      <c r="O768" s="1474">
        <v>1.3125795888369189</v>
      </c>
    </row>
    <row r="769" spans="11:15">
      <c r="K769" s="1471">
        <v>42826</v>
      </c>
      <c r="L769" s="1472"/>
      <c r="M769" s="1473">
        <v>0</v>
      </c>
      <c r="N769" s="1474">
        <v>1.3075607641217748</v>
      </c>
      <c r="O769" s="1474">
        <v>1.3125795888369189</v>
      </c>
    </row>
    <row r="770" spans="11:15">
      <c r="K770" s="1471">
        <v>42827</v>
      </c>
      <c r="L770" s="1472"/>
      <c r="M770" s="1473">
        <v>0</v>
      </c>
      <c r="N770" s="1474">
        <v>1.3075607641217748</v>
      </c>
      <c r="O770" s="1474">
        <v>1.3125795888369189</v>
      </c>
    </row>
    <row r="771" spans="11:15">
      <c r="K771" s="1471">
        <v>42828</v>
      </c>
      <c r="L771" s="1472" t="s">
        <v>2127</v>
      </c>
      <c r="M771" s="1473">
        <v>4.5512999999999998E-2</v>
      </c>
      <c r="N771" s="1474">
        <v>1.3081558742523496</v>
      </c>
      <c r="O771" s="1474">
        <v>1.3132691000207308</v>
      </c>
    </row>
    <row r="772" spans="11:15">
      <c r="K772" s="1471">
        <v>42829</v>
      </c>
      <c r="L772" s="1472" t="s">
        <v>2127</v>
      </c>
      <c r="M772" s="1473">
        <v>4.5512999999999998E-2</v>
      </c>
      <c r="N772" s="1474">
        <v>1.3087512552353979</v>
      </c>
      <c r="O772" s="1474">
        <v>1.3139589734116628</v>
      </c>
    </row>
    <row r="773" spans="11:15">
      <c r="K773" s="1471">
        <v>42830</v>
      </c>
      <c r="L773" s="1472" t="s">
        <v>2127</v>
      </c>
      <c r="M773" s="1473">
        <v>4.5512999999999998E-2</v>
      </c>
      <c r="N773" s="1474">
        <v>1.3093469071941932</v>
      </c>
      <c r="O773" s="1474">
        <v>1.3146492091999857</v>
      </c>
    </row>
    <row r="774" spans="11:15">
      <c r="K774" s="1471">
        <v>42831</v>
      </c>
      <c r="L774" s="1472" t="s">
        <v>2127</v>
      </c>
      <c r="M774" s="1473">
        <v>4.5512999999999998E-2</v>
      </c>
      <c r="N774" s="1474">
        <v>1.3099428302520644</v>
      </c>
      <c r="O774" s="1474">
        <v>1.3153398075760705</v>
      </c>
    </row>
    <row r="775" spans="11:15">
      <c r="K775" s="1471">
        <v>42832</v>
      </c>
      <c r="L775" s="1472" t="s">
        <v>2127</v>
      </c>
      <c r="M775" s="1473">
        <v>4.5512999999999998E-2</v>
      </c>
      <c r="N775" s="1474">
        <v>1.3105390245323969</v>
      </c>
      <c r="O775" s="1474">
        <v>1.3160307687303883</v>
      </c>
    </row>
    <row r="776" spans="11:15">
      <c r="K776" s="1471">
        <v>42833</v>
      </c>
      <c r="L776" s="1472"/>
      <c r="M776" s="1473">
        <v>0</v>
      </c>
      <c r="N776" s="1474">
        <v>1.3105390245323969</v>
      </c>
      <c r="O776" s="1474">
        <v>1.3160307687303883</v>
      </c>
    </row>
    <row r="777" spans="11:15">
      <c r="K777" s="1471">
        <v>42834</v>
      </c>
      <c r="L777" s="1472"/>
      <c r="M777" s="1473">
        <v>0</v>
      </c>
      <c r="N777" s="1474">
        <v>1.3105390245323969</v>
      </c>
      <c r="O777" s="1474">
        <v>1.3160307687303883</v>
      </c>
    </row>
    <row r="778" spans="11:15">
      <c r="K778" s="1471">
        <v>42835</v>
      </c>
      <c r="L778" s="1472" t="s">
        <v>2127</v>
      </c>
      <c r="M778" s="1473">
        <v>4.5512999999999998E-2</v>
      </c>
      <c r="N778" s="1474">
        <v>1.3111354901586323</v>
      </c>
      <c r="O778" s="1474">
        <v>1.3167220928535099</v>
      </c>
    </row>
    <row r="779" spans="11:15">
      <c r="K779" s="1471">
        <v>42836</v>
      </c>
      <c r="L779" s="1472" t="s">
        <v>2127</v>
      </c>
      <c r="M779" s="1473">
        <v>4.5512999999999998E-2</v>
      </c>
      <c r="N779" s="1474">
        <v>1.3117322272542682</v>
      </c>
      <c r="O779" s="1474">
        <v>1.3174137801361068</v>
      </c>
    </row>
    <row r="780" spans="11:15">
      <c r="K780" s="1471">
        <v>42837</v>
      </c>
      <c r="L780" s="1472" t="s">
        <v>2127</v>
      </c>
      <c r="M780" s="1473">
        <v>4.5512999999999998E-2</v>
      </c>
      <c r="N780" s="1474">
        <v>1.3123292359428584</v>
      </c>
      <c r="O780" s="1474">
        <v>1.3181058307689502</v>
      </c>
    </row>
    <row r="781" spans="11:15">
      <c r="K781" s="1471">
        <v>42838</v>
      </c>
      <c r="L781" s="1472" t="s">
        <v>2127</v>
      </c>
      <c r="M781" s="1473">
        <v>4.1957000000000001E-2</v>
      </c>
      <c r="N781" s="1474">
        <v>1.3128798499203831</v>
      </c>
      <c r="O781" s="1474">
        <v>1.3187982449429114</v>
      </c>
    </row>
    <row r="782" spans="11:15">
      <c r="K782" s="1471">
        <v>42839</v>
      </c>
      <c r="L782" s="1472"/>
      <c r="M782" s="1473">
        <v>0</v>
      </c>
      <c r="N782" s="1474">
        <v>1.3128798499203831</v>
      </c>
      <c r="O782" s="1474">
        <v>1.3187982449429114</v>
      </c>
    </row>
    <row r="783" spans="11:15">
      <c r="K783" s="1471">
        <v>42840</v>
      </c>
      <c r="L783" s="1472"/>
      <c r="M783" s="1473">
        <v>0</v>
      </c>
      <c r="N783" s="1474">
        <v>1.3128798499203831</v>
      </c>
      <c r="O783" s="1474">
        <v>1.3187982449429114</v>
      </c>
    </row>
    <row r="784" spans="11:15">
      <c r="K784" s="1471">
        <v>42841</v>
      </c>
      <c r="L784" s="1472"/>
      <c r="M784" s="1473">
        <v>0</v>
      </c>
      <c r="N784" s="1474">
        <v>1.3128798499203831</v>
      </c>
      <c r="O784" s="1474">
        <v>1.3187982449429114</v>
      </c>
    </row>
    <row r="785" spans="11:15">
      <c r="K785" s="1471">
        <v>42842</v>
      </c>
      <c r="L785" s="1472" t="s">
        <v>2127</v>
      </c>
      <c r="M785" s="1473">
        <v>4.1957000000000001E-2</v>
      </c>
      <c r="N785" s="1474">
        <v>1.3134306949190142</v>
      </c>
      <c r="O785" s="1474">
        <v>1.3194910228489625</v>
      </c>
    </row>
    <row r="786" spans="11:15">
      <c r="K786" s="1471">
        <v>42843</v>
      </c>
      <c r="L786" s="1472" t="s">
        <v>2127</v>
      </c>
      <c r="M786" s="1473">
        <v>4.1957000000000001E-2</v>
      </c>
      <c r="N786" s="1474">
        <v>1.3139817710356814</v>
      </c>
      <c r="O786" s="1474">
        <v>1.3201841646781753</v>
      </c>
    </row>
    <row r="787" spans="11:15">
      <c r="K787" s="1471">
        <v>42844</v>
      </c>
      <c r="L787" s="1472" t="s">
        <v>2127</v>
      </c>
      <c r="M787" s="1473">
        <v>4.1957000000000001E-2</v>
      </c>
      <c r="N787" s="1474">
        <v>1.3145330783673548</v>
      </c>
      <c r="O787" s="1474">
        <v>1.3208776706217225</v>
      </c>
    </row>
    <row r="788" spans="11:15">
      <c r="K788" s="1471">
        <v>42845</v>
      </c>
      <c r="L788" s="1472" t="s">
        <v>2127</v>
      </c>
      <c r="M788" s="1473">
        <v>4.1957000000000001E-2</v>
      </c>
      <c r="N788" s="1474">
        <v>1.3150846170110455</v>
      </c>
      <c r="O788" s="1474">
        <v>1.3215715408708768</v>
      </c>
    </row>
    <row r="789" spans="11:15">
      <c r="K789" s="1471">
        <v>42846</v>
      </c>
      <c r="L789" s="1472"/>
      <c r="M789" s="1473">
        <v>0</v>
      </c>
      <c r="N789" s="1474">
        <v>1.3150846170110455</v>
      </c>
      <c r="O789" s="1474">
        <v>1.3215715408708768</v>
      </c>
    </row>
    <row r="790" spans="11:15">
      <c r="K790" s="1471">
        <v>42847</v>
      </c>
      <c r="L790" s="1472"/>
      <c r="M790" s="1473">
        <v>0</v>
      </c>
      <c r="N790" s="1474">
        <v>1.3150846170110455</v>
      </c>
      <c r="O790" s="1474">
        <v>1.3215715408708768</v>
      </c>
    </row>
    <row r="791" spans="11:15">
      <c r="K791" s="1471">
        <v>42848</v>
      </c>
      <c r="L791" s="1472"/>
      <c r="M791" s="1473">
        <v>0</v>
      </c>
      <c r="N791" s="1474">
        <v>1.3150846170110455</v>
      </c>
      <c r="O791" s="1474">
        <v>1.3215715408708768</v>
      </c>
    </row>
    <row r="792" spans="11:15">
      <c r="K792" s="1471">
        <v>42849</v>
      </c>
      <c r="L792" s="1472" t="s">
        <v>2127</v>
      </c>
      <c r="M792" s="1473">
        <v>4.1957000000000001E-2</v>
      </c>
      <c r="N792" s="1474">
        <v>1.3156363870638048</v>
      </c>
      <c r="O792" s="1474">
        <v>1.3222657756170118</v>
      </c>
    </row>
    <row r="793" spans="11:15">
      <c r="K793" s="1471">
        <v>42850</v>
      </c>
      <c r="L793" s="1472" t="s">
        <v>2127</v>
      </c>
      <c r="M793" s="1473">
        <v>4.1957000000000001E-2</v>
      </c>
      <c r="N793" s="1474">
        <v>1.3161883886227252</v>
      </c>
      <c r="O793" s="1474">
        <v>1.322960375051601</v>
      </c>
    </row>
    <row r="794" spans="11:15">
      <c r="K794" s="1471">
        <v>42851</v>
      </c>
      <c r="L794" s="1472" t="s">
        <v>2127</v>
      </c>
      <c r="M794" s="1473">
        <v>4.1957000000000001E-2</v>
      </c>
      <c r="N794" s="1474">
        <v>1.3167406217849398</v>
      </c>
      <c r="O794" s="1474">
        <v>1.3236553393662194</v>
      </c>
    </row>
    <row r="795" spans="11:15">
      <c r="K795" s="1471">
        <v>42852</v>
      </c>
      <c r="L795" s="1472" t="s">
        <v>2127</v>
      </c>
      <c r="M795" s="1473">
        <v>4.1957000000000001E-2</v>
      </c>
      <c r="N795" s="1474">
        <v>1.3172930866476222</v>
      </c>
      <c r="O795" s="1474">
        <v>1.3243506687525419</v>
      </c>
    </row>
    <row r="796" spans="11:15">
      <c r="K796" s="1471">
        <v>42853</v>
      </c>
      <c r="L796" s="1472" t="s">
        <v>2127</v>
      </c>
      <c r="M796" s="1473">
        <v>4.1957000000000001E-2</v>
      </c>
      <c r="N796" s="1474">
        <v>1.3178457833079871</v>
      </c>
      <c r="O796" s="1474">
        <v>1.3250463634023444</v>
      </c>
    </row>
    <row r="797" spans="11:15">
      <c r="K797" s="1471">
        <v>42854</v>
      </c>
      <c r="L797" s="1472"/>
      <c r="M797" s="1473">
        <v>0</v>
      </c>
      <c r="N797" s="1474">
        <v>1.3178457833079871</v>
      </c>
      <c r="O797" s="1474">
        <v>1.3250463634023444</v>
      </c>
    </row>
    <row r="798" spans="11:15">
      <c r="K798" s="1471">
        <v>42855</v>
      </c>
      <c r="L798" s="1472"/>
      <c r="M798" s="1473">
        <v>0</v>
      </c>
      <c r="N798" s="1474">
        <v>1.3178457833079871</v>
      </c>
      <c r="O798" s="1474">
        <v>1.3250463634023444</v>
      </c>
    </row>
    <row r="799" spans="11:15">
      <c r="K799" s="1471">
        <v>42856</v>
      </c>
      <c r="L799" s="1472"/>
      <c r="M799" s="1473">
        <v>0</v>
      </c>
      <c r="N799" s="1474">
        <v>1.3178457833079871</v>
      </c>
      <c r="O799" s="1474">
        <v>1.3250463634023444</v>
      </c>
    </row>
    <row r="800" spans="11:15">
      <c r="K800" s="1471">
        <v>42857</v>
      </c>
      <c r="L800" s="1472" t="s">
        <v>2127</v>
      </c>
      <c r="M800" s="1473">
        <v>4.1957000000000001E-2</v>
      </c>
      <c r="N800" s="1474">
        <v>1.3183987118632896</v>
      </c>
      <c r="O800" s="1474">
        <v>1.3257424235075033</v>
      </c>
    </row>
    <row r="801" spans="11:15">
      <c r="K801" s="1471">
        <v>42858</v>
      </c>
      <c r="L801" s="1472" t="s">
        <v>2127</v>
      </c>
      <c r="M801" s="1473">
        <v>4.1957000000000001E-2</v>
      </c>
      <c r="N801" s="1474">
        <v>1.3189518724108262</v>
      </c>
      <c r="O801" s="1474">
        <v>1.3264388492599959</v>
      </c>
    </row>
    <row r="802" spans="11:15">
      <c r="K802" s="1471">
        <v>42859</v>
      </c>
      <c r="L802" s="1472" t="s">
        <v>2127</v>
      </c>
      <c r="M802" s="1473">
        <v>4.1957000000000001E-2</v>
      </c>
      <c r="N802" s="1474">
        <v>1.3195052650479338</v>
      </c>
      <c r="O802" s="1474">
        <v>1.3271356408519006</v>
      </c>
    </row>
    <row r="803" spans="11:15">
      <c r="K803" s="1471">
        <v>42860</v>
      </c>
      <c r="L803" s="1472" t="s">
        <v>2127</v>
      </c>
      <c r="M803" s="1473">
        <v>4.1957000000000001E-2</v>
      </c>
      <c r="N803" s="1474">
        <v>1.32005888987199</v>
      </c>
      <c r="O803" s="1474">
        <v>1.3278327984753966</v>
      </c>
    </row>
    <row r="804" spans="11:15">
      <c r="K804" s="1471">
        <v>42861</v>
      </c>
      <c r="L804" s="1472"/>
      <c r="M804" s="1473">
        <v>0</v>
      </c>
      <c r="N804" s="1474">
        <v>1.32005888987199</v>
      </c>
      <c r="O804" s="1474">
        <v>1.3278327984753966</v>
      </c>
    </row>
    <row r="805" spans="11:15">
      <c r="K805" s="1471">
        <v>42862</v>
      </c>
      <c r="L805" s="1472"/>
      <c r="M805" s="1473">
        <v>0</v>
      </c>
      <c r="N805" s="1474">
        <v>1.32005888987199</v>
      </c>
      <c r="O805" s="1474">
        <v>1.3278327984753966</v>
      </c>
    </row>
    <row r="806" spans="11:15">
      <c r="K806" s="1471">
        <v>42863</v>
      </c>
      <c r="L806" s="1472" t="s">
        <v>2127</v>
      </c>
      <c r="M806" s="1473">
        <v>4.1957000000000001E-2</v>
      </c>
      <c r="N806" s="1474">
        <v>1.3206127469804136</v>
      </c>
      <c r="O806" s="1474">
        <v>1.3285303223227638</v>
      </c>
    </row>
    <row r="807" spans="11:15">
      <c r="K807" s="1471">
        <v>42864</v>
      </c>
      <c r="L807" s="1472" t="s">
        <v>2127</v>
      </c>
      <c r="M807" s="1473">
        <v>4.1957000000000001E-2</v>
      </c>
      <c r="N807" s="1474">
        <v>1.3211668364706644</v>
      </c>
      <c r="O807" s="1474">
        <v>1.3292282125863832</v>
      </c>
    </row>
    <row r="808" spans="11:15">
      <c r="K808" s="1471">
        <v>42865</v>
      </c>
      <c r="L808" s="1472" t="s">
        <v>2127</v>
      </c>
      <c r="M808" s="1473">
        <v>4.1957000000000001E-2</v>
      </c>
      <c r="N808" s="1474">
        <v>1.3217211584402424</v>
      </c>
      <c r="O808" s="1474">
        <v>1.3299264694587369</v>
      </c>
    </row>
    <row r="809" spans="11:15">
      <c r="K809" s="1471">
        <v>42866</v>
      </c>
      <c r="L809" s="1472" t="s">
        <v>2127</v>
      </c>
      <c r="M809" s="1473">
        <v>4.1957000000000001E-2</v>
      </c>
      <c r="N809" s="1474">
        <v>1.3222757129866893</v>
      </c>
      <c r="O809" s="1474">
        <v>1.3306250931324084</v>
      </c>
    </row>
    <row r="810" spans="11:15">
      <c r="K810" s="1471">
        <v>42867</v>
      </c>
      <c r="L810" s="1472" t="s">
        <v>2127</v>
      </c>
      <c r="M810" s="1473">
        <v>4.1957000000000001E-2</v>
      </c>
      <c r="N810" s="1474">
        <v>1.3228305002075873</v>
      </c>
      <c r="O810" s="1474">
        <v>1.3313240838000817</v>
      </c>
    </row>
    <row r="811" spans="11:15">
      <c r="K811" s="1471">
        <v>42868</v>
      </c>
      <c r="L811" s="1472"/>
      <c r="M811" s="1473">
        <v>0</v>
      </c>
      <c r="N811" s="1474">
        <v>1.3228305002075873</v>
      </c>
      <c r="O811" s="1474">
        <v>1.3313240838000817</v>
      </c>
    </row>
    <row r="812" spans="11:15">
      <c r="K812" s="1471">
        <v>42869</v>
      </c>
      <c r="L812" s="1472"/>
      <c r="M812" s="1473">
        <v>0</v>
      </c>
      <c r="N812" s="1474">
        <v>1.3228305002075873</v>
      </c>
      <c r="O812" s="1474">
        <v>1.3313240838000817</v>
      </c>
    </row>
    <row r="813" spans="11:15">
      <c r="K813" s="1471">
        <v>42870</v>
      </c>
      <c r="L813" s="1472" t="s">
        <v>2127</v>
      </c>
      <c r="M813" s="1473">
        <v>4.1957000000000001E-2</v>
      </c>
      <c r="N813" s="1474">
        <v>1.3233855202005596</v>
      </c>
      <c r="O813" s="1474">
        <v>1.3320234416545427</v>
      </c>
    </row>
    <row r="814" spans="11:15">
      <c r="K814" s="1471">
        <v>42871</v>
      </c>
      <c r="L814" s="1472" t="s">
        <v>2127</v>
      </c>
      <c r="M814" s="1473">
        <v>4.1957000000000001E-2</v>
      </c>
      <c r="N814" s="1474">
        <v>1.3239407730632702</v>
      </c>
      <c r="O814" s="1474">
        <v>1.3327231668886783</v>
      </c>
    </row>
    <row r="815" spans="11:15">
      <c r="K815" s="1471">
        <v>42872</v>
      </c>
      <c r="L815" s="1472" t="s">
        <v>2127</v>
      </c>
      <c r="M815" s="1473">
        <v>4.1957000000000001E-2</v>
      </c>
      <c r="N815" s="1474">
        <v>1.3244962588934244</v>
      </c>
      <c r="O815" s="1474">
        <v>1.3334232596954767</v>
      </c>
    </row>
    <row r="816" spans="11:15">
      <c r="K816" s="1471">
        <v>42873</v>
      </c>
      <c r="L816" s="1472" t="s">
        <v>2127</v>
      </c>
      <c r="M816" s="1473">
        <v>4.1957000000000001E-2</v>
      </c>
      <c r="N816" s="1474">
        <v>1.3250519777887684</v>
      </c>
      <c r="O816" s="1474">
        <v>1.3341237202680274</v>
      </c>
    </row>
    <row r="817" spans="11:15">
      <c r="K817" s="1471">
        <v>42874</v>
      </c>
      <c r="L817" s="1472" t="s">
        <v>2127</v>
      </c>
      <c r="M817" s="1473">
        <v>4.1957000000000001E-2</v>
      </c>
      <c r="N817" s="1474">
        <v>1.3256079298470893</v>
      </c>
      <c r="O817" s="1474">
        <v>1.3348245487995214</v>
      </c>
    </row>
    <row r="818" spans="11:15">
      <c r="K818" s="1471">
        <v>42875</v>
      </c>
      <c r="L818" s="1472"/>
      <c r="M818" s="1473">
        <v>0</v>
      </c>
      <c r="N818" s="1474">
        <v>1.3256079298470893</v>
      </c>
      <c r="O818" s="1474">
        <v>1.3348245487995214</v>
      </c>
    </row>
    <row r="819" spans="11:15">
      <c r="K819" s="1471">
        <v>42876</v>
      </c>
      <c r="L819" s="1472"/>
      <c r="M819" s="1473">
        <v>0</v>
      </c>
      <c r="N819" s="1474">
        <v>1.3256079298470893</v>
      </c>
      <c r="O819" s="1474">
        <v>1.3348245487995214</v>
      </c>
    </row>
    <row r="820" spans="11:15">
      <c r="K820" s="1471">
        <v>42877</v>
      </c>
      <c r="L820" s="1472" t="s">
        <v>2127</v>
      </c>
      <c r="M820" s="1473">
        <v>4.1957000000000001E-2</v>
      </c>
      <c r="N820" s="1474">
        <v>1.3261641151662154</v>
      </c>
      <c r="O820" s="1474">
        <v>1.3355257454832512</v>
      </c>
    </row>
    <row r="821" spans="11:15">
      <c r="K821" s="1471">
        <v>42878</v>
      </c>
      <c r="L821" s="1472" t="s">
        <v>2127</v>
      </c>
      <c r="M821" s="1473">
        <v>4.1957000000000001E-2</v>
      </c>
      <c r="N821" s="1474">
        <v>1.3267205338440158</v>
      </c>
      <c r="O821" s="1474">
        <v>1.336227310512611</v>
      </c>
    </row>
    <row r="822" spans="11:15">
      <c r="K822" s="1471">
        <v>42879</v>
      </c>
      <c r="L822" s="1472" t="s">
        <v>2127</v>
      </c>
      <c r="M822" s="1473">
        <v>4.1957000000000001E-2</v>
      </c>
      <c r="N822" s="1474">
        <v>1.3272771859784007</v>
      </c>
      <c r="O822" s="1474">
        <v>1.3369292440810965</v>
      </c>
    </row>
    <row r="823" spans="11:15">
      <c r="K823" s="1471">
        <v>42880</v>
      </c>
      <c r="L823" s="1472" t="s">
        <v>2127</v>
      </c>
      <c r="M823" s="1473">
        <v>4.1957000000000001E-2</v>
      </c>
      <c r="N823" s="1474">
        <v>1.3278340716673218</v>
      </c>
      <c r="O823" s="1474">
        <v>1.3376315463823047</v>
      </c>
    </row>
    <row r="824" spans="11:15">
      <c r="K824" s="1471">
        <v>42881</v>
      </c>
      <c r="L824" s="1472" t="s">
        <v>2127</v>
      </c>
      <c r="M824" s="1473">
        <v>4.1957000000000001E-2</v>
      </c>
      <c r="N824" s="1474">
        <v>1.3283911910087713</v>
      </c>
      <c r="O824" s="1474">
        <v>1.3383342176099349</v>
      </c>
    </row>
    <row r="825" spans="11:15">
      <c r="K825" s="1471">
        <v>42882</v>
      </c>
      <c r="L825" s="1472"/>
      <c r="M825" s="1473">
        <v>0</v>
      </c>
      <c r="N825" s="1474">
        <v>1.3283911910087713</v>
      </c>
      <c r="O825" s="1474">
        <v>1.3383342176099349</v>
      </c>
    </row>
    <row r="826" spans="11:15">
      <c r="K826" s="1471">
        <v>42883</v>
      </c>
      <c r="L826" s="1472"/>
      <c r="M826" s="1473">
        <v>0</v>
      </c>
      <c r="N826" s="1474">
        <v>1.3283911910087713</v>
      </c>
      <c r="O826" s="1474">
        <v>1.3383342176099349</v>
      </c>
    </row>
    <row r="827" spans="11:15">
      <c r="K827" s="1471">
        <v>42884</v>
      </c>
      <c r="L827" s="1472" t="s">
        <v>2127</v>
      </c>
      <c r="M827" s="1473">
        <v>4.1957000000000001E-2</v>
      </c>
      <c r="N827" s="1474">
        <v>1.3289485441007829</v>
      </c>
      <c r="O827" s="1474">
        <v>1.3390372579577876</v>
      </c>
    </row>
    <row r="828" spans="11:15">
      <c r="K828" s="1471">
        <v>42885</v>
      </c>
      <c r="L828" s="1472" t="s">
        <v>2127</v>
      </c>
      <c r="M828" s="1473">
        <v>4.1957000000000001E-2</v>
      </c>
      <c r="N828" s="1474">
        <v>1.3295061310414313</v>
      </c>
      <c r="O828" s="1474">
        <v>1.3397406676197654</v>
      </c>
    </row>
    <row r="829" spans="11:15">
      <c r="K829" s="1471">
        <v>42886</v>
      </c>
      <c r="L829" s="1472" t="s">
        <v>2127</v>
      </c>
      <c r="M829" s="1473">
        <v>4.1957000000000001E-2</v>
      </c>
      <c r="N829" s="1474">
        <v>1.3300639519288324</v>
      </c>
      <c r="O829" s="1474">
        <v>1.3404444467898728</v>
      </c>
    </row>
    <row r="830" spans="11:15">
      <c r="K830" s="1471">
        <v>42887</v>
      </c>
      <c r="L830" s="1472" t="s">
        <v>2127</v>
      </c>
      <c r="M830" s="1473">
        <v>3.8370000000000001E-2</v>
      </c>
      <c r="N830" s="1474">
        <v>1.3305742974671875</v>
      </c>
      <c r="O830" s="1474">
        <v>1.341148595662216</v>
      </c>
    </row>
    <row r="831" spans="11:15">
      <c r="K831" s="1471">
        <v>42888</v>
      </c>
      <c r="L831" s="1472" t="s">
        <v>2127</v>
      </c>
      <c r="M831" s="1473">
        <v>3.8370000000000001E-2</v>
      </c>
      <c r="N831" s="1474">
        <v>1.3310848388251255</v>
      </c>
      <c r="O831" s="1474">
        <v>1.3418531144310033</v>
      </c>
    </row>
    <row r="832" spans="11:15">
      <c r="K832" s="1471">
        <v>42889</v>
      </c>
      <c r="L832" s="1472"/>
      <c r="M832" s="1473">
        <v>0</v>
      </c>
      <c r="N832" s="1474">
        <v>1.3310848388251255</v>
      </c>
      <c r="O832" s="1474">
        <v>1.3418531144310033</v>
      </c>
    </row>
    <row r="833" spans="11:15">
      <c r="K833" s="1471">
        <v>42890</v>
      </c>
      <c r="L833" s="1472"/>
      <c r="M833" s="1473">
        <v>0</v>
      </c>
      <c r="N833" s="1474">
        <v>1.3310848388251255</v>
      </c>
      <c r="O833" s="1474">
        <v>1.3418531144310033</v>
      </c>
    </row>
    <row r="834" spans="11:15">
      <c r="K834" s="1471">
        <v>42891</v>
      </c>
      <c r="L834" s="1472" t="s">
        <v>2127</v>
      </c>
      <c r="M834" s="1473">
        <v>3.8370000000000001E-2</v>
      </c>
      <c r="N834" s="1474">
        <v>1.3315955760777827</v>
      </c>
      <c r="O834" s="1474">
        <v>1.3425580032905451</v>
      </c>
    </row>
    <row r="835" spans="11:15">
      <c r="K835" s="1471">
        <v>42892</v>
      </c>
      <c r="L835" s="1472" t="s">
        <v>2127</v>
      </c>
      <c r="M835" s="1473">
        <v>3.8370000000000001E-2</v>
      </c>
      <c r="N835" s="1474">
        <v>1.3321065093003237</v>
      </c>
      <c r="O835" s="1474">
        <v>1.3432632624352536</v>
      </c>
    </row>
    <row r="836" spans="11:15">
      <c r="K836" s="1471">
        <v>42893</v>
      </c>
      <c r="L836" s="1472" t="s">
        <v>2127</v>
      </c>
      <c r="M836" s="1473">
        <v>3.8370000000000001E-2</v>
      </c>
      <c r="N836" s="1474">
        <v>1.3326176385679422</v>
      </c>
      <c r="O836" s="1474">
        <v>1.3439688920596435</v>
      </c>
    </row>
    <row r="837" spans="11:15">
      <c r="K837" s="1471">
        <v>42894</v>
      </c>
      <c r="L837" s="1472" t="s">
        <v>2127</v>
      </c>
      <c r="M837" s="1473">
        <v>3.8370000000000001E-2</v>
      </c>
      <c r="N837" s="1474">
        <v>1.3331289639558608</v>
      </c>
      <c r="O837" s="1474">
        <v>1.3446748923583314</v>
      </c>
    </row>
    <row r="838" spans="11:15">
      <c r="K838" s="1471">
        <v>42895</v>
      </c>
      <c r="L838" s="1472" t="s">
        <v>2127</v>
      </c>
      <c r="M838" s="1473">
        <v>3.8370000000000001E-2</v>
      </c>
      <c r="N838" s="1474">
        <v>1.3336404855393307</v>
      </c>
      <c r="O838" s="1474">
        <v>1.345381263526036</v>
      </c>
    </row>
    <row r="839" spans="11:15">
      <c r="K839" s="1471">
        <v>42896</v>
      </c>
      <c r="L839" s="1472"/>
      <c r="M839" s="1473">
        <v>0</v>
      </c>
      <c r="N839" s="1474">
        <v>1.3336404855393307</v>
      </c>
      <c r="O839" s="1474">
        <v>1.345381263526036</v>
      </c>
    </row>
    <row r="840" spans="11:15">
      <c r="K840" s="1471">
        <v>42897</v>
      </c>
      <c r="L840" s="1472"/>
      <c r="M840" s="1473">
        <v>0</v>
      </c>
      <c r="N840" s="1474">
        <v>1.3336404855393307</v>
      </c>
      <c r="O840" s="1474">
        <v>1.345381263526036</v>
      </c>
    </row>
    <row r="841" spans="11:15">
      <c r="K841" s="1471">
        <v>42898</v>
      </c>
      <c r="L841" s="1472" t="s">
        <v>2127</v>
      </c>
      <c r="M841" s="1473">
        <v>3.8370000000000001E-2</v>
      </c>
      <c r="N841" s="1474">
        <v>1.3341522033936322</v>
      </c>
      <c r="O841" s="1474">
        <v>1.3460880057575788</v>
      </c>
    </row>
    <row r="842" spans="11:15">
      <c r="K842" s="1471">
        <v>42899</v>
      </c>
      <c r="L842" s="1472" t="s">
        <v>2127</v>
      </c>
      <c r="M842" s="1473">
        <v>3.8370000000000001E-2</v>
      </c>
      <c r="N842" s="1474">
        <v>1.3346641175940743</v>
      </c>
      <c r="O842" s="1474">
        <v>1.3467951192478833</v>
      </c>
    </row>
    <row r="843" spans="11:15">
      <c r="K843" s="1471">
        <v>42900</v>
      </c>
      <c r="L843" s="1472" t="s">
        <v>2127</v>
      </c>
      <c r="M843" s="1473">
        <v>3.8370000000000001E-2</v>
      </c>
      <c r="N843" s="1474">
        <v>1.3351762282159951</v>
      </c>
      <c r="O843" s="1474">
        <v>1.3475026041919753</v>
      </c>
    </row>
    <row r="844" spans="11:15">
      <c r="K844" s="1471">
        <v>42901</v>
      </c>
      <c r="L844" s="1472"/>
      <c r="M844" s="1473">
        <v>0</v>
      </c>
      <c r="N844" s="1474">
        <v>1.3351762282159951</v>
      </c>
      <c r="O844" s="1474">
        <v>1.3475026041919753</v>
      </c>
    </row>
    <row r="845" spans="11:15">
      <c r="K845" s="1471">
        <v>42902</v>
      </c>
      <c r="L845" s="1472" t="s">
        <v>2127</v>
      </c>
      <c r="M845" s="1473">
        <v>3.8370000000000001E-2</v>
      </c>
      <c r="N845" s="1474">
        <v>1.3356885353347616</v>
      </c>
      <c r="O845" s="1474">
        <v>1.3482104607849834</v>
      </c>
    </row>
    <row r="846" spans="11:15">
      <c r="K846" s="1471">
        <v>42903</v>
      </c>
      <c r="L846" s="1472"/>
      <c r="M846" s="1473">
        <v>0</v>
      </c>
      <c r="N846" s="1474">
        <v>1.3356885353347616</v>
      </c>
      <c r="O846" s="1474">
        <v>1.3482104607849834</v>
      </c>
    </row>
    <row r="847" spans="11:15">
      <c r="K847" s="1471">
        <v>42904</v>
      </c>
      <c r="L847" s="1472"/>
      <c r="M847" s="1473">
        <v>0</v>
      </c>
      <c r="N847" s="1474">
        <v>1.3356885353347616</v>
      </c>
      <c r="O847" s="1474">
        <v>1.3482104607849834</v>
      </c>
    </row>
    <row r="848" spans="11:15">
      <c r="K848" s="1471">
        <v>42905</v>
      </c>
      <c r="L848" s="1472" t="s">
        <v>2127</v>
      </c>
      <c r="M848" s="1473">
        <v>3.8370000000000001E-2</v>
      </c>
      <c r="N848" s="1474">
        <v>1.3362010390257695</v>
      </c>
      <c r="O848" s="1474">
        <v>1.3489186892221383</v>
      </c>
    </row>
    <row r="849" spans="11:15">
      <c r="K849" s="1471">
        <v>42906</v>
      </c>
      <c r="L849" s="1472" t="s">
        <v>2127</v>
      </c>
      <c r="M849" s="1473">
        <v>3.8370000000000001E-2</v>
      </c>
      <c r="N849" s="1474">
        <v>1.3367137393644437</v>
      </c>
      <c r="O849" s="1474">
        <v>1.3496272896987735</v>
      </c>
    </row>
    <row r="850" spans="11:15">
      <c r="K850" s="1471">
        <v>42907</v>
      </c>
      <c r="L850" s="1472" t="s">
        <v>2127</v>
      </c>
      <c r="M850" s="1473">
        <v>3.8370000000000001E-2</v>
      </c>
      <c r="N850" s="1474">
        <v>1.3372266364262377</v>
      </c>
      <c r="O850" s="1474">
        <v>1.3503362624103252</v>
      </c>
    </row>
    <row r="851" spans="11:15">
      <c r="K851" s="1471">
        <v>42908</v>
      </c>
      <c r="L851" s="1472" t="s">
        <v>2127</v>
      </c>
      <c r="M851" s="1473">
        <v>3.8370000000000001E-2</v>
      </c>
      <c r="N851" s="1474">
        <v>1.3377397302866345</v>
      </c>
      <c r="O851" s="1474">
        <v>1.3510456075523321</v>
      </c>
    </row>
    <row r="852" spans="11:15">
      <c r="K852" s="1471">
        <v>42909</v>
      </c>
      <c r="L852" s="1472" t="s">
        <v>2127</v>
      </c>
      <c r="M852" s="1473">
        <v>3.8370000000000001E-2</v>
      </c>
      <c r="N852" s="1474">
        <v>1.3382530210211454</v>
      </c>
      <c r="O852" s="1474">
        <v>1.3517553253204353</v>
      </c>
    </row>
    <row r="853" spans="11:15">
      <c r="K853" s="1471">
        <v>42910</v>
      </c>
      <c r="L853" s="1472"/>
      <c r="M853" s="1473">
        <v>0</v>
      </c>
      <c r="N853" s="1474">
        <v>1.3382530210211454</v>
      </c>
      <c r="O853" s="1474">
        <v>1.3517553253204353</v>
      </c>
    </row>
    <row r="854" spans="11:15">
      <c r="K854" s="1471">
        <v>42911</v>
      </c>
      <c r="L854" s="1472"/>
      <c r="M854" s="1473">
        <v>0</v>
      </c>
      <c r="N854" s="1474">
        <v>1.3382530210211454</v>
      </c>
      <c r="O854" s="1474">
        <v>1.3517553253204353</v>
      </c>
    </row>
    <row r="855" spans="11:15">
      <c r="K855" s="1471">
        <v>42912</v>
      </c>
      <c r="L855" s="1472" t="s">
        <v>2127</v>
      </c>
      <c r="M855" s="1473">
        <v>3.8370000000000001E-2</v>
      </c>
      <c r="N855" s="1474">
        <v>1.3387665087053111</v>
      </c>
      <c r="O855" s="1474">
        <v>1.3524654159103793</v>
      </c>
    </row>
    <row r="856" spans="11:15">
      <c r="K856" s="1471">
        <v>42913</v>
      </c>
      <c r="L856" s="1472" t="s">
        <v>2127</v>
      </c>
      <c r="M856" s="1473">
        <v>3.8370000000000001E-2</v>
      </c>
      <c r="N856" s="1474">
        <v>1.3392801934147014</v>
      </c>
      <c r="O856" s="1474">
        <v>1.3531758795180111</v>
      </c>
    </row>
    <row r="857" spans="11:15">
      <c r="K857" s="1471">
        <v>42914</v>
      </c>
      <c r="L857" s="1472" t="s">
        <v>2127</v>
      </c>
      <c r="M857" s="1473">
        <v>3.8370000000000001E-2</v>
      </c>
      <c r="N857" s="1474">
        <v>1.3397940752249147</v>
      </c>
      <c r="O857" s="1474">
        <v>1.3538867163392807</v>
      </c>
    </row>
    <row r="858" spans="11:15">
      <c r="K858" s="1471">
        <v>42915</v>
      </c>
      <c r="L858" s="1472" t="s">
        <v>2127</v>
      </c>
      <c r="M858" s="1473">
        <v>3.8370000000000001E-2</v>
      </c>
      <c r="N858" s="1474">
        <v>1.3403081542115785</v>
      </c>
      <c r="O858" s="1474">
        <v>1.3545979265702408</v>
      </c>
    </row>
    <row r="859" spans="11:15">
      <c r="K859" s="1471">
        <v>42916</v>
      </c>
      <c r="L859" s="1472" t="s">
        <v>2127</v>
      </c>
      <c r="M859" s="1473">
        <v>3.8370000000000001E-2</v>
      </c>
      <c r="N859" s="1474">
        <v>1.3408224304503493</v>
      </c>
      <c r="O859" s="1474">
        <v>1.3553095104070474</v>
      </c>
    </row>
    <row r="860" spans="11:15">
      <c r="K860" s="1471">
        <v>42917</v>
      </c>
      <c r="L860" s="1472"/>
      <c r="M860" s="1473">
        <v>0</v>
      </c>
      <c r="N860" s="1474">
        <v>1.3408224304503493</v>
      </c>
      <c r="O860" s="1474">
        <v>1.3553095104070474</v>
      </c>
    </row>
    <row r="861" spans="11:15">
      <c r="K861" s="1471">
        <v>42918</v>
      </c>
      <c r="L861" s="1472"/>
      <c r="M861" s="1473">
        <v>0</v>
      </c>
      <c r="N861" s="1474">
        <v>1.3408224304503493</v>
      </c>
      <c r="O861" s="1474">
        <v>1.3553095104070474</v>
      </c>
    </row>
    <row r="862" spans="11:15">
      <c r="K862" s="1471">
        <v>42919</v>
      </c>
      <c r="L862" s="1472" t="s">
        <v>2127</v>
      </c>
      <c r="M862" s="1473">
        <v>3.8370000000000001E-2</v>
      </c>
      <c r="N862" s="1474">
        <v>1.3413369040169132</v>
      </c>
      <c r="O862" s="1474">
        <v>1.3560214680459592</v>
      </c>
    </row>
    <row r="863" spans="11:15">
      <c r="K863" s="1471">
        <v>42920</v>
      </c>
      <c r="L863" s="1472" t="s">
        <v>2127</v>
      </c>
      <c r="M863" s="1473">
        <v>3.8370000000000001E-2</v>
      </c>
      <c r="N863" s="1474">
        <v>1.3418515749869844</v>
      </c>
      <c r="O863" s="1474">
        <v>1.3567337996833384</v>
      </c>
    </row>
    <row r="864" spans="11:15">
      <c r="K864" s="1471">
        <v>42921</v>
      </c>
      <c r="L864" s="1472" t="s">
        <v>2127</v>
      </c>
      <c r="M864" s="1473">
        <v>3.8370000000000001E-2</v>
      </c>
      <c r="N864" s="1474">
        <v>1.342366443436307</v>
      </c>
      <c r="O864" s="1474">
        <v>1.3574465055156502</v>
      </c>
    </row>
    <row r="865" spans="11:15">
      <c r="K865" s="1471">
        <v>42922</v>
      </c>
      <c r="L865" s="1472" t="s">
        <v>2127</v>
      </c>
      <c r="M865" s="1473">
        <v>3.8370000000000001E-2</v>
      </c>
      <c r="N865" s="1474">
        <v>1.3428815094406534</v>
      </c>
      <c r="O865" s="1474">
        <v>1.3581595857394626</v>
      </c>
    </row>
    <row r="866" spans="11:15">
      <c r="K866" s="1471">
        <v>42923</v>
      </c>
      <c r="L866" s="1472" t="s">
        <v>2127</v>
      </c>
      <c r="M866" s="1473">
        <v>3.8370000000000001E-2</v>
      </c>
      <c r="N866" s="1474">
        <v>1.3433967730758258</v>
      </c>
      <c r="O866" s="1474">
        <v>1.3588730405514473</v>
      </c>
    </row>
    <row r="867" spans="11:15">
      <c r="K867" s="1471">
        <v>42924</v>
      </c>
      <c r="L867" s="1472"/>
      <c r="M867" s="1473">
        <v>0</v>
      </c>
      <c r="N867" s="1474">
        <v>1.3433967730758258</v>
      </c>
      <c r="O867" s="1474">
        <v>1.3588730405514473</v>
      </c>
    </row>
    <row r="868" spans="11:15">
      <c r="K868" s="1471">
        <v>42925</v>
      </c>
      <c r="L868" s="1472"/>
      <c r="M868" s="1473">
        <v>0</v>
      </c>
      <c r="N868" s="1474">
        <v>1.3433967730758258</v>
      </c>
      <c r="O868" s="1474">
        <v>1.3588730405514473</v>
      </c>
    </row>
    <row r="869" spans="11:15">
      <c r="K869" s="1471">
        <v>42926</v>
      </c>
      <c r="L869" s="1472" t="s">
        <v>2127</v>
      </c>
      <c r="M869" s="1473">
        <v>3.8370000000000001E-2</v>
      </c>
      <c r="N869" s="1474">
        <v>1.3439122344176551</v>
      </c>
      <c r="O869" s="1474">
        <v>1.3595868701483793</v>
      </c>
    </row>
    <row r="870" spans="11:15">
      <c r="K870" s="1471">
        <v>42927</v>
      </c>
      <c r="L870" s="1472" t="s">
        <v>2127</v>
      </c>
      <c r="M870" s="1473">
        <v>3.8370000000000001E-2</v>
      </c>
      <c r="N870" s="1474">
        <v>1.3444278935420011</v>
      </c>
      <c r="O870" s="1474">
        <v>1.3603010747271369</v>
      </c>
    </row>
    <row r="871" spans="11:15">
      <c r="K871" s="1471">
        <v>42928</v>
      </c>
      <c r="L871" s="1472" t="s">
        <v>2127</v>
      </c>
      <c r="M871" s="1473">
        <v>3.8370000000000001E-2</v>
      </c>
      <c r="N871" s="1474">
        <v>1.3449437505247532</v>
      </c>
      <c r="O871" s="1474">
        <v>1.3610156544847019</v>
      </c>
    </row>
    <row r="872" spans="11:15">
      <c r="K872" s="1471">
        <v>42929</v>
      </c>
      <c r="L872" s="1472" t="s">
        <v>2127</v>
      </c>
      <c r="M872" s="1473">
        <v>3.8370000000000001E-2</v>
      </c>
      <c r="N872" s="1474">
        <v>1.3454598054418296</v>
      </c>
      <c r="O872" s="1474">
        <v>1.3617306096181592</v>
      </c>
    </row>
    <row r="873" spans="11:15">
      <c r="K873" s="1471">
        <v>42930</v>
      </c>
      <c r="L873" s="1472" t="s">
        <v>2127</v>
      </c>
      <c r="M873" s="1473">
        <v>3.8370000000000001E-2</v>
      </c>
      <c r="N873" s="1474">
        <v>1.3459760583691776</v>
      </c>
      <c r="O873" s="1474">
        <v>1.3624459403246978</v>
      </c>
    </row>
    <row r="874" spans="11:15">
      <c r="K874" s="1471">
        <v>42931</v>
      </c>
      <c r="L874" s="1472"/>
      <c r="M874" s="1473">
        <v>0</v>
      </c>
      <c r="N874" s="1474">
        <v>1.3459760583691776</v>
      </c>
      <c r="O874" s="1474">
        <v>1.3624459403246978</v>
      </c>
    </row>
    <row r="875" spans="11:15">
      <c r="K875" s="1471">
        <v>42932</v>
      </c>
      <c r="L875" s="1472"/>
      <c r="M875" s="1473">
        <v>0</v>
      </c>
      <c r="N875" s="1474">
        <v>1.3459760583691776</v>
      </c>
      <c r="O875" s="1474">
        <v>1.3624459403246978</v>
      </c>
    </row>
    <row r="876" spans="11:15">
      <c r="K876" s="1471">
        <v>42933</v>
      </c>
      <c r="L876" s="1472" t="s">
        <v>2127</v>
      </c>
      <c r="M876" s="1473">
        <v>3.8370000000000001E-2</v>
      </c>
      <c r="N876" s="1474">
        <v>1.3464925093827738</v>
      </c>
      <c r="O876" s="1474">
        <v>1.3631616468016097</v>
      </c>
    </row>
    <row r="877" spans="11:15">
      <c r="K877" s="1471">
        <v>42934</v>
      </c>
      <c r="L877" s="1472" t="s">
        <v>2127</v>
      </c>
      <c r="M877" s="1473">
        <v>3.8370000000000001E-2</v>
      </c>
      <c r="N877" s="1474">
        <v>1.3470091585586239</v>
      </c>
      <c r="O877" s="1474">
        <v>1.3638777292462911</v>
      </c>
    </row>
    <row r="878" spans="11:15">
      <c r="K878" s="1471">
        <v>42935</v>
      </c>
      <c r="L878" s="1472" t="s">
        <v>2127</v>
      </c>
      <c r="M878" s="1473">
        <v>3.8370000000000001E-2</v>
      </c>
      <c r="N878" s="1474">
        <v>1.3475260059727627</v>
      </c>
      <c r="O878" s="1474">
        <v>1.3645941878562415</v>
      </c>
    </row>
    <row r="879" spans="11:15">
      <c r="K879" s="1471">
        <v>42936</v>
      </c>
      <c r="L879" s="1472" t="s">
        <v>2127</v>
      </c>
      <c r="M879" s="1473">
        <v>3.8370000000000001E-2</v>
      </c>
      <c r="N879" s="1474">
        <v>1.3480430517012545</v>
      </c>
      <c r="O879" s="1474">
        <v>1.3653110228290644</v>
      </c>
    </row>
    <row r="880" spans="11:15">
      <c r="K880" s="1471">
        <v>42937</v>
      </c>
      <c r="L880" s="1472" t="s">
        <v>2127</v>
      </c>
      <c r="M880" s="1473">
        <v>3.8370000000000001E-2</v>
      </c>
      <c r="N880" s="1474">
        <v>1.3485602958201923</v>
      </c>
      <c r="O880" s="1474">
        <v>1.3660282343624668</v>
      </c>
    </row>
    <row r="881" spans="11:15">
      <c r="K881" s="1471">
        <v>42938</v>
      </c>
      <c r="L881" s="1472"/>
      <c r="M881" s="1473">
        <v>0</v>
      </c>
      <c r="N881" s="1474">
        <v>1.3485602958201923</v>
      </c>
      <c r="O881" s="1474">
        <v>1.3660282343624668</v>
      </c>
    </row>
    <row r="882" spans="11:15">
      <c r="K882" s="1471">
        <v>42939</v>
      </c>
      <c r="L882" s="1472"/>
      <c r="M882" s="1473">
        <v>0</v>
      </c>
      <c r="N882" s="1474">
        <v>1.3485602958201923</v>
      </c>
      <c r="O882" s="1474">
        <v>1.3660282343624668</v>
      </c>
    </row>
    <row r="883" spans="11:15">
      <c r="K883" s="1471">
        <v>42940</v>
      </c>
      <c r="L883" s="1472" t="s">
        <v>2127</v>
      </c>
      <c r="M883" s="1473">
        <v>3.8370000000000001E-2</v>
      </c>
      <c r="N883" s="1474">
        <v>1.3490777384056984</v>
      </c>
      <c r="O883" s="1474">
        <v>1.3667458226542597</v>
      </c>
    </row>
    <row r="884" spans="11:15">
      <c r="K884" s="1471">
        <v>42941</v>
      </c>
      <c r="L884" s="1472" t="s">
        <v>2127</v>
      </c>
      <c r="M884" s="1473">
        <v>3.8370000000000001E-2</v>
      </c>
      <c r="N884" s="1474">
        <v>1.3495953795339246</v>
      </c>
      <c r="O884" s="1474">
        <v>1.3674637879023581</v>
      </c>
    </row>
    <row r="885" spans="11:15">
      <c r="K885" s="1471">
        <v>42942</v>
      </c>
      <c r="L885" s="1472" t="s">
        <v>2127</v>
      </c>
      <c r="M885" s="1473">
        <v>3.8370000000000001E-2</v>
      </c>
      <c r="N885" s="1474">
        <v>1.3501132192810517</v>
      </c>
      <c r="O885" s="1474">
        <v>1.3681821303047812</v>
      </c>
    </row>
    <row r="886" spans="11:15">
      <c r="K886" s="1471">
        <v>42943</v>
      </c>
      <c r="L886" s="1472" t="s">
        <v>2127</v>
      </c>
      <c r="M886" s="1473">
        <v>3.4749000000000002E-2</v>
      </c>
      <c r="N886" s="1474">
        <v>1.3505823701236197</v>
      </c>
      <c r="O886" s="1474">
        <v>1.3689008500596516</v>
      </c>
    </row>
    <row r="887" spans="11:15">
      <c r="K887" s="1471">
        <v>42944</v>
      </c>
      <c r="L887" s="1472" t="s">
        <v>2127</v>
      </c>
      <c r="M887" s="1473">
        <v>3.4749000000000002E-2</v>
      </c>
      <c r="N887" s="1474">
        <v>1.351051683991414</v>
      </c>
      <c r="O887" s="1474">
        <v>1.3696199473651964</v>
      </c>
    </row>
    <row r="888" spans="11:15">
      <c r="K888" s="1471">
        <v>42945</v>
      </c>
      <c r="L888" s="1472"/>
      <c r="M888" s="1473">
        <v>0</v>
      </c>
      <c r="N888" s="1474">
        <v>1.351051683991414</v>
      </c>
      <c r="O888" s="1474">
        <v>1.3696199473651964</v>
      </c>
    </row>
    <row r="889" spans="11:15">
      <c r="K889" s="1471">
        <v>42946</v>
      </c>
      <c r="L889" s="1472"/>
      <c r="M889" s="1473">
        <v>0</v>
      </c>
      <c r="N889" s="1474">
        <v>1.351051683991414</v>
      </c>
      <c r="O889" s="1474">
        <v>1.3696199473651964</v>
      </c>
    </row>
    <row r="890" spans="11:15">
      <c r="K890" s="1471">
        <v>42947</v>
      </c>
      <c r="L890" s="1472" t="s">
        <v>2127</v>
      </c>
      <c r="M890" s="1473">
        <v>3.4749000000000002E-2</v>
      </c>
      <c r="N890" s="1474">
        <v>1.3515211609410842</v>
      </c>
      <c r="O890" s="1474">
        <v>1.3703394224197469</v>
      </c>
    </row>
    <row r="891" spans="11:15">
      <c r="K891" s="1471">
        <v>42948</v>
      </c>
      <c r="L891" s="1472" t="s">
        <v>2127</v>
      </c>
      <c r="M891" s="1473">
        <v>3.4749000000000002E-2</v>
      </c>
      <c r="N891" s="1474">
        <v>1.3519908010292996</v>
      </c>
      <c r="O891" s="1474">
        <v>1.3710592754217383</v>
      </c>
    </row>
    <row r="892" spans="11:15">
      <c r="K892" s="1471">
        <v>42949</v>
      </c>
      <c r="L892" s="1472" t="s">
        <v>2127</v>
      </c>
      <c r="M892" s="1473">
        <v>3.4749000000000002E-2</v>
      </c>
      <c r="N892" s="1474">
        <v>1.3524606043127492</v>
      </c>
      <c r="O892" s="1474">
        <v>1.37177950656971</v>
      </c>
    </row>
    <row r="893" spans="11:15">
      <c r="K893" s="1471">
        <v>42950</v>
      </c>
      <c r="L893" s="1472" t="s">
        <v>2127</v>
      </c>
      <c r="M893" s="1473">
        <v>3.4749000000000002E-2</v>
      </c>
      <c r="N893" s="1474">
        <v>1.3529305708481418</v>
      </c>
      <c r="O893" s="1474">
        <v>1.3725001160623063</v>
      </c>
    </row>
    <row r="894" spans="11:15">
      <c r="K894" s="1471">
        <v>42951</v>
      </c>
      <c r="L894" s="1472" t="s">
        <v>2127</v>
      </c>
      <c r="M894" s="1473">
        <v>3.4749000000000002E-2</v>
      </c>
      <c r="N894" s="1474">
        <v>1.353400700692206</v>
      </c>
      <c r="O894" s="1474">
        <v>1.3732211040982749</v>
      </c>
    </row>
    <row r="895" spans="11:15">
      <c r="K895" s="1471">
        <v>42952</v>
      </c>
      <c r="L895" s="1472"/>
      <c r="M895" s="1473">
        <v>0</v>
      </c>
      <c r="N895" s="1474">
        <v>1.353400700692206</v>
      </c>
      <c r="O895" s="1474">
        <v>1.3732211040982749</v>
      </c>
    </row>
    <row r="896" spans="11:15">
      <c r="K896" s="1471">
        <v>42953</v>
      </c>
      <c r="L896" s="1472"/>
      <c r="M896" s="1473">
        <v>0</v>
      </c>
      <c r="N896" s="1474">
        <v>1.353400700692206</v>
      </c>
      <c r="O896" s="1474">
        <v>1.3732211040982749</v>
      </c>
    </row>
    <row r="897" spans="11:15">
      <c r="K897" s="1471">
        <v>42954</v>
      </c>
      <c r="L897" s="1472" t="s">
        <v>2127</v>
      </c>
      <c r="M897" s="1473">
        <v>3.4749000000000002E-2</v>
      </c>
      <c r="N897" s="1474">
        <v>1.3538709939016895</v>
      </c>
      <c r="O897" s="1474">
        <v>1.3739424708764687</v>
      </c>
    </row>
    <row r="898" spans="11:15">
      <c r="K898" s="1471">
        <v>42955</v>
      </c>
      <c r="L898" s="1472" t="s">
        <v>2127</v>
      </c>
      <c r="M898" s="1473">
        <v>3.4749000000000002E-2</v>
      </c>
      <c r="N898" s="1474">
        <v>1.3543414505333604</v>
      </c>
      <c r="O898" s="1474">
        <v>1.3746642165958449</v>
      </c>
    </row>
    <row r="899" spans="11:15">
      <c r="K899" s="1471">
        <v>42956</v>
      </c>
      <c r="L899" s="1472" t="s">
        <v>2127</v>
      </c>
      <c r="M899" s="1473">
        <v>3.4749000000000002E-2</v>
      </c>
      <c r="N899" s="1474">
        <v>1.3548120706440063</v>
      </c>
      <c r="O899" s="1474">
        <v>1.3753863414554648</v>
      </c>
    </row>
    <row r="900" spans="11:15">
      <c r="K900" s="1471">
        <v>42957</v>
      </c>
      <c r="L900" s="1472" t="s">
        <v>2127</v>
      </c>
      <c r="M900" s="1473">
        <v>3.4749000000000002E-2</v>
      </c>
      <c r="N900" s="1474">
        <v>1.3552828542904345</v>
      </c>
      <c r="O900" s="1474">
        <v>1.3761088456544948</v>
      </c>
    </row>
    <row r="901" spans="11:15">
      <c r="K901" s="1471">
        <v>42958</v>
      </c>
      <c r="L901" s="1472" t="s">
        <v>2127</v>
      </c>
      <c r="M901" s="1473">
        <v>3.4749000000000002E-2</v>
      </c>
      <c r="N901" s="1474">
        <v>1.3557538015294719</v>
      </c>
      <c r="O901" s="1474">
        <v>1.3768317293922054</v>
      </c>
    </row>
    <row r="902" spans="11:15">
      <c r="K902" s="1471">
        <v>42959</v>
      </c>
      <c r="L902" s="1472"/>
      <c r="M902" s="1473">
        <v>0</v>
      </c>
      <c r="N902" s="1474">
        <v>1.3557538015294719</v>
      </c>
      <c r="O902" s="1474">
        <v>1.3768317293922054</v>
      </c>
    </row>
    <row r="903" spans="11:15">
      <c r="K903" s="1471">
        <v>42960</v>
      </c>
      <c r="L903" s="1472"/>
      <c r="M903" s="1473">
        <v>0</v>
      </c>
      <c r="N903" s="1474">
        <v>1.3557538015294719</v>
      </c>
      <c r="O903" s="1474">
        <v>1.3768317293922054</v>
      </c>
    </row>
    <row r="904" spans="11:15">
      <c r="K904" s="1471">
        <v>42961</v>
      </c>
      <c r="L904" s="1472" t="s">
        <v>2127</v>
      </c>
      <c r="M904" s="1473">
        <v>3.4749000000000002E-2</v>
      </c>
      <c r="N904" s="1474">
        <v>1.3562249124179653</v>
      </c>
      <c r="O904" s="1474">
        <v>1.3775549928679724</v>
      </c>
    </row>
    <row r="905" spans="11:15">
      <c r="K905" s="1471">
        <v>42962</v>
      </c>
      <c r="L905" s="1472" t="s">
        <v>2127</v>
      </c>
      <c r="M905" s="1473">
        <v>3.4749000000000002E-2</v>
      </c>
      <c r="N905" s="1474">
        <v>1.3566961870127814</v>
      </c>
      <c r="O905" s="1474">
        <v>1.378278636281276</v>
      </c>
    </row>
    <row r="906" spans="11:15">
      <c r="K906" s="1471">
        <v>42963</v>
      </c>
      <c r="L906" s="1472" t="s">
        <v>2127</v>
      </c>
      <c r="M906" s="1473">
        <v>3.4749000000000002E-2</v>
      </c>
      <c r="N906" s="1474">
        <v>1.3571676253708065</v>
      </c>
      <c r="O906" s="1474">
        <v>1.3790026598317009</v>
      </c>
    </row>
    <row r="907" spans="11:15">
      <c r="K907" s="1471">
        <v>42964</v>
      </c>
      <c r="L907" s="1472" t="s">
        <v>2127</v>
      </c>
      <c r="M907" s="1473">
        <v>3.4749000000000002E-2</v>
      </c>
      <c r="N907" s="1474">
        <v>1.3576392275489466</v>
      </c>
      <c r="O907" s="1474">
        <v>1.3797270637189372</v>
      </c>
    </row>
    <row r="908" spans="11:15">
      <c r="K908" s="1471">
        <v>42965</v>
      </c>
      <c r="L908" s="1472" t="s">
        <v>2127</v>
      </c>
      <c r="M908" s="1473">
        <v>3.4749000000000002E-2</v>
      </c>
      <c r="N908" s="1474">
        <v>1.3581109936041276</v>
      </c>
      <c r="O908" s="1474">
        <v>1.3804518481427794</v>
      </c>
    </row>
    <row r="909" spans="11:15">
      <c r="K909" s="1471">
        <v>42966</v>
      </c>
      <c r="L909" s="1472"/>
      <c r="M909" s="1473">
        <v>0</v>
      </c>
      <c r="N909" s="1474">
        <v>1.3581109936041276</v>
      </c>
      <c r="O909" s="1474">
        <v>1.3804518481427794</v>
      </c>
    </row>
    <row r="910" spans="11:15">
      <c r="K910" s="1471">
        <v>42967</v>
      </c>
      <c r="L910" s="1472"/>
      <c r="M910" s="1473">
        <v>0</v>
      </c>
      <c r="N910" s="1474">
        <v>1.3581109936041276</v>
      </c>
      <c r="O910" s="1474">
        <v>1.3804518481427794</v>
      </c>
    </row>
    <row r="911" spans="11:15">
      <c r="K911" s="1471">
        <v>42968</v>
      </c>
      <c r="L911" s="1472" t="s">
        <v>2127</v>
      </c>
      <c r="M911" s="1473">
        <v>3.4749000000000002E-2</v>
      </c>
      <c r="N911" s="1474">
        <v>1.3585829235932951</v>
      </c>
      <c r="O911" s="1474">
        <v>1.3811770133031274</v>
      </c>
    </row>
    <row r="912" spans="11:15">
      <c r="K912" s="1471">
        <v>42969</v>
      </c>
      <c r="L912" s="1472" t="s">
        <v>2127</v>
      </c>
      <c r="M912" s="1473">
        <v>3.4749000000000002E-2</v>
      </c>
      <c r="N912" s="1474">
        <v>1.3590550175734146</v>
      </c>
      <c r="O912" s="1474">
        <v>1.3819025593999856</v>
      </c>
    </row>
    <row r="913" spans="11:15">
      <c r="K913" s="1471">
        <v>42970</v>
      </c>
      <c r="L913" s="1472" t="s">
        <v>2127</v>
      </c>
      <c r="M913" s="1473">
        <v>3.4749000000000002E-2</v>
      </c>
      <c r="N913" s="1474">
        <v>1.3595272756014711</v>
      </c>
      <c r="O913" s="1474">
        <v>1.3826284866334639</v>
      </c>
    </row>
    <row r="914" spans="11:15">
      <c r="K914" s="1471">
        <v>42971</v>
      </c>
      <c r="L914" s="1472" t="s">
        <v>2127</v>
      </c>
      <c r="M914" s="1473">
        <v>3.4749000000000002E-2</v>
      </c>
      <c r="N914" s="1474">
        <v>1.3599996977344699</v>
      </c>
      <c r="O914" s="1474">
        <v>1.3833547952037775</v>
      </c>
    </row>
    <row r="915" spans="11:15">
      <c r="K915" s="1471">
        <v>42972</v>
      </c>
      <c r="L915" s="1472" t="s">
        <v>2127</v>
      </c>
      <c r="M915" s="1473">
        <v>3.4749000000000002E-2</v>
      </c>
      <c r="N915" s="1474">
        <v>1.3604722840294357</v>
      </c>
      <c r="O915" s="1474">
        <v>1.384081485311246</v>
      </c>
    </row>
    <row r="916" spans="11:15">
      <c r="K916" s="1471">
        <v>42973</v>
      </c>
      <c r="L916" s="1472"/>
      <c r="M916" s="1473">
        <v>0</v>
      </c>
      <c r="N916" s="1474">
        <v>1.3604722840294357</v>
      </c>
      <c r="O916" s="1474">
        <v>1.384081485311246</v>
      </c>
    </row>
    <row r="917" spans="11:15">
      <c r="K917" s="1471">
        <v>42974</v>
      </c>
      <c r="L917" s="1472"/>
      <c r="M917" s="1473">
        <v>0</v>
      </c>
      <c r="N917" s="1474">
        <v>1.3604722840294357</v>
      </c>
      <c r="O917" s="1474">
        <v>1.384081485311246</v>
      </c>
    </row>
    <row r="918" spans="11:15">
      <c r="K918" s="1471">
        <v>42975</v>
      </c>
      <c r="L918" s="1472" t="s">
        <v>2127</v>
      </c>
      <c r="M918" s="1473">
        <v>3.4749000000000002E-2</v>
      </c>
      <c r="N918" s="1474">
        <v>1.3609450345434131</v>
      </c>
      <c r="O918" s="1474">
        <v>1.3848085571562949</v>
      </c>
    </row>
    <row r="919" spans="11:15">
      <c r="K919" s="1471">
        <v>42976</v>
      </c>
      <c r="L919" s="1472" t="s">
        <v>2127</v>
      </c>
      <c r="M919" s="1473">
        <v>3.4749000000000002E-2</v>
      </c>
      <c r="N919" s="1474">
        <v>1.3614179493334666</v>
      </c>
      <c r="O919" s="1474">
        <v>1.3855360109394548</v>
      </c>
    </row>
    <row r="920" spans="11:15">
      <c r="K920" s="1471">
        <v>42977</v>
      </c>
      <c r="L920" s="1472" t="s">
        <v>2127</v>
      </c>
      <c r="M920" s="1473">
        <v>3.4749000000000002E-2</v>
      </c>
      <c r="N920" s="1474">
        <v>1.3618910284566805</v>
      </c>
      <c r="O920" s="1474">
        <v>1.3862638468613613</v>
      </c>
    </row>
    <row r="921" spans="11:15">
      <c r="K921" s="1471">
        <v>42978</v>
      </c>
      <c r="L921" s="1472" t="s">
        <v>2127</v>
      </c>
      <c r="M921" s="1473">
        <v>3.4749000000000002E-2</v>
      </c>
      <c r="N921" s="1474">
        <v>1.362364271970159</v>
      </c>
      <c r="O921" s="1474">
        <v>1.3869920651227561</v>
      </c>
    </row>
    <row r="922" spans="11:15">
      <c r="K922" s="1471">
        <v>42979</v>
      </c>
      <c r="L922" s="1472" t="s">
        <v>2127</v>
      </c>
      <c r="M922" s="1473">
        <v>3.4749000000000002E-2</v>
      </c>
      <c r="N922" s="1474">
        <v>1.3628376799310258</v>
      </c>
      <c r="O922" s="1474">
        <v>1.3877206659244856</v>
      </c>
    </row>
    <row r="923" spans="11:15">
      <c r="K923" s="1471">
        <v>42980</v>
      </c>
      <c r="L923" s="1472"/>
      <c r="M923" s="1473">
        <v>0</v>
      </c>
      <c r="N923" s="1474">
        <v>1.3628376799310258</v>
      </c>
      <c r="O923" s="1474">
        <v>1.3877206659244856</v>
      </c>
    </row>
    <row r="924" spans="11:15">
      <c r="K924" s="1471">
        <v>42981</v>
      </c>
      <c r="L924" s="1472"/>
      <c r="M924" s="1473">
        <v>0</v>
      </c>
      <c r="N924" s="1474">
        <v>1.3628376799310258</v>
      </c>
      <c r="O924" s="1474">
        <v>1.3877206659244856</v>
      </c>
    </row>
    <row r="925" spans="11:15">
      <c r="K925" s="1471">
        <v>42982</v>
      </c>
      <c r="L925" s="1472" t="s">
        <v>2127</v>
      </c>
      <c r="M925" s="1473">
        <v>3.4749000000000002E-2</v>
      </c>
      <c r="N925" s="1474">
        <v>1.363311252396425</v>
      </c>
      <c r="O925" s="1474">
        <v>1.3884496494675025</v>
      </c>
    </row>
    <row r="926" spans="11:15">
      <c r="K926" s="1471">
        <v>42983</v>
      </c>
      <c r="L926" s="1472" t="s">
        <v>2127</v>
      </c>
      <c r="M926" s="1473">
        <v>3.4749000000000002E-2</v>
      </c>
      <c r="N926" s="1474">
        <v>1.3637849894235203</v>
      </c>
      <c r="O926" s="1474">
        <v>1.3891790159528643</v>
      </c>
    </row>
    <row r="927" spans="11:15">
      <c r="K927" s="1471">
        <v>42984</v>
      </c>
      <c r="L927" s="1472" t="s">
        <v>2127</v>
      </c>
      <c r="M927" s="1473">
        <v>3.4749000000000002E-2</v>
      </c>
      <c r="N927" s="1474">
        <v>1.364258891069495</v>
      </c>
      <c r="O927" s="1474">
        <v>1.3899087655817346</v>
      </c>
    </row>
    <row r="928" spans="11:15">
      <c r="K928" s="1471">
        <v>42985</v>
      </c>
      <c r="L928" s="1472"/>
      <c r="M928" s="1473">
        <v>0</v>
      </c>
      <c r="N928" s="1474">
        <v>1.364258891069495</v>
      </c>
      <c r="O928" s="1474">
        <v>1.3899087655817346</v>
      </c>
    </row>
    <row r="929" spans="11:15">
      <c r="K929" s="1471">
        <v>42986</v>
      </c>
      <c r="L929" s="1472" t="s">
        <v>2127</v>
      </c>
      <c r="M929" s="1473">
        <v>3.1095999999999999E-2</v>
      </c>
      <c r="N929" s="1474">
        <v>1.364683121014262</v>
      </c>
      <c r="O929" s="1474">
        <v>1.3906388985553824</v>
      </c>
    </row>
    <row r="930" spans="11:15">
      <c r="K930" s="1471">
        <v>42987</v>
      </c>
      <c r="L930" s="1472"/>
      <c r="M930" s="1473">
        <v>0</v>
      </c>
      <c r="N930" s="1474">
        <v>1.364683121014262</v>
      </c>
      <c r="O930" s="1474">
        <v>1.3906388985553824</v>
      </c>
    </row>
    <row r="931" spans="11:15">
      <c r="K931" s="1471">
        <v>42988</v>
      </c>
      <c r="L931" s="1472"/>
      <c r="M931" s="1473">
        <v>0</v>
      </c>
      <c r="N931" s="1474">
        <v>1.364683121014262</v>
      </c>
      <c r="O931" s="1474">
        <v>1.3906388985553824</v>
      </c>
    </row>
    <row r="932" spans="11:15">
      <c r="K932" s="1471">
        <v>42989</v>
      </c>
      <c r="L932" s="1472" t="s">
        <v>2127</v>
      </c>
      <c r="M932" s="1473">
        <v>3.1095999999999999E-2</v>
      </c>
      <c r="N932" s="1474">
        <v>1.3651074828775727</v>
      </c>
      <c r="O932" s="1474">
        <v>1.3913694150751825</v>
      </c>
    </row>
    <row r="933" spans="11:15">
      <c r="K933" s="1471">
        <v>42990</v>
      </c>
      <c r="L933" s="1472" t="s">
        <v>2127</v>
      </c>
      <c r="M933" s="1473">
        <v>3.1095999999999999E-2</v>
      </c>
      <c r="N933" s="1474">
        <v>1.3655319767004481</v>
      </c>
      <c r="O933" s="1474">
        <v>1.3921003153426157</v>
      </c>
    </row>
    <row r="934" spans="11:15">
      <c r="K934" s="1471">
        <v>42991</v>
      </c>
      <c r="L934" s="1472" t="s">
        <v>2127</v>
      </c>
      <c r="M934" s="1473">
        <v>3.1095999999999999E-2</v>
      </c>
      <c r="N934" s="1474">
        <v>1.3659566025239229</v>
      </c>
      <c r="O934" s="1474">
        <v>1.3928315995592684</v>
      </c>
    </row>
    <row r="935" spans="11:15">
      <c r="K935" s="1471">
        <v>42992</v>
      </c>
      <c r="L935" s="1472" t="s">
        <v>2127</v>
      </c>
      <c r="M935" s="1473">
        <v>3.1095999999999999E-2</v>
      </c>
      <c r="N935" s="1474">
        <v>1.3663813603890438</v>
      </c>
      <c r="O935" s="1474">
        <v>1.3935632679268328</v>
      </c>
    </row>
    <row r="936" spans="11:15">
      <c r="K936" s="1471">
        <v>42993</v>
      </c>
      <c r="L936" s="1472" t="s">
        <v>2127</v>
      </c>
      <c r="M936" s="1473">
        <v>3.1095999999999999E-2</v>
      </c>
      <c r="N936" s="1474">
        <v>1.3668062503368703</v>
      </c>
      <c r="O936" s="1474">
        <v>1.3942953206471074</v>
      </c>
    </row>
    <row r="937" spans="11:15">
      <c r="K937" s="1471">
        <v>42994</v>
      </c>
      <c r="L937" s="1472"/>
      <c r="M937" s="1473">
        <v>0</v>
      </c>
      <c r="N937" s="1474">
        <v>1.3668062503368703</v>
      </c>
      <c r="O937" s="1474">
        <v>1.3942953206471074</v>
      </c>
    </row>
    <row r="938" spans="11:15">
      <c r="K938" s="1471">
        <v>42995</v>
      </c>
      <c r="L938" s="1472"/>
      <c r="M938" s="1473">
        <v>0</v>
      </c>
      <c r="N938" s="1474">
        <v>1.3668062503368703</v>
      </c>
      <c r="O938" s="1474">
        <v>1.3942953206471074</v>
      </c>
    </row>
    <row r="939" spans="11:15">
      <c r="K939" s="1471">
        <v>42996</v>
      </c>
      <c r="L939" s="1472" t="s">
        <v>2127</v>
      </c>
      <c r="M939" s="1473">
        <v>3.1095999999999999E-2</v>
      </c>
      <c r="N939" s="1474">
        <v>1.367231272408475</v>
      </c>
      <c r="O939" s="1474">
        <v>1.3950277579219965</v>
      </c>
    </row>
    <row r="940" spans="11:15">
      <c r="K940" s="1471">
        <v>42997</v>
      </c>
      <c r="L940" s="1472" t="s">
        <v>2127</v>
      </c>
      <c r="M940" s="1473">
        <v>3.1095999999999999E-2</v>
      </c>
      <c r="N940" s="1474">
        <v>1.3676564266449431</v>
      </c>
      <c r="O940" s="1474">
        <v>1.3957605799535104</v>
      </c>
    </row>
    <row r="941" spans="11:15">
      <c r="K941" s="1471">
        <v>42998</v>
      </c>
      <c r="L941" s="1472" t="s">
        <v>2127</v>
      </c>
      <c r="M941" s="1473">
        <v>3.1095999999999999E-2</v>
      </c>
      <c r="N941" s="1474">
        <v>1.3680817130873726</v>
      </c>
      <c r="O941" s="1474">
        <v>1.3964937869437659</v>
      </c>
    </row>
    <row r="942" spans="11:15">
      <c r="K942" s="1471">
        <v>42999</v>
      </c>
      <c r="L942" s="1472" t="s">
        <v>2127</v>
      </c>
      <c r="M942" s="1473">
        <v>3.1095999999999999E-2</v>
      </c>
      <c r="N942" s="1474">
        <v>1.3685071317768742</v>
      </c>
      <c r="O942" s="1474">
        <v>1.3972273790949854</v>
      </c>
    </row>
    <row r="943" spans="11:15">
      <c r="K943" s="1471">
        <v>43000</v>
      </c>
      <c r="L943" s="1472" t="s">
        <v>2127</v>
      </c>
      <c r="M943" s="1473">
        <v>3.1095999999999999E-2</v>
      </c>
      <c r="N943" s="1474">
        <v>1.3689326827545716</v>
      </c>
      <c r="O943" s="1474">
        <v>1.3979613566094977</v>
      </c>
    </row>
    <row r="944" spans="11:15">
      <c r="K944" s="1471">
        <v>43001</v>
      </c>
      <c r="L944" s="1472"/>
      <c r="M944" s="1473">
        <v>0</v>
      </c>
      <c r="N944" s="1474">
        <v>1.3689326827545716</v>
      </c>
      <c r="O944" s="1474">
        <v>1.3979613566094977</v>
      </c>
    </row>
    <row r="945" spans="11:15">
      <c r="K945" s="1471">
        <v>43002</v>
      </c>
      <c r="L945" s="1472"/>
      <c r="M945" s="1473">
        <v>0</v>
      </c>
      <c r="N945" s="1474">
        <v>1.3689326827545716</v>
      </c>
      <c r="O945" s="1474">
        <v>1.3979613566094977</v>
      </c>
    </row>
    <row r="946" spans="11:15">
      <c r="K946" s="1471">
        <v>43003</v>
      </c>
      <c r="L946" s="1472" t="s">
        <v>2127</v>
      </c>
      <c r="M946" s="1473">
        <v>3.1095999999999999E-2</v>
      </c>
      <c r="N946" s="1474">
        <v>1.3693583660616009</v>
      </c>
      <c r="O946" s="1474">
        <v>1.3986957196897383</v>
      </c>
    </row>
    <row r="947" spans="11:15">
      <c r="K947" s="1471">
        <v>43004</v>
      </c>
      <c r="L947" s="1472" t="s">
        <v>2127</v>
      </c>
      <c r="M947" s="1473">
        <v>3.1095999999999999E-2</v>
      </c>
      <c r="N947" s="1474">
        <v>1.3697841817391114</v>
      </c>
      <c r="O947" s="1474">
        <v>1.3994304685382486</v>
      </c>
    </row>
    <row r="948" spans="11:15">
      <c r="K948" s="1471">
        <v>43005</v>
      </c>
      <c r="L948" s="1472" t="s">
        <v>2127</v>
      </c>
      <c r="M948" s="1473">
        <v>3.1095999999999999E-2</v>
      </c>
      <c r="N948" s="1474">
        <v>1.370210129828265</v>
      </c>
      <c r="O948" s="1474">
        <v>1.4001656033576764</v>
      </c>
    </row>
    <row r="949" spans="11:15">
      <c r="K949" s="1471">
        <v>43006</v>
      </c>
      <c r="L949" s="1472" t="s">
        <v>2127</v>
      </c>
      <c r="M949" s="1473">
        <v>3.1095999999999999E-2</v>
      </c>
      <c r="N949" s="1474">
        <v>1.3706362103702363</v>
      </c>
      <c r="O949" s="1474">
        <v>1.4009011243507763</v>
      </c>
    </row>
    <row r="950" spans="11:15">
      <c r="K950" s="1471">
        <v>43007</v>
      </c>
      <c r="L950" s="1472" t="s">
        <v>2127</v>
      </c>
      <c r="M950" s="1473">
        <v>3.1095999999999999E-2</v>
      </c>
      <c r="N950" s="1474">
        <v>1.371062423406213</v>
      </c>
      <c r="O950" s="1474">
        <v>1.401637031720409</v>
      </c>
    </row>
    <row r="951" spans="11:15">
      <c r="K951" s="1471">
        <v>43008</v>
      </c>
      <c r="L951" s="1472"/>
      <c r="M951" s="1473">
        <v>0</v>
      </c>
      <c r="N951" s="1474">
        <v>1.371062423406213</v>
      </c>
      <c r="O951" s="1474">
        <v>1.401637031720409</v>
      </c>
    </row>
    <row r="952" spans="11:15">
      <c r="K952" s="1471">
        <v>43009</v>
      </c>
      <c r="L952" s="1472"/>
      <c r="M952" s="1473">
        <v>0</v>
      </c>
      <c r="N952" s="1474">
        <v>1.371062423406213</v>
      </c>
      <c r="O952" s="1474">
        <v>1.401637031720409</v>
      </c>
    </row>
    <row r="953" spans="11:15">
      <c r="K953" s="1471">
        <v>43010</v>
      </c>
      <c r="L953" s="1472" t="s">
        <v>2127</v>
      </c>
      <c r="M953" s="1473">
        <v>3.1095999999999999E-2</v>
      </c>
      <c r="N953" s="1474">
        <v>1.3714887689773954</v>
      </c>
      <c r="O953" s="1474">
        <v>1.4023733256695421</v>
      </c>
    </row>
    <row r="954" spans="11:15">
      <c r="K954" s="1471">
        <v>43011</v>
      </c>
      <c r="L954" s="1472" t="s">
        <v>2127</v>
      </c>
      <c r="M954" s="1473">
        <v>3.1095999999999999E-2</v>
      </c>
      <c r="N954" s="1474">
        <v>1.3719152471249965</v>
      </c>
      <c r="O954" s="1474">
        <v>1.4031100064012496</v>
      </c>
    </row>
    <row r="955" spans="11:15">
      <c r="K955" s="1471">
        <v>43012</v>
      </c>
      <c r="L955" s="1472" t="s">
        <v>2127</v>
      </c>
      <c r="M955" s="1473">
        <v>3.1095999999999999E-2</v>
      </c>
      <c r="N955" s="1474">
        <v>1.3723418578902424</v>
      </c>
      <c r="O955" s="1474">
        <v>1.4038470741187123</v>
      </c>
    </row>
    <row r="956" spans="11:15">
      <c r="K956" s="1471">
        <v>43013</v>
      </c>
      <c r="L956" s="1472" t="s">
        <v>2127</v>
      </c>
      <c r="M956" s="1473">
        <v>3.1095999999999999E-2</v>
      </c>
      <c r="N956" s="1474">
        <v>1.3727686013143718</v>
      </c>
      <c r="O956" s="1474">
        <v>1.4045845290252177</v>
      </c>
    </row>
    <row r="957" spans="11:15">
      <c r="K957" s="1471">
        <v>43014</v>
      </c>
      <c r="L957" s="1472" t="s">
        <v>2127</v>
      </c>
      <c r="M957" s="1473">
        <v>3.1095999999999999E-2</v>
      </c>
      <c r="N957" s="1474">
        <v>1.3731954774386366</v>
      </c>
      <c r="O957" s="1474">
        <v>1.4053223713241598</v>
      </c>
    </row>
    <row r="958" spans="11:15">
      <c r="K958" s="1471">
        <v>43015</v>
      </c>
      <c r="L958" s="1472"/>
      <c r="M958" s="1473">
        <v>0</v>
      </c>
      <c r="N958" s="1474">
        <v>1.3731954774386366</v>
      </c>
      <c r="O958" s="1474">
        <v>1.4053223713241598</v>
      </c>
    </row>
    <row r="959" spans="11:15">
      <c r="K959" s="1471">
        <v>43016</v>
      </c>
      <c r="L959" s="1472"/>
      <c r="M959" s="1473">
        <v>0</v>
      </c>
      <c r="N959" s="1474">
        <v>1.3731954774386366</v>
      </c>
      <c r="O959" s="1474">
        <v>1.4053223713241598</v>
      </c>
    </row>
    <row r="960" spans="11:15">
      <c r="K960" s="1471">
        <v>43017</v>
      </c>
      <c r="L960" s="1472" t="s">
        <v>2127</v>
      </c>
      <c r="M960" s="1473">
        <v>3.1095999999999999E-2</v>
      </c>
      <c r="N960" s="1474">
        <v>1.3736224863043009</v>
      </c>
      <c r="O960" s="1474">
        <v>1.4060606012190402</v>
      </c>
    </row>
    <row r="961" spans="11:15">
      <c r="K961" s="1471">
        <v>43018</v>
      </c>
      <c r="L961" s="1472" t="s">
        <v>2127</v>
      </c>
      <c r="M961" s="1473">
        <v>3.1095999999999999E-2</v>
      </c>
      <c r="N961" s="1474">
        <v>1.3740496279526422</v>
      </c>
      <c r="O961" s="1474">
        <v>1.4067992189134666</v>
      </c>
    </row>
    <row r="962" spans="11:15">
      <c r="K962" s="1471">
        <v>43019</v>
      </c>
      <c r="L962" s="1472" t="s">
        <v>2127</v>
      </c>
      <c r="M962" s="1473">
        <v>3.1095999999999999E-2</v>
      </c>
      <c r="N962" s="1474">
        <v>1.3744769024249504</v>
      </c>
      <c r="O962" s="1474">
        <v>1.4075382246111541</v>
      </c>
    </row>
    <row r="963" spans="11:15">
      <c r="K963" s="1471">
        <v>43020</v>
      </c>
      <c r="L963" s="1472"/>
      <c r="M963" s="1473">
        <v>0</v>
      </c>
      <c r="N963" s="1474">
        <v>1.3744769024249504</v>
      </c>
      <c r="O963" s="1474">
        <v>1.4075382246111541</v>
      </c>
    </row>
    <row r="964" spans="11:15">
      <c r="K964" s="1471">
        <v>43021</v>
      </c>
      <c r="L964" s="1472" t="s">
        <v>2127</v>
      </c>
      <c r="M964" s="1473">
        <v>3.1095999999999999E-2</v>
      </c>
      <c r="N964" s="1474">
        <v>1.3749043097625284</v>
      </c>
      <c r="O964" s="1474">
        <v>1.4082776185159245</v>
      </c>
    </row>
    <row r="965" spans="11:15">
      <c r="K965" s="1471">
        <v>43022</v>
      </c>
      <c r="L965" s="1472"/>
      <c r="M965" s="1473">
        <v>0</v>
      </c>
      <c r="N965" s="1474">
        <v>1.3749043097625284</v>
      </c>
      <c r="O965" s="1474">
        <v>1.4082776185159245</v>
      </c>
    </row>
    <row r="966" spans="11:15">
      <c r="K966" s="1471">
        <v>43023</v>
      </c>
      <c r="L966" s="1472"/>
      <c r="M966" s="1473">
        <v>0</v>
      </c>
      <c r="N966" s="1474">
        <v>1.3749043097625284</v>
      </c>
      <c r="O966" s="1474">
        <v>1.4082776185159245</v>
      </c>
    </row>
    <row r="967" spans="11:15">
      <c r="K967" s="1471">
        <v>43024</v>
      </c>
      <c r="L967" s="1472" t="s">
        <v>2127</v>
      </c>
      <c r="M967" s="1473">
        <v>3.1095999999999999E-2</v>
      </c>
      <c r="N967" s="1474">
        <v>1.3753318500066922</v>
      </c>
      <c r="O967" s="1474">
        <v>1.4090174008317071</v>
      </c>
    </row>
    <row r="968" spans="11:15">
      <c r="K968" s="1471">
        <v>43025</v>
      </c>
      <c r="L968" s="1472" t="s">
        <v>2127</v>
      </c>
      <c r="M968" s="1473">
        <v>3.1095999999999999E-2</v>
      </c>
      <c r="N968" s="1474">
        <v>1.3757595231987703</v>
      </c>
      <c r="O968" s="1474">
        <v>1.4097575717625381</v>
      </c>
    </row>
    <row r="969" spans="11:15">
      <c r="K969" s="1471">
        <v>43026</v>
      </c>
      <c r="L969" s="1472" t="s">
        <v>2127</v>
      </c>
      <c r="M969" s="1473">
        <v>3.1095999999999999E-2</v>
      </c>
      <c r="N969" s="1474">
        <v>1.3761873293801041</v>
      </c>
      <c r="O969" s="1474">
        <v>1.4104981315125606</v>
      </c>
    </row>
    <row r="970" spans="11:15">
      <c r="K970" s="1471">
        <v>43027</v>
      </c>
      <c r="L970" s="1472" t="s">
        <v>2127</v>
      </c>
      <c r="M970" s="1473">
        <v>3.1095999999999999E-2</v>
      </c>
      <c r="N970" s="1474">
        <v>1.3766152685920481</v>
      </c>
      <c r="O970" s="1474">
        <v>1.4112390802860255</v>
      </c>
    </row>
    <row r="971" spans="11:15">
      <c r="K971" s="1471">
        <v>43028</v>
      </c>
      <c r="L971" s="1472" t="s">
        <v>2127</v>
      </c>
      <c r="M971" s="1473">
        <v>3.1095999999999999E-2</v>
      </c>
      <c r="N971" s="1474">
        <v>1.3770433408759695</v>
      </c>
      <c r="O971" s="1474">
        <v>1.4119804182872906</v>
      </c>
    </row>
    <row r="972" spans="11:15">
      <c r="K972" s="1471">
        <v>43029</v>
      </c>
      <c r="L972" s="1472"/>
      <c r="M972" s="1473">
        <v>0</v>
      </c>
      <c r="N972" s="1474">
        <v>1.3770433408759695</v>
      </c>
      <c r="O972" s="1474">
        <v>1.4119804182872906</v>
      </c>
    </row>
    <row r="973" spans="11:15">
      <c r="K973" s="1471">
        <v>43030</v>
      </c>
      <c r="L973" s="1472"/>
      <c r="M973" s="1473">
        <v>0</v>
      </c>
      <c r="N973" s="1474">
        <v>1.3770433408759695</v>
      </c>
      <c r="O973" s="1474">
        <v>1.4119804182872906</v>
      </c>
    </row>
    <row r="974" spans="11:15">
      <c r="K974" s="1471">
        <v>43031</v>
      </c>
      <c r="L974" s="1472" t="s">
        <v>2127</v>
      </c>
      <c r="M974" s="1473">
        <v>3.1095999999999999E-2</v>
      </c>
      <c r="N974" s="1474">
        <v>1.3774715462732483</v>
      </c>
      <c r="O974" s="1474">
        <v>1.412722145720821</v>
      </c>
    </row>
    <row r="975" spans="11:15">
      <c r="K975" s="1471">
        <v>43032</v>
      </c>
      <c r="L975" s="1472" t="s">
        <v>2127</v>
      </c>
      <c r="M975" s="1473">
        <v>3.1095999999999999E-2</v>
      </c>
      <c r="N975" s="1474">
        <v>1.3778998848252775</v>
      </c>
      <c r="O975" s="1474">
        <v>1.4134642627911895</v>
      </c>
    </row>
    <row r="976" spans="11:15">
      <c r="K976" s="1471">
        <v>43033</v>
      </c>
      <c r="L976" s="1472" t="s">
        <v>2127</v>
      </c>
      <c r="M976" s="1473">
        <v>3.1095999999999999E-2</v>
      </c>
      <c r="N976" s="1474">
        <v>1.3783283565734628</v>
      </c>
      <c r="O976" s="1474">
        <v>1.4142067697030765</v>
      </c>
    </row>
    <row r="977" spans="11:15">
      <c r="K977" s="1471">
        <v>43034</v>
      </c>
      <c r="L977" s="1472" t="s">
        <v>2127</v>
      </c>
      <c r="M977" s="1473">
        <v>2.8333000000000001E-2</v>
      </c>
      <c r="N977" s="1474">
        <v>1.3787188783467308</v>
      </c>
      <c r="O977" s="1474">
        <v>1.4149496666612691</v>
      </c>
    </row>
    <row r="978" spans="11:15">
      <c r="K978" s="1471">
        <v>43035</v>
      </c>
      <c r="L978" s="1472" t="s">
        <v>2127</v>
      </c>
      <c r="M978" s="1473">
        <v>2.8333000000000001E-2</v>
      </c>
      <c r="N978" s="1474">
        <v>1.3791095107665328</v>
      </c>
      <c r="O978" s="1474">
        <v>1.4156929538706629</v>
      </c>
    </row>
    <row r="979" spans="11:15">
      <c r="K979" s="1471">
        <v>43036</v>
      </c>
      <c r="L979" s="1472"/>
      <c r="M979" s="1473">
        <v>0</v>
      </c>
      <c r="N979" s="1474">
        <v>1.3791095107665328</v>
      </c>
      <c r="O979" s="1474">
        <v>1.4156929538706629</v>
      </c>
    </row>
    <row r="980" spans="11:15">
      <c r="K980" s="1471">
        <v>43037</v>
      </c>
      <c r="L980" s="1472"/>
      <c r="M980" s="1473">
        <v>0</v>
      </c>
      <c r="N980" s="1474">
        <v>1.3791095107665328</v>
      </c>
      <c r="O980" s="1474">
        <v>1.4156929538706629</v>
      </c>
    </row>
    <row r="981" spans="11:15">
      <c r="K981" s="1471">
        <v>43038</v>
      </c>
      <c r="L981" s="1472" t="s">
        <v>2127</v>
      </c>
      <c r="M981" s="1473">
        <v>2.8333000000000001E-2</v>
      </c>
      <c r="N981" s="1474">
        <v>1.3795002538642183</v>
      </c>
      <c r="O981" s="1474">
        <v>1.4164366315362606</v>
      </c>
    </row>
    <row r="982" spans="11:15">
      <c r="K982" s="1471">
        <v>43039</v>
      </c>
      <c r="L982" s="1472" t="s">
        <v>2127</v>
      </c>
      <c r="M982" s="1473">
        <v>2.8333000000000001E-2</v>
      </c>
      <c r="N982" s="1474">
        <v>1.3798911076711458</v>
      </c>
      <c r="O982" s="1474">
        <v>1.4171806998631729</v>
      </c>
    </row>
    <row r="983" spans="11:15">
      <c r="K983" s="1471">
        <v>43040</v>
      </c>
      <c r="L983" s="1472" t="s">
        <v>2127</v>
      </c>
      <c r="M983" s="1473">
        <v>2.8333000000000001E-2</v>
      </c>
      <c r="N983" s="1474">
        <v>1.3802820722186822</v>
      </c>
      <c r="O983" s="1474">
        <v>1.417925159056618</v>
      </c>
    </row>
    <row r="984" spans="11:15">
      <c r="K984" s="1471">
        <v>43041</v>
      </c>
      <c r="L984" s="1472"/>
      <c r="M984" s="1473">
        <v>0</v>
      </c>
      <c r="N984" s="1474">
        <v>1.3802820722186822</v>
      </c>
      <c r="O984" s="1474">
        <v>1.417925159056618</v>
      </c>
    </row>
    <row r="985" spans="11:15">
      <c r="K985" s="1471">
        <v>43042</v>
      </c>
      <c r="L985" s="1472" t="s">
        <v>2127</v>
      </c>
      <c r="M985" s="1473">
        <v>2.8333000000000001E-2</v>
      </c>
      <c r="N985" s="1474">
        <v>1.3806731475382039</v>
      </c>
      <c r="O985" s="1474">
        <v>1.418670009321922</v>
      </c>
    </row>
    <row r="986" spans="11:15">
      <c r="K986" s="1471">
        <v>43043</v>
      </c>
      <c r="L986" s="1472"/>
      <c r="M986" s="1473">
        <v>0</v>
      </c>
      <c r="N986" s="1474">
        <v>1.3806731475382039</v>
      </c>
      <c r="O986" s="1474">
        <v>1.418670009321922</v>
      </c>
    </row>
    <row r="987" spans="11:15">
      <c r="K987" s="1471">
        <v>43044</v>
      </c>
      <c r="L987" s="1472"/>
      <c r="M987" s="1473">
        <v>0</v>
      </c>
      <c r="N987" s="1474">
        <v>1.3806731475382039</v>
      </c>
      <c r="O987" s="1474">
        <v>1.418670009321922</v>
      </c>
    </row>
    <row r="988" spans="11:15">
      <c r="K988" s="1471">
        <v>43045</v>
      </c>
      <c r="L988" s="1472" t="s">
        <v>2127</v>
      </c>
      <c r="M988" s="1473">
        <v>2.8333000000000001E-2</v>
      </c>
      <c r="N988" s="1474">
        <v>1.3810643336610959</v>
      </c>
      <c r="O988" s="1474">
        <v>1.4194152508645188</v>
      </c>
    </row>
    <row r="989" spans="11:15">
      <c r="K989" s="1471">
        <v>43046</v>
      </c>
      <c r="L989" s="1472" t="s">
        <v>2127</v>
      </c>
      <c r="M989" s="1473">
        <v>2.8333000000000001E-2</v>
      </c>
      <c r="N989" s="1474">
        <v>1.3814556306187522</v>
      </c>
      <c r="O989" s="1474">
        <v>1.4201608838899504</v>
      </c>
    </row>
    <row r="990" spans="11:15">
      <c r="K990" s="1471">
        <v>43047</v>
      </c>
      <c r="L990" s="1472" t="s">
        <v>2127</v>
      </c>
      <c r="M990" s="1473">
        <v>2.8333000000000001E-2</v>
      </c>
      <c r="N990" s="1474">
        <v>1.3818470384425754</v>
      </c>
      <c r="O990" s="1474">
        <v>1.4209069086038666</v>
      </c>
    </row>
    <row r="991" spans="11:15">
      <c r="K991" s="1471">
        <v>43048</v>
      </c>
      <c r="L991" s="1472" t="s">
        <v>2127</v>
      </c>
      <c r="M991" s="1473">
        <v>2.8333000000000001E-2</v>
      </c>
      <c r="N991" s="1474">
        <v>1.3822385571639773</v>
      </c>
      <c r="O991" s="1474">
        <v>1.4216533252120254</v>
      </c>
    </row>
    <row r="992" spans="11:15">
      <c r="K992" s="1471">
        <v>43049</v>
      </c>
      <c r="L992" s="1472" t="s">
        <v>2127</v>
      </c>
      <c r="M992" s="1473">
        <v>2.8333000000000001E-2</v>
      </c>
      <c r="N992" s="1474">
        <v>1.3826301868143787</v>
      </c>
      <c r="O992" s="1474">
        <v>1.4224001339202925</v>
      </c>
    </row>
    <row r="993" spans="11:15">
      <c r="K993" s="1471">
        <v>43050</v>
      </c>
      <c r="L993" s="1472"/>
      <c r="M993" s="1473">
        <v>0</v>
      </c>
      <c r="N993" s="1474">
        <v>1.3826301868143787</v>
      </c>
      <c r="O993" s="1474">
        <v>1.4224001339202925</v>
      </c>
    </row>
    <row r="994" spans="11:15">
      <c r="K994" s="1471">
        <v>43051</v>
      </c>
      <c r="L994" s="1472"/>
      <c r="M994" s="1473">
        <v>0</v>
      </c>
      <c r="N994" s="1474">
        <v>1.3826301868143787</v>
      </c>
      <c r="O994" s="1474">
        <v>1.4224001339202925</v>
      </c>
    </row>
    <row r="995" spans="11:15">
      <c r="K995" s="1471">
        <v>43052</v>
      </c>
      <c r="L995" s="1472" t="s">
        <v>2127</v>
      </c>
      <c r="M995" s="1473">
        <v>2.8333000000000001E-2</v>
      </c>
      <c r="N995" s="1474">
        <v>1.3830219274252089</v>
      </c>
      <c r="O995" s="1474">
        <v>1.4231473349346422</v>
      </c>
    </row>
    <row r="996" spans="11:15">
      <c r="K996" s="1471">
        <v>43053</v>
      </c>
      <c r="L996" s="1472" t="s">
        <v>2127</v>
      </c>
      <c r="M996" s="1473">
        <v>2.8333000000000001E-2</v>
      </c>
      <c r="N996" s="1474">
        <v>1.3834137790279064</v>
      </c>
      <c r="O996" s="1474">
        <v>1.4238949284611566</v>
      </c>
    </row>
    <row r="997" spans="11:15">
      <c r="K997" s="1471">
        <v>43054</v>
      </c>
      <c r="L997" s="1472"/>
      <c r="M997" s="1473">
        <v>0</v>
      </c>
      <c r="N997" s="1474">
        <v>1.3834137790279064</v>
      </c>
      <c r="O997" s="1474">
        <v>1.4238949284611566</v>
      </c>
    </row>
    <row r="998" spans="11:15">
      <c r="K998" s="1471">
        <v>43055</v>
      </c>
      <c r="L998" s="1472" t="s">
        <v>2127</v>
      </c>
      <c r="M998" s="1473">
        <v>2.8333000000000001E-2</v>
      </c>
      <c r="N998" s="1474">
        <v>1.3838057416539185</v>
      </c>
      <c r="O998" s="1474">
        <v>1.4246429147060264</v>
      </c>
    </row>
    <row r="999" spans="11:15">
      <c r="K999" s="1471">
        <v>43056</v>
      </c>
      <c r="L999" s="1472" t="s">
        <v>2127</v>
      </c>
      <c r="M999" s="1473">
        <v>2.8333000000000001E-2</v>
      </c>
      <c r="N999" s="1474">
        <v>1.3841978153347012</v>
      </c>
      <c r="O999" s="1474">
        <v>1.4253912938755506</v>
      </c>
    </row>
    <row r="1000" spans="11:15">
      <c r="K1000" s="1471">
        <v>43057</v>
      </c>
      <c r="L1000" s="1472"/>
      <c r="M1000" s="1473">
        <v>0</v>
      </c>
      <c r="N1000" s="1474">
        <v>1.3841978153347012</v>
      </c>
      <c r="O1000" s="1474">
        <v>1.4253912938755506</v>
      </c>
    </row>
    <row r="1001" spans="11:15">
      <c r="K1001" s="1471">
        <v>43058</v>
      </c>
      <c r="L1001" s="1472"/>
      <c r="M1001" s="1473">
        <v>0</v>
      </c>
      <c r="N1001" s="1474">
        <v>1.3841978153347012</v>
      </c>
      <c r="O1001" s="1474">
        <v>1.4253912938755506</v>
      </c>
    </row>
    <row r="1002" spans="11:15">
      <c r="K1002" s="1471">
        <v>43059</v>
      </c>
      <c r="L1002" s="1472" t="s">
        <v>2127</v>
      </c>
      <c r="M1002" s="1473">
        <v>2.8333000000000001E-2</v>
      </c>
      <c r="N1002" s="1474">
        <v>1.38459000010172</v>
      </c>
      <c r="O1002" s="1474">
        <v>1.4261400661761363</v>
      </c>
    </row>
    <row r="1003" spans="11:15">
      <c r="K1003" s="1471">
        <v>43060</v>
      </c>
      <c r="L1003" s="1472" t="s">
        <v>2127</v>
      </c>
      <c r="M1003" s="1473">
        <v>2.8333000000000001E-2</v>
      </c>
      <c r="N1003" s="1474">
        <v>1.3849822959864488</v>
      </c>
      <c r="O1003" s="1474">
        <v>1.4268892318142994</v>
      </c>
    </row>
    <row r="1004" spans="11:15">
      <c r="K1004" s="1471">
        <v>43061</v>
      </c>
      <c r="L1004" s="1472" t="s">
        <v>2127</v>
      </c>
      <c r="M1004" s="1473">
        <v>2.8333000000000001E-2</v>
      </c>
      <c r="N1004" s="1474">
        <v>1.3853747030203707</v>
      </c>
      <c r="O1004" s="1474">
        <v>1.4276387909966637</v>
      </c>
    </row>
    <row r="1005" spans="11:15">
      <c r="K1005" s="1471">
        <v>43062</v>
      </c>
      <c r="L1005" s="1472" t="s">
        <v>2127</v>
      </c>
      <c r="M1005" s="1473">
        <v>2.8333000000000001E-2</v>
      </c>
      <c r="N1005" s="1474">
        <v>1.3857672212349774</v>
      </c>
      <c r="O1005" s="1474">
        <v>1.4283887439299621</v>
      </c>
    </row>
    <row r="1006" spans="11:15">
      <c r="K1006" s="1471">
        <v>43063</v>
      </c>
      <c r="L1006" s="1472" t="s">
        <v>2127</v>
      </c>
      <c r="M1006" s="1473">
        <v>2.8333000000000001E-2</v>
      </c>
      <c r="N1006" s="1474">
        <v>1.3861598506617701</v>
      </c>
      <c r="O1006" s="1474">
        <v>1.429139090821036</v>
      </c>
    </row>
    <row r="1007" spans="11:15">
      <c r="K1007" s="1471">
        <v>43064</v>
      </c>
      <c r="L1007" s="1472"/>
      <c r="M1007" s="1473">
        <v>0</v>
      </c>
      <c r="N1007" s="1474">
        <v>1.3861598506617701</v>
      </c>
      <c r="O1007" s="1474">
        <v>1.429139090821036</v>
      </c>
    </row>
    <row r="1008" spans="11:15">
      <c r="K1008" s="1471">
        <v>43065</v>
      </c>
      <c r="L1008" s="1472"/>
      <c r="M1008" s="1473">
        <v>0</v>
      </c>
      <c r="N1008" s="1474">
        <v>1.3861598506617701</v>
      </c>
      <c r="O1008" s="1474">
        <v>1.429139090821036</v>
      </c>
    </row>
    <row r="1009" spans="11:15">
      <c r="K1009" s="1471">
        <v>43066</v>
      </c>
      <c r="L1009" s="1472" t="s">
        <v>2127</v>
      </c>
      <c r="M1009" s="1473">
        <v>2.8333000000000001E-2</v>
      </c>
      <c r="N1009" s="1474">
        <v>1.3865525913322581</v>
      </c>
      <c r="O1009" s="1474">
        <v>1.4298898318768352</v>
      </c>
    </row>
    <row r="1010" spans="11:15">
      <c r="K1010" s="1471">
        <v>43067</v>
      </c>
      <c r="L1010" s="1472" t="s">
        <v>2127</v>
      </c>
      <c r="M1010" s="1473">
        <v>2.8333000000000001E-2</v>
      </c>
      <c r="N1010" s="1474">
        <v>1.3869454432779602</v>
      </c>
      <c r="O1010" s="1474">
        <v>1.4306409673044185</v>
      </c>
    </row>
    <row r="1011" spans="11:15">
      <c r="K1011" s="1471">
        <v>43068</v>
      </c>
      <c r="L1011" s="1472" t="s">
        <v>2127</v>
      </c>
      <c r="M1011" s="1473">
        <v>2.8333000000000001E-2</v>
      </c>
      <c r="N1011" s="1474">
        <v>1.3873384065304042</v>
      </c>
      <c r="O1011" s="1474">
        <v>1.4313924973109531</v>
      </c>
    </row>
    <row r="1012" spans="11:15">
      <c r="K1012" s="1471">
        <v>43069</v>
      </c>
      <c r="L1012" s="1472" t="s">
        <v>2127</v>
      </c>
      <c r="M1012" s="1473">
        <v>2.8333000000000001E-2</v>
      </c>
      <c r="N1012" s="1474">
        <v>1.3877314811211265</v>
      </c>
      <c r="O1012" s="1474">
        <v>1.4321444221037154</v>
      </c>
    </row>
    <row r="1013" spans="11:15">
      <c r="K1013" s="1471">
        <v>43070</v>
      </c>
      <c r="L1013" s="1472" t="s">
        <v>2127</v>
      </c>
      <c r="M1013" s="1473">
        <v>2.8333000000000001E-2</v>
      </c>
      <c r="N1013" s="1474">
        <v>1.3881246670816727</v>
      </c>
      <c r="O1013" s="1474">
        <v>1.4328967418900906</v>
      </c>
    </row>
    <row r="1014" spans="11:15">
      <c r="K1014" s="1471">
        <v>43071</v>
      </c>
      <c r="L1014" s="1472"/>
      <c r="M1014" s="1473">
        <v>0</v>
      </c>
      <c r="N1014" s="1474">
        <v>1.3881246670816727</v>
      </c>
      <c r="O1014" s="1474">
        <v>1.4328967418900906</v>
      </c>
    </row>
    <row r="1015" spans="11:15">
      <c r="K1015" s="1471">
        <v>43072</v>
      </c>
      <c r="L1015" s="1472"/>
      <c r="M1015" s="1473">
        <v>0</v>
      </c>
      <c r="N1015" s="1474">
        <v>1.3881246670816727</v>
      </c>
      <c r="O1015" s="1474">
        <v>1.4328967418900906</v>
      </c>
    </row>
    <row r="1016" spans="11:15">
      <c r="K1016" s="1471">
        <v>43073</v>
      </c>
      <c r="L1016" s="1472" t="s">
        <v>2127</v>
      </c>
      <c r="M1016" s="1473">
        <v>2.8333000000000001E-2</v>
      </c>
      <c r="N1016" s="1474">
        <v>1.388517964443597</v>
      </c>
      <c r="O1016" s="1474">
        <v>1.4336494568775728</v>
      </c>
    </row>
    <row r="1017" spans="11:15">
      <c r="K1017" s="1471">
        <v>43074</v>
      </c>
      <c r="L1017" s="1472" t="s">
        <v>2127</v>
      </c>
      <c r="M1017" s="1473">
        <v>2.8333000000000001E-2</v>
      </c>
      <c r="N1017" s="1474">
        <v>1.3889113732384628</v>
      </c>
      <c r="O1017" s="1474">
        <v>1.4344025672737652</v>
      </c>
    </row>
    <row r="1018" spans="11:15">
      <c r="K1018" s="1471">
        <v>43075</v>
      </c>
      <c r="L1018" s="1472" t="s">
        <v>2127</v>
      </c>
      <c r="M1018" s="1473">
        <v>2.8333000000000001E-2</v>
      </c>
      <c r="N1018" s="1474">
        <v>1.3893048934978425</v>
      </c>
      <c r="O1018" s="1474">
        <v>1.4351560732863797</v>
      </c>
    </row>
    <row r="1019" spans="11:15">
      <c r="K1019" s="1471">
        <v>43076</v>
      </c>
      <c r="L1019" s="1472" t="s">
        <v>2127</v>
      </c>
      <c r="M1019" s="1473">
        <v>2.6481000000000001E-2</v>
      </c>
      <c r="N1019" s="1474">
        <v>1.3896727953266896</v>
      </c>
      <c r="O1019" s="1474">
        <v>1.4359099751232378</v>
      </c>
    </row>
    <row r="1020" spans="11:15">
      <c r="K1020" s="1471">
        <v>43077</v>
      </c>
      <c r="L1020" s="1472" t="s">
        <v>2127</v>
      </c>
      <c r="M1020" s="1473">
        <v>2.6481000000000001E-2</v>
      </c>
      <c r="N1020" s="1474">
        <v>1.39004079457962</v>
      </c>
      <c r="O1020" s="1474">
        <v>1.4366642729922698</v>
      </c>
    </row>
    <row r="1021" spans="11:15">
      <c r="K1021" s="1471">
        <v>43078</v>
      </c>
      <c r="L1021" s="1472"/>
      <c r="M1021" s="1473">
        <v>0</v>
      </c>
      <c r="N1021" s="1474">
        <v>1.39004079457962</v>
      </c>
      <c r="O1021" s="1474">
        <v>1.4366642729922698</v>
      </c>
    </row>
    <row r="1022" spans="11:15">
      <c r="K1022" s="1471">
        <v>43079</v>
      </c>
      <c r="L1022" s="1472"/>
      <c r="M1022" s="1473">
        <v>0</v>
      </c>
      <c r="N1022" s="1474">
        <v>1.39004079457962</v>
      </c>
      <c r="O1022" s="1474">
        <v>1.4366642729922698</v>
      </c>
    </row>
    <row r="1023" spans="11:15">
      <c r="K1023" s="1471">
        <v>43080</v>
      </c>
      <c r="L1023" s="1472" t="s">
        <v>2127</v>
      </c>
      <c r="M1023" s="1473">
        <v>2.6481000000000001E-2</v>
      </c>
      <c r="N1023" s="1474">
        <v>1.3904088912824326</v>
      </c>
      <c r="O1023" s="1474">
        <v>1.4374189671015154</v>
      </c>
    </row>
    <row r="1024" spans="11:15">
      <c r="K1024" s="1471">
        <v>43081</v>
      </c>
      <c r="L1024" s="1472" t="s">
        <v>2127</v>
      </c>
      <c r="M1024" s="1473">
        <v>2.6481000000000001E-2</v>
      </c>
      <c r="N1024" s="1474">
        <v>1.3907770854609331</v>
      </c>
      <c r="O1024" s="1474">
        <v>1.4381740576591235</v>
      </c>
    </row>
    <row r="1025" spans="11:15">
      <c r="K1025" s="1471">
        <v>43082</v>
      </c>
      <c r="L1025" s="1472" t="s">
        <v>2127</v>
      </c>
      <c r="M1025" s="1473">
        <v>2.6481000000000001E-2</v>
      </c>
      <c r="N1025" s="1474">
        <v>1.3911453771409341</v>
      </c>
      <c r="O1025" s="1474">
        <v>1.4389295448733526</v>
      </c>
    </row>
    <row r="1026" spans="11:15">
      <c r="K1026" s="1471">
        <v>43083</v>
      </c>
      <c r="L1026" s="1472" t="s">
        <v>2127</v>
      </c>
      <c r="M1026" s="1473">
        <v>2.6481000000000001E-2</v>
      </c>
      <c r="N1026" s="1474">
        <v>1.3915137663482549</v>
      </c>
      <c r="O1026" s="1474">
        <v>1.43968542895257</v>
      </c>
    </row>
    <row r="1027" spans="11:15">
      <c r="K1027" s="1471">
        <v>43084</v>
      </c>
      <c r="L1027" s="1472" t="s">
        <v>2127</v>
      </c>
      <c r="M1027" s="1473">
        <v>2.6481000000000001E-2</v>
      </c>
      <c r="N1027" s="1474">
        <v>1.3918822531087216</v>
      </c>
      <c r="O1027" s="1474">
        <v>1.4404417101052531</v>
      </c>
    </row>
    <row r="1028" spans="11:15">
      <c r="K1028" s="1471">
        <v>43085</v>
      </c>
      <c r="L1028" s="1472"/>
      <c r="M1028" s="1473">
        <v>0</v>
      </c>
      <c r="N1028" s="1474">
        <v>1.3918822531087216</v>
      </c>
      <c r="O1028" s="1474">
        <v>1.4404417101052531</v>
      </c>
    </row>
    <row r="1029" spans="11:15">
      <c r="K1029" s="1471">
        <v>43086</v>
      </c>
      <c r="L1029" s="1472"/>
      <c r="M1029" s="1473">
        <v>0</v>
      </c>
      <c r="N1029" s="1474">
        <v>1.3918822531087216</v>
      </c>
      <c r="O1029" s="1474">
        <v>1.4404417101052531</v>
      </c>
    </row>
    <row r="1030" spans="11:15">
      <c r="K1030" s="1471">
        <v>43087</v>
      </c>
      <c r="L1030" s="1472" t="s">
        <v>2127</v>
      </c>
      <c r="M1030" s="1473">
        <v>2.6481000000000001E-2</v>
      </c>
      <c r="N1030" s="1474">
        <v>1.3922508374481672</v>
      </c>
      <c r="O1030" s="1474">
        <v>1.4411983885399886</v>
      </c>
    </row>
    <row r="1031" spans="11:15">
      <c r="K1031" s="1471">
        <v>43088</v>
      </c>
      <c r="L1031" s="1472" t="s">
        <v>2127</v>
      </c>
      <c r="M1031" s="1473">
        <v>2.6481000000000001E-2</v>
      </c>
      <c r="N1031" s="1474">
        <v>1.392619519392432</v>
      </c>
      <c r="O1031" s="1474">
        <v>1.4419554644654726</v>
      </c>
    </row>
    <row r="1032" spans="11:15">
      <c r="K1032" s="1471">
        <v>43089</v>
      </c>
      <c r="L1032" s="1472" t="s">
        <v>2127</v>
      </c>
      <c r="M1032" s="1473">
        <v>2.6481000000000001E-2</v>
      </c>
      <c r="N1032" s="1474">
        <v>1.3929882989673623</v>
      </c>
      <c r="O1032" s="1474">
        <v>1.442712938090511</v>
      </c>
    </row>
    <row r="1033" spans="11:15">
      <c r="K1033" s="1471">
        <v>43090</v>
      </c>
      <c r="L1033" s="1472" t="s">
        <v>2127</v>
      </c>
      <c r="M1033" s="1473">
        <v>2.6481000000000001E-2</v>
      </c>
      <c r="N1033" s="1474">
        <v>1.3933571761988119</v>
      </c>
      <c r="O1033" s="1474">
        <v>1.4434708096240194</v>
      </c>
    </row>
    <row r="1034" spans="11:15">
      <c r="K1034" s="1471">
        <v>43091</v>
      </c>
      <c r="L1034" s="1472" t="s">
        <v>2127</v>
      </c>
      <c r="M1034" s="1473">
        <v>2.6481000000000001E-2</v>
      </c>
      <c r="N1034" s="1474">
        <v>1.3937261511126411</v>
      </c>
      <c r="O1034" s="1474">
        <v>1.444229079275023</v>
      </c>
    </row>
    <row r="1035" spans="11:15">
      <c r="K1035" s="1471">
        <v>43092</v>
      </c>
      <c r="L1035" s="1472"/>
      <c r="M1035" s="1473">
        <v>0</v>
      </c>
      <c r="N1035" s="1474">
        <v>1.3937261511126411</v>
      </c>
      <c r="O1035" s="1474">
        <v>1.444229079275023</v>
      </c>
    </row>
    <row r="1036" spans="11:15">
      <c r="K1036" s="1471">
        <v>43093</v>
      </c>
      <c r="L1036" s="1472"/>
      <c r="M1036" s="1473">
        <v>0</v>
      </c>
      <c r="N1036" s="1474">
        <v>1.3937261511126411</v>
      </c>
      <c r="O1036" s="1474">
        <v>1.444229079275023</v>
      </c>
    </row>
    <row r="1037" spans="11:15">
      <c r="K1037" s="1471">
        <v>43094</v>
      </c>
      <c r="L1037" s="1472"/>
      <c r="M1037" s="1473">
        <v>0</v>
      </c>
      <c r="N1037" s="1474">
        <v>1.3937261511126411</v>
      </c>
      <c r="O1037" s="1474">
        <v>1.444229079275023</v>
      </c>
    </row>
    <row r="1038" spans="11:15">
      <c r="K1038" s="1471">
        <v>43095</v>
      </c>
      <c r="L1038" s="1472" t="s">
        <v>2127</v>
      </c>
      <c r="M1038" s="1473">
        <v>2.6481000000000001E-2</v>
      </c>
      <c r="N1038" s="1474">
        <v>1.3940952237347173</v>
      </c>
      <c r="O1038" s="1474">
        <v>1.4449877472526569</v>
      </c>
    </row>
    <row r="1039" spans="11:15">
      <c r="K1039" s="1471">
        <v>43096</v>
      </c>
      <c r="L1039" s="1472" t="s">
        <v>2127</v>
      </c>
      <c r="M1039" s="1473">
        <v>2.6481000000000001E-2</v>
      </c>
      <c r="N1039" s="1474">
        <v>1.3944643940909145</v>
      </c>
      <c r="O1039" s="1474">
        <v>1.4457468137661662</v>
      </c>
    </row>
    <row r="1040" spans="11:15">
      <c r="K1040" s="1471">
        <v>43097</v>
      </c>
      <c r="L1040" s="1472" t="s">
        <v>2127</v>
      </c>
      <c r="M1040" s="1473">
        <v>2.6481000000000001E-2</v>
      </c>
      <c r="N1040" s="1474">
        <v>1.3948336622071138</v>
      </c>
      <c r="O1040" s="1474">
        <v>1.4465062790249057</v>
      </c>
    </row>
    <row r="1041" spans="11:15">
      <c r="K1041" s="1471">
        <v>43098</v>
      </c>
      <c r="L1041" s="1472" t="s">
        <v>2127</v>
      </c>
      <c r="M1041" s="1473">
        <v>2.6481000000000001E-2</v>
      </c>
      <c r="N1041" s="1474">
        <v>1.3952030281092029</v>
      </c>
      <c r="O1041" s="1474">
        <v>1.4472661432383402</v>
      </c>
    </row>
    <row r="1042" spans="11:15">
      <c r="K1042" s="1471">
        <v>43099</v>
      </c>
      <c r="L1042" s="1472"/>
      <c r="M1042" s="1473">
        <v>0</v>
      </c>
      <c r="N1042" s="1474">
        <v>1.3952030281092029</v>
      </c>
      <c r="O1042" s="1474">
        <v>1.4472661432383402</v>
      </c>
    </row>
    <row r="1043" spans="11:15">
      <c r="K1043" s="1471">
        <v>43100</v>
      </c>
      <c r="L1043" s="1472"/>
      <c r="M1043" s="1473">
        <v>0</v>
      </c>
      <c r="N1043" s="1474">
        <v>1.3952030281092029</v>
      </c>
      <c r="O1043" s="1474">
        <v>1.4472661432383402</v>
      </c>
    </row>
    <row r="1044" spans="11:15">
      <c r="K1044" s="1471">
        <v>43101</v>
      </c>
      <c r="L1044" s="1472"/>
      <c r="M1044" s="1473">
        <v>0</v>
      </c>
      <c r="N1044" s="1474">
        <v>1.3952030281092029</v>
      </c>
      <c r="O1044" s="1474">
        <v>1.4472661432383402</v>
      </c>
    </row>
    <row r="1045" spans="11:15">
      <c r="K1045" s="1471">
        <v>43102</v>
      </c>
      <c r="L1045" s="1472" t="s">
        <v>2127</v>
      </c>
      <c r="M1045" s="1473">
        <v>2.6481000000000001E-2</v>
      </c>
      <c r="N1045" s="1474">
        <v>1.3955724918230765</v>
      </c>
      <c r="O1045" s="1474"/>
    </row>
    <row r="1046" spans="11:15">
      <c r="K1046" s="1471">
        <v>43103</v>
      </c>
      <c r="L1046" s="1472" t="s">
        <v>2127</v>
      </c>
      <c r="M1046" s="1473">
        <v>2.6481000000000001E-2</v>
      </c>
      <c r="N1046" s="1474">
        <v>1.3959420533746363</v>
      </c>
      <c r="O1046" s="1474"/>
    </row>
    <row r="1047" spans="11:15">
      <c r="K1047" s="1471">
        <v>43104</v>
      </c>
      <c r="L1047" s="1472" t="s">
        <v>2127</v>
      </c>
      <c r="M1047" s="1473">
        <v>2.6481000000000001E-2</v>
      </c>
      <c r="N1047" s="1474">
        <v>1.3963117127897904</v>
      </c>
      <c r="O1047" s="1474"/>
    </row>
    <row r="1048" spans="11:15">
      <c r="K1048" s="1471">
        <v>43105</v>
      </c>
      <c r="L1048" s="1472" t="s">
        <v>2127</v>
      </c>
      <c r="M1048" s="1473">
        <v>2.6481000000000001E-2</v>
      </c>
      <c r="N1048" s="1474">
        <v>1.3966814700944543</v>
      </c>
      <c r="O1048" s="1474"/>
    </row>
    <row r="1049" spans="11:15">
      <c r="K1049" s="1471">
        <v>43106</v>
      </c>
      <c r="L1049" s="1472"/>
      <c r="M1049" s="1473">
        <v>0</v>
      </c>
      <c r="N1049" s="1474">
        <v>1.3966814700944543</v>
      </c>
      <c r="O1049" s="1474"/>
    </row>
    <row r="1050" spans="11:15">
      <c r="K1050" s="1471">
        <v>43107</v>
      </c>
      <c r="L1050" s="1472"/>
      <c r="M1050" s="1473">
        <v>0</v>
      </c>
      <c r="N1050" s="1474">
        <v>1.3966814700944543</v>
      </c>
      <c r="O1050" s="1474"/>
    </row>
    <row r="1051" spans="11:15">
      <c r="K1051" s="1471">
        <v>43108</v>
      </c>
      <c r="L1051" s="1472" t="s">
        <v>2127</v>
      </c>
      <c r="M1051" s="1473">
        <v>2.6481000000000001E-2</v>
      </c>
      <c r="N1051" s="1474">
        <v>1.39705132531455</v>
      </c>
      <c r="O1051" s="1474"/>
    </row>
    <row r="1052" spans="11:15">
      <c r="K1052" s="1471">
        <v>43109</v>
      </c>
      <c r="L1052" s="1472" t="s">
        <v>2127</v>
      </c>
      <c r="M1052" s="1473">
        <v>2.6481000000000001E-2</v>
      </c>
      <c r="N1052" s="1474">
        <v>1.3974212784760065</v>
      </c>
      <c r="O1052" s="1474"/>
    </row>
    <row r="1053" spans="11:15">
      <c r="K1053" s="1471">
        <v>43110</v>
      </c>
      <c r="L1053" s="1472" t="s">
        <v>2127</v>
      </c>
      <c r="M1053" s="1473">
        <v>2.6481000000000001E-2</v>
      </c>
      <c r="N1053" s="1474">
        <v>1.3977913296047597</v>
      </c>
      <c r="O1053" s="1474"/>
    </row>
    <row r="1054" spans="11:15">
      <c r="K1054" s="1471">
        <v>43111</v>
      </c>
      <c r="L1054" s="1472" t="s">
        <v>2127</v>
      </c>
      <c r="M1054" s="1473">
        <v>2.6481000000000001E-2</v>
      </c>
      <c r="N1054" s="1474">
        <v>1.3981614787267524</v>
      </c>
      <c r="O1054" s="1474"/>
    </row>
    <row r="1055" spans="11:15">
      <c r="K1055" s="1471">
        <v>43112</v>
      </c>
      <c r="L1055" s="1472" t="s">
        <v>2127</v>
      </c>
      <c r="M1055" s="1473">
        <v>2.6481000000000001E-2</v>
      </c>
      <c r="N1055" s="1474">
        <v>1.3985317258679342</v>
      </c>
      <c r="O1055" s="1474"/>
    </row>
    <row r="1056" spans="11:15">
      <c r="K1056" s="1471">
        <v>43113</v>
      </c>
      <c r="L1056" s="1472"/>
      <c r="M1056" s="1473">
        <v>0</v>
      </c>
      <c r="N1056" s="1474">
        <v>1.3985317258679342</v>
      </c>
      <c r="O1056" s="1474"/>
    </row>
    <row r="1057" spans="11:15">
      <c r="K1057" s="1471">
        <v>43114</v>
      </c>
      <c r="L1057" s="1472"/>
      <c r="M1057" s="1473">
        <v>0</v>
      </c>
      <c r="N1057" s="1474">
        <v>1.3985317258679342</v>
      </c>
      <c r="O1057" s="1474"/>
    </row>
    <row r="1058" spans="11:15">
      <c r="K1058" s="1471">
        <v>43115</v>
      </c>
      <c r="L1058" s="1472" t="s">
        <v>2127</v>
      </c>
      <c r="M1058" s="1473">
        <v>2.6481000000000001E-2</v>
      </c>
      <c r="N1058" s="1474">
        <v>1.3989020710542612</v>
      </c>
      <c r="O1058" s="1474"/>
    </row>
    <row r="1059" spans="11:15">
      <c r="K1059" s="1471">
        <v>43116</v>
      </c>
      <c r="L1059" s="1472" t="s">
        <v>2127</v>
      </c>
      <c r="M1059" s="1473">
        <v>2.6481000000000001E-2</v>
      </c>
      <c r="N1059" s="1474">
        <v>1.3992725143116971</v>
      </c>
      <c r="O1059" s="1474"/>
    </row>
    <row r="1060" spans="11:15">
      <c r="K1060" s="1471">
        <v>43117</v>
      </c>
      <c r="L1060" s="1472" t="s">
        <v>2127</v>
      </c>
      <c r="M1060" s="1473">
        <v>2.6481000000000001E-2</v>
      </c>
      <c r="N1060" s="1474">
        <v>1.3996430556662121</v>
      </c>
      <c r="O1060" s="1474"/>
    </row>
    <row r="1061" spans="11:15">
      <c r="K1061" s="1471">
        <v>43118</v>
      </c>
      <c r="L1061" s="1472" t="s">
        <v>2127</v>
      </c>
      <c r="M1061" s="1473">
        <v>2.6481000000000001E-2</v>
      </c>
      <c r="N1061" s="1474">
        <v>1.4000136951437829</v>
      </c>
      <c r="O1061" s="1474"/>
    </row>
    <row r="1062" spans="11:15">
      <c r="K1062" s="1471">
        <v>43119</v>
      </c>
      <c r="L1062" s="1472" t="s">
        <v>2127</v>
      </c>
      <c r="M1062" s="1473">
        <v>2.6481000000000001E-2</v>
      </c>
      <c r="N1062" s="1474">
        <v>1.400384432770394</v>
      </c>
      <c r="O1062" s="1474"/>
    </row>
    <row r="1063" spans="11:15">
      <c r="K1063" s="1471">
        <v>43120</v>
      </c>
      <c r="L1063" s="1472"/>
      <c r="M1063" s="1473">
        <v>0</v>
      </c>
      <c r="N1063" s="1474">
        <v>1.400384432770394</v>
      </c>
      <c r="O1063" s="1474"/>
    </row>
    <row r="1064" spans="11:15">
      <c r="K1064" s="1471">
        <v>43121</v>
      </c>
      <c r="L1064" s="1472"/>
      <c r="M1064" s="1473">
        <v>0</v>
      </c>
      <c r="N1064" s="1474">
        <v>1.400384432770394</v>
      </c>
      <c r="O1064" s="1474"/>
    </row>
    <row r="1065" spans="11:15">
      <c r="K1065" s="1471">
        <v>43122</v>
      </c>
      <c r="L1065" s="1472" t="s">
        <v>2127</v>
      </c>
      <c r="M1065" s="1473">
        <v>2.6481000000000001E-2</v>
      </c>
      <c r="N1065" s="1474">
        <v>1.4007552685720359</v>
      </c>
      <c r="O1065" s="1474"/>
    </row>
    <row r="1066" spans="11:15">
      <c r="K1066" s="1471">
        <v>43123</v>
      </c>
      <c r="L1066" s="1472" t="s">
        <v>2127</v>
      </c>
      <c r="M1066" s="1473">
        <v>2.6481000000000001E-2</v>
      </c>
      <c r="N1066" s="1474">
        <v>1.4011262025747064</v>
      </c>
      <c r="O1066" s="1474"/>
    </row>
    <row r="1067" spans="11:15">
      <c r="K1067" s="1471">
        <v>43124</v>
      </c>
      <c r="L1067" s="1472" t="s">
        <v>2127</v>
      </c>
      <c r="M1067" s="1473">
        <v>2.6481000000000001E-2</v>
      </c>
      <c r="N1067" s="1474">
        <v>1.4014972348044104</v>
      </c>
      <c r="O1067" s="1474"/>
    </row>
    <row r="1068" spans="11:15">
      <c r="K1068" s="1471">
        <v>43125</v>
      </c>
      <c r="L1068" s="1472" t="s">
        <v>2127</v>
      </c>
      <c r="M1068" s="1473">
        <v>2.6481000000000001E-2</v>
      </c>
      <c r="N1068" s="1474">
        <v>1.4018683652871589</v>
      </c>
      <c r="O1068" s="1474"/>
    </row>
    <row r="1069" spans="11:15">
      <c r="K1069" s="1471">
        <v>43126</v>
      </c>
      <c r="L1069" s="1472" t="s">
        <v>2127</v>
      </c>
      <c r="M1069" s="1473">
        <v>2.6481000000000001E-2</v>
      </c>
      <c r="N1069" s="1474">
        <v>1.4022395940489705</v>
      </c>
      <c r="O1069" s="1474"/>
    </row>
    <row r="1070" spans="11:15">
      <c r="K1070" s="1471">
        <v>43127</v>
      </c>
      <c r="L1070" s="1472"/>
      <c r="M1070" s="1473">
        <v>0</v>
      </c>
      <c r="N1070" s="1474">
        <v>1.4022395940489705</v>
      </c>
      <c r="O1070" s="1474"/>
    </row>
    <row r="1071" spans="11:15">
      <c r="K1071" s="1471">
        <v>43128</v>
      </c>
      <c r="L1071" s="1472"/>
      <c r="M1071" s="1473">
        <v>0</v>
      </c>
      <c r="N1071" s="1474">
        <v>1.4022395940489705</v>
      </c>
      <c r="O1071" s="1474"/>
    </row>
    <row r="1072" spans="11:15">
      <c r="K1072" s="1471">
        <v>43129</v>
      </c>
      <c r="L1072" s="1472" t="s">
        <v>2127</v>
      </c>
      <c r="M1072" s="1473">
        <v>2.6481000000000001E-2</v>
      </c>
      <c r="N1072" s="1474">
        <v>1.4026109211158706</v>
      </c>
      <c r="O1072" s="1474"/>
    </row>
    <row r="1073" spans="11:15">
      <c r="K1073" s="1471">
        <v>43130</v>
      </c>
      <c r="L1073" s="1472" t="s">
        <v>2127</v>
      </c>
      <c r="M1073" s="1473">
        <v>2.6481000000000001E-2</v>
      </c>
      <c r="N1073" s="1474">
        <v>1.4029823465138913</v>
      </c>
      <c r="O1073" s="1474"/>
    </row>
    <row r="1074" spans="11:15">
      <c r="K1074" s="1471">
        <v>43131</v>
      </c>
      <c r="L1074" s="1472" t="s">
        <v>2127</v>
      </c>
      <c r="M1074" s="1473">
        <v>2.6481000000000001E-2</v>
      </c>
      <c r="N1074" s="1474">
        <v>1.4033538702690718</v>
      </c>
      <c r="O1074" s="1474"/>
    </row>
    <row r="1075" spans="11:15">
      <c r="K1075" s="1471">
        <v>43132</v>
      </c>
      <c r="L1075" s="1472" t="s">
        <v>2127</v>
      </c>
      <c r="M1075" s="1473">
        <v>2.6481000000000001E-2</v>
      </c>
      <c r="N1075" s="1474">
        <v>1.4037254924074578</v>
      </c>
      <c r="O1075" s="1474"/>
    </row>
    <row r="1076" spans="11:15">
      <c r="K1076" s="1471">
        <v>43133</v>
      </c>
      <c r="L1076" s="1472" t="s">
        <v>2127</v>
      </c>
      <c r="M1076" s="1473">
        <v>2.6481000000000001E-2</v>
      </c>
      <c r="N1076" s="1474">
        <v>1.4040972129551021</v>
      </c>
      <c r="O1076" s="1474"/>
    </row>
    <row r="1077" spans="11:15">
      <c r="K1077" s="1471">
        <v>43134</v>
      </c>
      <c r="L1077" s="1472"/>
      <c r="M1077" s="1473">
        <v>0</v>
      </c>
      <c r="N1077" s="1474">
        <v>1.4040972129551021</v>
      </c>
      <c r="O1077" s="1474"/>
    </row>
    <row r="1078" spans="11:15">
      <c r="K1078" s="1471">
        <v>43135</v>
      </c>
      <c r="L1078" s="1472"/>
      <c r="M1078" s="1473">
        <v>0</v>
      </c>
      <c r="N1078" s="1474">
        <v>1.4040972129551021</v>
      </c>
      <c r="O1078" s="1474"/>
    </row>
    <row r="1079" spans="11:15">
      <c r="K1079" s="1471">
        <v>43136</v>
      </c>
      <c r="L1079" s="1472" t="s">
        <v>2127</v>
      </c>
      <c r="M1079" s="1473">
        <v>2.6481000000000001E-2</v>
      </c>
      <c r="N1079" s="1474">
        <v>1.4044690319380648</v>
      </c>
      <c r="O1079" s="1474"/>
    </row>
    <row r="1080" spans="11:15">
      <c r="K1080" s="1471">
        <v>43137</v>
      </c>
      <c r="L1080" s="1472" t="s">
        <v>2127</v>
      </c>
      <c r="M1080" s="1473">
        <v>2.6481000000000001E-2</v>
      </c>
      <c r="N1080" s="1474">
        <v>1.4048409493824123</v>
      </c>
      <c r="O1080" s="1474"/>
    </row>
    <row r="1081" spans="11:15">
      <c r="K1081" s="1471">
        <v>43138</v>
      </c>
      <c r="L1081" s="1472" t="s">
        <v>2127</v>
      </c>
      <c r="M1081" s="1473">
        <v>2.6481000000000001E-2</v>
      </c>
      <c r="N1081" s="1474">
        <v>1.4052129653142182</v>
      </c>
      <c r="O1081" s="1474"/>
    </row>
    <row r="1082" spans="11:15">
      <c r="K1082" s="1471">
        <v>43139</v>
      </c>
      <c r="L1082" s="1472" t="s">
        <v>2127</v>
      </c>
      <c r="M1082" s="1473">
        <v>2.5551999999999998E-2</v>
      </c>
      <c r="N1082" s="1474">
        <v>1.4055720253311155</v>
      </c>
      <c r="O1082" s="1474"/>
    </row>
    <row r="1083" spans="11:15">
      <c r="K1083" s="1471">
        <v>43140</v>
      </c>
      <c r="L1083" s="1472" t="s">
        <v>2127</v>
      </c>
      <c r="M1083" s="1473">
        <v>2.5551999999999998E-2</v>
      </c>
      <c r="N1083" s="1474">
        <v>1.4059311770950282</v>
      </c>
      <c r="O1083" s="1474"/>
    </row>
    <row r="1084" spans="11:15">
      <c r="K1084" s="1471">
        <v>43141</v>
      </c>
      <c r="L1084" s="1472"/>
      <c r="M1084" s="1473">
        <v>0</v>
      </c>
      <c r="N1084" s="1474">
        <v>1.4059311770950282</v>
      </c>
      <c r="O1084" s="1474"/>
    </row>
    <row r="1085" spans="11:15">
      <c r="K1085" s="1471">
        <v>43142</v>
      </c>
      <c r="L1085" s="1472"/>
      <c r="M1085" s="1473">
        <v>0</v>
      </c>
      <c r="N1085" s="1474">
        <v>1.4059311770950282</v>
      </c>
      <c r="O1085" s="1474"/>
    </row>
    <row r="1086" spans="11:15">
      <c r="K1086" s="1471">
        <v>43143</v>
      </c>
      <c r="L1086" s="1472"/>
      <c r="M1086" s="1473">
        <v>0</v>
      </c>
      <c r="N1086" s="1474">
        <v>1.4059311770950282</v>
      </c>
      <c r="O1086" s="1474"/>
    </row>
    <row r="1087" spans="11:15">
      <c r="K1087" s="1471">
        <v>43144</v>
      </c>
      <c r="L1087" s="1472"/>
      <c r="M1087" s="1473">
        <v>0</v>
      </c>
      <c r="N1087" s="1474">
        <v>1.4059311770950282</v>
      </c>
      <c r="O1087" s="1474"/>
    </row>
    <row r="1088" spans="11:15">
      <c r="K1088" s="1471">
        <v>43145</v>
      </c>
      <c r="L1088" s="1472" t="s">
        <v>2127</v>
      </c>
      <c r="M1088" s="1473">
        <v>2.5551999999999998E-2</v>
      </c>
      <c r="N1088" s="1474">
        <v>1.4062904206293996</v>
      </c>
      <c r="O1088" s="1474"/>
    </row>
    <row r="1089" spans="11:15">
      <c r="K1089" s="1471">
        <v>43146</v>
      </c>
      <c r="L1089" s="1472" t="s">
        <v>2127</v>
      </c>
      <c r="M1089" s="1473">
        <v>2.5551999999999998E-2</v>
      </c>
      <c r="N1089" s="1474">
        <v>1.4066497559576789</v>
      </c>
      <c r="O1089" s="1474"/>
    </row>
    <row r="1090" spans="11:15">
      <c r="K1090" s="1471">
        <v>43147</v>
      </c>
      <c r="L1090" s="1472" t="s">
        <v>2127</v>
      </c>
      <c r="M1090" s="1473">
        <v>2.5551999999999998E-2</v>
      </c>
      <c r="N1090" s="1474">
        <v>1.4070091831033213</v>
      </c>
      <c r="O1090" s="1474"/>
    </row>
    <row r="1091" spans="11:15">
      <c r="K1091" s="1471">
        <v>43148</v>
      </c>
      <c r="L1091" s="1472"/>
      <c r="M1091" s="1473">
        <v>0</v>
      </c>
      <c r="N1091" s="1474">
        <v>1.4070091831033213</v>
      </c>
      <c r="O1091" s="1474"/>
    </row>
    <row r="1092" spans="11:15">
      <c r="K1092" s="1471">
        <v>43149</v>
      </c>
      <c r="L1092" s="1472"/>
      <c r="M1092" s="1473">
        <v>0</v>
      </c>
      <c r="N1092" s="1474">
        <v>1.4070091831033213</v>
      </c>
      <c r="O1092" s="1474"/>
    </row>
    <row r="1093" spans="11:15">
      <c r="K1093" s="1471">
        <v>43150</v>
      </c>
      <c r="L1093" s="1472" t="s">
        <v>2127</v>
      </c>
      <c r="M1093" s="1473">
        <v>2.5551999999999998E-2</v>
      </c>
      <c r="N1093" s="1474">
        <v>1.407368702089788</v>
      </c>
      <c r="O1093" s="1474"/>
    </row>
    <row r="1094" spans="11:15">
      <c r="K1094" s="1471">
        <v>43151</v>
      </c>
      <c r="L1094" s="1472" t="s">
        <v>2127</v>
      </c>
      <c r="M1094" s="1473">
        <v>2.5551999999999998E-2</v>
      </c>
      <c r="N1094" s="1474">
        <v>1.407728312940546</v>
      </c>
      <c r="O1094" s="1474"/>
    </row>
    <row r="1095" spans="11:15">
      <c r="K1095" s="1471">
        <v>43152</v>
      </c>
      <c r="L1095" s="1472" t="s">
        <v>2127</v>
      </c>
      <c r="M1095" s="1473">
        <v>2.5551999999999998E-2</v>
      </c>
      <c r="N1095" s="1474">
        <v>1.4080880156790687</v>
      </c>
      <c r="O1095" s="1474"/>
    </row>
    <row r="1096" spans="11:15">
      <c r="K1096" s="1471">
        <v>43153</v>
      </c>
      <c r="L1096" s="1472" t="s">
        <v>2127</v>
      </c>
      <c r="M1096" s="1473">
        <v>2.5551999999999998E-2</v>
      </c>
      <c r="N1096" s="1474">
        <v>1.4084478103288351</v>
      </c>
      <c r="O1096" s="1474"/>
    </row>
    <row r="1097" spans="11:15">
      <c r="K1097" s="1471">
        <v>43154</v>
      </c>
      <c r="L1097" s="1472" t="s">
        <v>2127</v>
      </c>
      <c r="M1097" s="1473">
        <v>2.5551999999999998E-2</v>
      </c>
      <c r="N1097" s="1474">
        <v>1.4088076969133305</v>
      </c>
      <c r="O1097" s="1474"/>
    </row>
    <row r="1098" spans="11:15">
      <c r="K1098" s="1471">
        <v>43155</v>
      </c>
      <c r="L1098" s="1472"/>
      <c r="M1098" s="1473">
        <v>0</v>
      </c>
      <c r="N1098" s="1474">
        <v>1.4088076969133305</v>
      </c>
      <c r="O1098" s="1474"/>
    </row>
    <row r="1099" spans="11:15">
      <c r="K1099" s="1471">
        <v>43156</v>
      </c>
      <c r="L1099" s="1472"/>
      <c r="M1099" s="1473">
        <v>0</v>
      </c>
      <c r="N1099" s="1474">
        <v>1.4088076969133305</v>
      </c>
      <c r="O1099" s="1474"/>
    </row>
    <row r="1100" spans="11:15">
      <c r="K1100" s="1471">
        <v>43157</v>
      </c>
      <c r="L1100" s="1472" t="s">
        <v>2127</v>
      </c>
      <c r="M1100" s="1473">
        <v>2.5551999999999998E-2</v>
      </c>
      <c r="N1100" s="1474">
        <v>1.4091676754560458</v>
      </c>
      <c r="O1100" s="1474"/>
    </row>
    <row r="1101" spans="11:15">
      <c r="K1101" s="1471">
        <v>43158</v>
      </c>
      <c r="L1101" s="1472" t="s">
        <v>2127</v>
      </c>
      <c r="M1101" s="1473">
        <v>2.5551999999999998E-2</v>
      </c>
      <c r="N1101" s="1474">
        <v>1.4095277459804785</v>
      </c>
      <c r="O1101" s="1474"/>
    </row>
    <row r="1102" spans="11:15">
      <c r="K1102" s="1471">
        <v>43159</v>
      </c>
      <c r="L1102" s="1472" t="s">
        <v>2127</v>
      </c>
      <c r="M1102" s="1473">
        <v>2.5551999999999998E-2</v>
      </c>
      <c r="N1102" s="1474">
        <v>1.4098879085101315</v>
      </c>
      <c r="O1102" s="1474"/>
    </row>
    <row r="1103" spans="11:15">
      <c r="K1103" s="1471">
        <v>43160</v>
      </c>
      <c r="L1103" s="1472" t="s">
        <v>2127</v>
      </c>
      <c r="M1103" s="1473">
        <v>2.5551999999999998E-2</v>
      </c>
      <c r="N1103" s="1474">
        <v>1.410248163068514</v>
      </c>
      <c r="O1103" s="1474"/>
    </row>
    <row r="1104" spans="11:15">
      <c r="K1104" s="1471">
        <v>43161</v>
      </c>
      <c r="L1104" s="1472" t="s">
        <v>2127</v>
      </c>
      <c r="M1104" s="1473">
        <v>2.5551999999999998E-2</v>
      </c>
      <c r="N1104" s="1474">
        <v>1.4106085096791414</v>
      </c>
      <c r="O1104" s="1474"/>
    </row>
    <row r="1105" spans="11:15">
      <c r="K1105" s="1471">
        <v>43162</v>
      </c>
      <c r="L1105" s="1472"/>
      <c r="M1105" s="1473">
        <v>0</v>
      </c>
      <c r="N1105" s="1474">
        <v>1.4106085096791414</v>
      </c>
      <c r="O1105" s="1474"/>
    </row>
    <row r="1106" spans="11:15">
      <c r="K1106" s="1471">
        <v>43163</v>
      </c>
      <c r="L1106" s="1472"/>
      <c r="M1106" s="1473">
        <v>0</v>
      </c>
      <c r="N1106" s="1474">
        <v>1.4106085096791414</v>
      </c>
      <c r="O1106" s="1474"/>
    </row>
    <row r="1107" spans="11:15">
      <c r="K1107" s="1471">
        <v>43164</v>
      </c>
      <c r="L1107" s="1472" t="s">
        <v>2127</v>
      </c>
      <c r="M1107" s="1473">
        <v>2.5551999999999998E-2</v>
      </c>
      <c r="N1107" s="1474">
        <v>1.4109689483655348</v>
      </c>
      <c r="O1107" s="1474"/>
    </row>
    <row r="1108" spans="11:15">
      <c r="K1108" s="1471">
        <v>43165</v>
      </c>
      <c r="L1108" s="1472" t="s">
        <v>2127</v>
      </c>
      <c r="M1108" s="1473">
        <v>2.5551999999999998E-2</v>
      </c>
      <c r="N1108" s="1474">
        <v>1.4113294791512212</v>
      </c>
      <c r="O1108" s="1474"/>
    </row>
    <row r="1109" spans="11:15">
      <c r="K1109" s="1471">
        <v>43166</v>
      </c>
      <c r="L1109" s="1472" t="s">
        <v>2127</v>
      </c>
      <c r="M1109" s="1473">
        <v>2.5551999999999998E-2</v>
      </c>
      <c r="N1109" s="1474">
        <v>1.4116901020597341</v>
      </c>
      <c r="O1109" s="1474"/>
    </row>
    <row r="1110" spans="11:15">
      <c r="K1110" s="1471">
        <v>43167</v>
      </c>
      <c r="L1110" s="1472" t="s">
        <v>2127</v>
      </c>
      <c r="M1110" s="1473">
        <v>2.5551999999999998E-2</v>
      </c>
      <c r="N1110" s="1474">
        <v>1.4120508171146124</v>
      </c>
      <c r="O1110" s="1474"/>
    </row>
    <row r="1111" spans="11:15">
      <c r="K1111" s="1471">
        <v>43168</v>
      </c>
      <c r="L1111" s="1472" t="s">
        <v>2127</v>
      </c>
      <c r="M1111" s="1473">
        <v>2.5551999999999998E-2</v>
      </c>
      <c r="N1111" s="1474">
        <v>1.4124116243394016</v>
      </c>
      <c r="O1111" s="1474"/>
    </row>
    <row r="1112" spans="11:15">
      <c r="K1112" s="1471">
        <v>43169</v>
      </c>
      <c r="L1112" s="1472"/>
      <c r="M1112" s="1473">
        <v>0</v>
      </c>
      <c r="N1112" s="1474">
        <v>1.4124116243394016</v>
      </c>
      <c r="O1112" s="1474"/>
    </row>
    <row r="1113" spans="11:15">
      <c r="K1113" s="1471">
        <v>43170</v>
      </c>
      <c r="L1113" s="1472"/>
      <c r="M1113" s="1473">
        <v>0</v>
      </c>
      <c r="N1113" s="1474">
        <v>1.4124116243394016</v>
      </c>
      <c r="O1113" s="1474"/>
    </row>
    <row r="1114" spans="11:15">
      <c r="K1114" s="1471">
        <v>43171</v>
      </c>
      <c r="L1114" s="1472" t="s">
        <v>2127</v>
      </c>
      <c r="M1114" s="1473">
        <v>2.5551999999999998E-2</v>
      </c>
      <c r="N1114" s="1474">
        <v>1.4127725237576529</v>
      </c>
      <c r="O1114" s="1474"/>
    </row>
    <row r="1115" spans="11:15">
      <c r="K1115" s="1471">
        <v>43172</v>
      </c>
      <c r="L1115" s="1472" t="s">
        <v>2127</v>
      </c>
      <c r="M1115" s="1473">
        <v>2.5551999999999998E-2</v>
      </c>
      <c r="N1115" s="1474">
        <v>1.4131335153929236</v>
      </c>
      <c r="O1115" s="1474"/>
    </row>
    <row r="1116" spans="11:15">
      <c r="K1116" s="1471">
        <v>43173</v>
      </c>
      <c r="L1116" s="1472" t="s">
        <v>2127</v>
      </c>
      <c r="M1116" s="1473">
        <v>2.5551999999999998E-2</v>
      </c>
      <c r="N1116" s="1474">
        <v>1.4134945992687769</v>
      </c>
      <c r="O1116" s="1474"/>
    </row>
    <row r="1117" spans="11:15">
      <c r="K1117" s="1471">
        <v>43174</v>
      </c>
      <c r="L1117" s="1472" t="s">
        <v>2127</v>
      </c>
      <c r="M1117" s="1473">
        <v>2.5551999999999998E-2</v>
      </c>
      <c r="N1117" s="1474">
        <v>1.4138557754087822</v>
      </c>
      <c r="O1117" s="1474"/>
    </row>
    <row r="1118" spans="11:15">
      <c r="K1118" s="1471">
        <v>43175</v>
      </c>
      <c r="L1118" s="1472" t="s">
        <v>2127</v>
      </c>
      <c r="M1118" s="1473">
        <v>2.5551999999999998E-2</v>
      </c>
      <c r="N1118" s="1474">
        <v>1.4142170438365147</v>
      </c>
      <c r="O1118" s="1474"/>
    </row>
    <row r="1119" spans="11:15">
      <c r="K1119" s="1471">
        <v>43176</v>
      </c>
      <c r="L1119" s="1472"/>
      <c r="M1119" s="1473">
        <v>0</v>
      </c>
      <c r="N1119" s="1474">
        <v>1.4142170438365147</v>
      </c>
      <c r="O1119" s="1474"/>
    </row>
    <row r="1120" spans="11:15">
      <c r="K1120" s="1471">
        <v>43177</v>
      </c>
      <c r="L1120" s="1472"/>
      <c r="M1120" s="1473">
        <v>0</v>
      </c>
      <c r="N1120" s="1474">
        <v>1.4142170438365147</v>
      </c>
      <c r="O1120" s="1474"/>
    </row>
    <row r="1121" spans="11:15">
      <c r="K1121" s="1471">
        <v>43178</v>
      </c>
      <c r="L1121" s="1472" t="s">
        <v>2127</v>
      </c>
      <c r="M1121" s="1473">
        <v>2.5551999999999998E-2</v>
      </c>
      <c r="N1121" s="1474">
        <v>1.4145784045755558</v>
      </c>
      <c r="O1121" s="1474"/>
    </row>
    <row r="1122" spans="11:15">
      <c r="K1122" s="1471">
        <v>43179</v>
      </c>
      <c r="L1122" s="1472" t="s">
        <v>2127</v>
      </c>
      <c r="M1122" s="1473">
        <v>2.5551999999999998E-2</v>
      </c>
      <c r="N1122" s="1474">
        <v>1.4149398576494931</v>
      </c>
      <c r="O1122" s="1474"/>
    </row>
    <row r="1123" spans="11:15">
      <c r="K1123" s="1471">
        <v>43180</v>
      </c>
      <c r="L1123" s="1472" t="s">
        <v>2127</v>
      </c>
      <c r="M1123" s="1473">
        <v>2.5551999999999998E-2</v>
      </c>
      <c r="N1123" s="1474">
        <v>1.4153014030819198</v>
      </c>
      <c r="O1123" s="1474"/>
    </row>
    <row r="1124" spans="11:15">
      <c r="K1124" s="1471">
        <v>43181</v>
      </c>
      <c r="L1124" s="1472" t="s">
        <v>2127</v>
      </c>
      <c r="M1124" s="1473">
        <v>2.462E-2</v>
      </c>
      <c r="N1124" s="1474">
        <v>1.4156498502873587</v>
      </c>
      <c r="O1124" s="1474"/>
    </row>
    <row r="1125" spans="11:15">
      <c r="K1125" s="1471">
        <v>43182</v>
      </c>
      <c r="L1125" s="1472" t="s">
        <v>2127</v>
      </c>
      <c r="M1125" s="1473">
        <v>2.462E-2</v>
      </c>
      <c r="N1125" s="1474">
        <v>1.4159983832804997</v>
      </c>
      <c r="O1125" s="1474"/>
    </row>
    <row r="1126" spans="11:15">
      <c r="K1126" s="1471">
        <v>43183</v>
      </c>
      <c r="L1126" s="1472"/>
      <c r="M1126" s="1473">
        <v>0</v>
      </c>
      <c r="N1126" s="1474">
        <v>1.4159983832804997</v>
      </c>
      <c r="O1126" s="1474"/>
    </row>
    <row r="1127" spans="11:15">
      <c r="K1127" s="1471">
        <v>43184</v>
      </c>
      <c r="L1127" s="1472"/>
      <c r="M1127" s="1473">
        <v>0</v>
      </c>
      <c r="N1127" s="1474">
        <v>1.4159983832804997</v>
      </c>
      <c r="O1127" s="1474"/>
    </row>
    <row r="1128" spans="11:15">
      <c r="K1128" s="1471">
        <v>43185</v>
      </c>
      <c r="L1128" s="1472" t="s">
        <v>2127</v>
      </c>
      <c r="M1128" s="1473">
        <v>2.462E-2</v>
      </c>
      <c r="N1128" s="1474">
        <v>1.4163470020824633</v>
      </c>
      <c r="O1128" s="1474"/>
    </row>
    <row r="1129" spans="11:15">
      <c r="K1129" s="1471">
        <v>43186</v>
      </c>
      <c r="L1129" s="1472" t="s">
        <v>2127</v>
      </c>
      <c r="M1129" s="1473">
        <v>2.462E-2</v>
      </c>
      <c r="N1129" s="1474">
        <v>1.4166957067143762</v>
      </c>
      <c r="O1129" s="1474"/>
    </row>
    <row r="1130" spans="11:15">
      <c r="K1130" s="1471">
        <v>43187</v>
      </c>
      <c r="L1130" s="1472" t="s">
        <v>2127</v>
      </c>
      <c r="M1130" s="1473">
        <v>2.462E-2</v>
      </c>
      <c r="N1130" s="1474">
        <v>1.4170444971973695</v>
      </c>
      <c r="O1130" s="1474"/>
    </row>
    <row r="1131" spans="11:15">
      <c r="K1131" s="1471">
        <v>43188</v>
      </c>
      <c r="L1131" s="1472" t="s">
        <v>2127</v>
      </c>
      <c r="M1131" s="1473">
        <v>2.462E-2</v>
      </c>
      <c r="N1131" s="1474">
        <v>1.4173933735525797</v>
      </c>
      <c r="O1131" s="1474"/>
    </row>
    <row r="1132" spans="11:15">
      <c r="K1132" s="1471">
        <v>43189</v>
      </c>
      <c r="L1132" s="1472"/>
      <c r="M1132" s="1473">
        <v>0</v>
      </c>
      <c r="N1132" s="1474">
        <v>1.4173933735525797</v>
      </c>
      <c r="O1132" s="1474"/>
    </row>
    <row r="1133" spans="11:15">
      <c r="K1133" s="1471">
        <v>43190</v>
      </c>
      <c r="L1133" s="1472"/>
      <c r="M1133" s="1473">
        <v>0</v>
      </c>
      <c r="N1133" s="1474">
        <v>1.4173933735525797</v>
      </c>
      <c r="O1133" s="1474"/>
    </row>
    <row r="1134" spans="11:15">
      <c r="K1134" s="1471">
        <v>43191</v>
      </c>
      <c r="L1134" s="1472"/>
      <c r="M1134" s="1473">
        <v>0</v>
      </c>
      <c r="N1134" s="1474">
        <v>1.4173933735525797</v>
      </c>
      <c r="O1134" s="1474"/>
    </row>
    <row r="1135" spans="11:15">
      <c r="K1135" s="1471">
        <v>43192</v>
      </c>
      <c r="L1135" s="1472" t="s">
        <v>2127</v>
      </c>
      <c r="M1135" s="1473">
        <v>2.462E-2</v>
      </c>
      <c r="N1135" s="1474">
        <v>1.4177423358011485</v>
      </c>
      <c r="O1135" s="1474"/>
    </row>
    <row r="1136" spans="11:15">
      <c r="K1136" s="1471">
        <v>43193</v>
      </c>
      <c r="L1136" s="1472" t="s">
        <v>2127</v>
      </c>
      <c r="M1136" s="1473">
        <v>2.462E-2</v>
      </c>
      <c r="N1136" s="1474">
        <v>1.4180913839642229</v>
      </c>
      <c r="O1136" s="1474"/>
    </row>
    <row r="1137" spans="11:15">
      <c r="K1137" s="1471">
        <v>43194</v>
      </c>
      <c r="L1137" s="1472" t="s">
        <v>2127</v>
      </c>
      <c r="M1137" s="1473">
        <v>2.462E-2</v>
      </c>
      <c r="N1137" s="1474">
        <v>1.4184405180629549</v>
      </c>
      <c r="O1137" s="1474"/>
    </row>
    <row r="1138" spans="11:15">
      <c r="K1138" s="1471">
        <v>43195</v>
      </c>
      <c r="L1138" s="1472" t="s">
        <v>2127</v>
      </c>
      <c r="M1138" s="1473">
        <v>2.462E-2</v>
      </c>
      <c r="N1138" s="1474">
        <v>1.4187897381185022</v>
      </c>
      <c r="O1138" s="1474"/>
    </row>
    <row r="1139" spans="11:15">
      <c r="K1139" s="1471">
        <v>43196</v>
      </c>
      <c r="L1139" s="1472" t="s">
        <v>2127</v>
      </c>
      <c r="M1139" s="1473">
        <v>2.462E-2</v>
      </c>
      <c r="N1139" s="1474">
        <v>1.4191390441520271</v>
      </c>
      <c r="O1139" s="1474"/>
    </row>
    <row r="1140" spans="11:15">
      <c r="K1140" s="1471">
        <v>43197</v>
      </c>
      <c r="L1140" s="1472"/>
      <c r="M1140" s="1473">
        <v>0</v>
      </c>
      <c r="N1140" s="1474">
        <v>1.4191390441520271</v>
      </c>
      <c r="O1140" s="1474"/>
    </row>
    <row r="1141" spans="11:15">
      <c r="K1141" s="1471">
        <v>43198</v>
      </c>
      <c r="L1141" s="1472"/>
      <c r="M1141" s="1473">
        <v>0</v>
      </c>
      <c r="N1141" s="1474">
        <v>1.4191390441520271</v>
      </c>
      <c r="O1141" s="1474"/>
    </row>
    <row r="1142" spans="11:15">
      <c r="K1142" s="1471">
        <v>43199</v>
      </c>
      <c r="L1142" s="1472" t="s">
        <v>2127</v>
      </c>
      <c r="M1142" s="1473">
        <v>2.462E-2</v>
      </c>
      <c r="N1142" s="1474">
        <v>1.4194884361846973</v>
      </c>
      <c r="O1142" s="1474"/>
    </row>
    <row r="1143" spans="11:15">
      <c r="K1143" s="1471">
        <v>43200</v>
      </c>
      <c r="L1143" s="1472" t="s">
        <v>2127</v>
      </c>
      <c r="M1143" s="1473">
        <v>2.462E-2</v>
      </c>
      <c r="N1143" s="1474">
        <v>1.419837914237686</v>
      </c>
      <c r="O1143" s="1474"/>
    </row>
    <row r="1144" spans="11:15">
      <c r="K1144" s="1471">
        <v>43201</v>
      </c>
      <c r="L1144" s="1472" t="s">
        <v>2127</v>
      </c>
      <c r="M1144" s="1473">
        <v>2.462E-2</v>
      </c>
      <c r="N1144" s="1474">
        <v>1.4201874783321715</v>
      </c>
      <c r="O1144" s="1474"/>
    </row>
    <row r="1145" spans="11:15">
      <c r="K1145" s="1471">
        <v>43202</v>
      </c>
      <c r="L1145" s="1472" t="s">
        <v>2127</v>
      </c>
      <c r="M1145" s="1473">
        <v>2.462E-2</v>
      </c>
      <c r="N1145" s="1474">
        <v>1.4205371284893371</v>
      </c>
      <c r="O1145" s="1474"/>
    </row>
    <row r="1146" spans="11:15">
      <c r="K1146" s="1471">
        <v>43203</v>
      </c>
      <c r="L1146" s="1472" t="s">
        <v>2127</v>
      </c>
      <c r="M1146" s="1473">
        <v>2.462E-2</v>
      </c>
      <c r="N1146" s="1474">
        <v>1.4208868647303714</v>
      </c>
      <c r="O1146" s="1474"/>
    </row>
    <row r="1147" spans="11:15">
      <c r="K1147" s="1471">
        <v>43204</v>
      </c>
      <c r="L1147" s="1472"/>
      <c r="M1147" s="1473">
        <v>0</v>
      </c>
      <c r="N1147" s="1474">
        <v>1.4208868647303714</v>
      </c>
      <c r="O1147" s="1474"/>
    </row>
    <row r="1148" spans="11:15">
      <c r="K1148" s="1471">
        <v>43205</v>
      </c>
      <c r="L1148" s="1472"/>
      <c r="M1148" s="1473">
        <v>0</v>
      </c>
      <c r="N1148" s="1474">
        <v>1.4208868647303714</v>
      </c>
      <c r="O1148" s="1474"/>
    </row>
    <row r="1149" spans="11:15">
      <c r="K1149" s="1471">
        <v>43206</v>
      </c>
      <c r="L1149" s="1472" t="s">
        <v>2127</v>
      </c>
      <c r="M1149" s="1473">
        <v>2.462E-2</v>
      </c>
      <c r="N1149" s="1474">
        <v>1.4212366870764681</v>
      </c>
      <c r="O1149" s="1474"/>
    </row>
    <row r="1150" spans="11:15">
      <c r="K1150" s="1471">
        <v>43207</v>
      </c>
      <c r="L1150" s="1472" t="s">
        <v>2127</v>
      </c>
      <c r="M1150" s="1473">
        <v>2.462E-2</v>
      </c>
      <c r="N1150" s="1474">
        <v>1.4215865955488265</v>
      </c>
      <c r="O1150" s="1474"/>
    </row>
    <row r="1151" spans="11:15">
      <c r="K1151" s="1471">
        <v>43208</v>
      </c>
      <c r="L1151" s="1472" t="s">
        <v>2127</v>
      </c>
      <c r="M1151" s="1473">
        <v>2.462E-2</v>
      </c>
      <c r="N1151" s="1474">
        <v>1.4219365901686507</v>
      </c>
      <c r="O1151" s="1474"/>
    </row>
    <row r="1152" spans="11:15">
      <c r="K1152" s="1471">
        <v>43209</v>
      </c>
      <c r="L1152" s="1472" t="s">
        <v>2127</v>
      </c>
      <c r="M1152" s="1473">
        <v>2.462E-2</v>
      </c>
      <c r="N1152" s="1474">
        <v>1.4222866709571504</v>
      </c>
      <c r="O1152" s="1474"/>
    </row>
    <row r="1153" spans="11:15">
      <c r="K1153" s="1471">
        <v>43210</v>
      </c>
      <c r="L1153" s="1472" t="s">
        <v>2127</v>
      </c>
      <c r="M1153" s="1473">
        <v>2.462E-2</v>
      </c>
      <c r="N1153" s="1474">
        <v>1.4226368379355403</v>
      </c>
      <c r="O1153" s="1474"/>
    </row>
    <row r="1154" spans="11:15">
      <c r="K1154" s="1471">
        <v>43211</v>
      </c>
      <c r="L1154" s="1472"/>
      <c r="M1154" s="1473">
        <v>0</v>
      </c>
      <c r="N1154" s="1474">
        <v>1.4226368379355403</v>
      </c>
      <c r="O1154" s="1474"/>
    </row>
    <row r="1155" spans="11:15">
      <c r="K1155" s="1471">
        <v>43212</v>
      </c>
      <c r="L1155" s="1472"/>
      <c r="M1155" s="1473">
        <v>0</v>
      </c>
      <c r="N1155" s="1474">
        <v>1.4226368379355403</v>
      </c>
      <c r="O1155" s="1474"/>
    </row>
    <row r="1156" spans="11:15">
      <c r="K1156" s="1471">
        <v>43213</v>
      </c>
      <c r="L1156" s="1472" t="s">
        <v>2127</v>
      </c>
      <c r="M1156" s="1473">
        <v>2.462E-2</v>
      </c>
      <c r="N1156" s="1474">
        <v>1.4229870911250402</v>
      </c>
      <c r="O1156" s="1474"/>
    </row>
    <row r="1157" spans="11:15">
      <c r="K1157" s="1471">
        <v>43214</v>
      </c>
      <c r="L1157" s="1472" t="s">
        <v>2127</v>
      </c>
      <c r="M1157" s="1473">
        <v>2.462E-2</v>
      </c>
      <c r="N1157" s="1474">
        <v>1.4233374305468753</v>
      </c>
      <c r="O1157" s="1474"/>
    </row>
    <row r="1158" spans="11:15">
      <c r="K1158" s="1471">
        <v>43215</v>
      </c>
      <c r="L1158" s="1472" t="s">
        <v>2127</v>
      </c>
      <c r="M1158" s="1473">
        <v>2.462E-2</v>
      </c>
      <c r="N1158" s="1474">
        <v>1.4236878562222761</v>
      </c>
      <c r="O1158" s="1474"/>
    </row>
    <row r="1159" spans="11:15">
      <c r="K1159" s="1471">
        <v>43216</v>
      </c>
      <c r="L1159" s="1472" t="s">
        <v>2127</v>
      </c>
      <c r="M1159" s="1473">
        <v>2.462E-2</v>
      </c>
      <c r="N1159" s="1474">
        <v>1.4240383681724782</v>
      </c>
      <c r="O1159" s="1474"/>
    </row>
    <row r="1160" spans="11:15">
      <c r="K1160" s="1471">
        <v>43217</v>
      </c>
      <c r="L1160" s="1472" t="s">
        <v>2127</v>
      </c>
      <c r="M1160" s="1473">
        <v>2.462E-2</v>
      </c>
      <c r="N1160" s="1474">
        <v>1.4243889664187224</v>
      </c>
      <c r="O1160" s="1474"/>
    </row>
    <row r="1161" spans="11:15">
      <c r="K1161" s="1471">
        <v>43218</v>
      </c>
      <c r="L1161" s="1472"/>
      <c r="M1161" s="1473">
        <v>0</v>
      </c>
      <c r="N1161" s="1474">
        <v>1.4243889664187224</v>
      </c>
      <c r="O1161" s="1474"/>
    </row>
    <row r="1162" spans="11:15">
      <c r="K1162" s="1471">
        <v>43219</v>
      </c>
      <c r="L1162" s="1472"/>
      <c r="M1162" s="1473">
        <v>0</v>
      </c>
      <c r="N1162" s="1474">
        <v>1.4243889664187224</v>
      </c>
      <c r="O1162" s="1474"/>
    </row>
    <row r="1163" spans="11:15">
      <c r="K1163" s="1471">
        <v>43220</v>
      </c>
      <c r="L1163" s="1472" t="s">
        <v>2127</v>
      </c>
      <c r="M1163" s="1473">
        <v>2.462E-2</v>
      </c>
      <c r="N1163" s="1474">
        <v>1.4247396509822547</v>
      </c>
      <c r="O1163" s="1474"/>
    </row>
    <row r="1164" spans="11:15">
      <c r="K1164" s="1471">
        <v>43221</v>
      </c>
      <c r="L1164" s="1472"/>
      <c r="M1164" s="1473">
        <v>0</v>
      </c>
      <c r="N1164" s="1474">
        <v>1.4247396509822547</v>
      </c>
      <c r="O1164" s="1474"/>
    </row>
    <row r="1165" spans="11:15">
      <c r="K1165" s="1471">
        <v>43222</v>
      </c>
      <c r="L1165" s="1472" t="s">
        <v>2127</v>
      </c>
      <c r="M1165" s="1473">
        <v>2.462E-2</v>
      </c>
      <c r="N1165" s="1474">
        <v>1.4250904218843268</v>
      </c>
      <c r="O1165" s="1474"/>
    </row>
    <row r="1166" spans="11:15">
      <c r="K1166" s="1471">
        <v>43223</v>
      </c>
      <c r="L1166" s="1472" t="s">
        <v>2127</v>
      </c>
      <c r="M1166" s="1473">
        <v>2.462E-2</v>
      </c>
      <c r="N1166" s="1474">
        <v>1.4254412791461948</v>
      </c>
      <c r="O1166" s="1474"/>
    </row>
    <row r="1167" spans="11:15">
      <c r="K1167" s="1471">
        <v>43224</v>
      </c>
      <c r="L1167" s="1472" t="s">
        <v>2127</v>
      </c>
      <c r="M1167" s="1473">
        <v>2.462E-2</v>
      </c>
      <c r="N1167" s="1474">
        <v>1.4257922227891207</v>
      </c>
      <c r="O1167" s="1474"/>
    </row>
    <row r="1168" spans="11:15">
      <c r="K1168" s="1471">
        <v>43225</v>
      </c>
      <c r="L1168" s="1472"/>
      <c r="M1168" s="1473">
        <v>0</v>
      </c>
      <c r="N1168" s="1474">
        <v>1.4257922227891207</v>
      </c>
      <c r="O1168" s="1474"/>
    </row>
    <row r="1169" spans="11:15">
      <c r="K1169" s="1471">
        <v>43226</v>
      </c>
      <c r="L1169" s="1472"/>
      <c r="M1169" s="1473">
        <v>0</v>
      </c>
      <c r="N1169" s="1474">
        <v>1.4257922227891207</v>
      </c>
      <c r="O1169" s="1474"/>
    </row>
    <row r="1170" spans="11:15">
      <c r="K1170" s="1471">
        <v>43227</v>
      </c>
      <c r="L1170" s="1472" t="s">
        <v>2127</v>
      </c>
      <c r="M1170" s="1473">
        <v>2.462E-2</v>
      </c>
      <c r="N1170" s="1474">
        <v>1.4261432528343714</v>
      </c>
      <c r="O1170" s="1474"/>
    </row>
    <row r="1171" spans="11:15">
      <c r="K1171" s="1471">
        <v>43228</v>
      </c>
      <c r="L1171" s="1472" t="s">
        <v>2127</v>
      </c>
      <c r="M1171" s="1473">
        <v>2.462E-2</v>
      </c>
      <c r="N1171" s="1474">
        <v>1.4264943693032193</v>
      </c>
      <c r="O1171" s="1474"/>
    </row>
    <row r="1172" spans="11:15">
      <c r="K1172" s="1471">
        <v>43229</v>
      </c>
      <c r="L1172" s="1472" t="s">
        <v>2127</v>
      </c>
      <c r="M1172" s="1473">
        <v>2.462E-2</v>
      </c>
      <c r="N1172" s="1474">
        <v>1.4268455722169417</v>
      </c>
      <c r="O1172" s="1474"/>
    </row>
    <row r="1173" spans="11:15">
      <c r="K1173" s="1471">
        <v>43230</v>
      </c>
      <c r="L1173" s="1472" t="s">
        <v>2127</v>
      </c>
      <c r="M1173" s="1473">
        <v>2.462E-2</v>
      </c>
      <c r="N1173" s="1474">
        <v>1.4271968615968216</v>
      </c>
      <c r="O1173" s="1474"/>
    </row>
    <row r="1174" spans="11:15">
      <c r="K1174" s="1471">
        <v>43231</v>
      </c>
      <c r="L1174" s="1472" t="s">
        <v>2127</v>
      </c>
      <c r="M1174" s="1473">
        <v>2.462E-2</v>
      </c>
      <c r="N1174" s="1474">
        <v>1.4275482374641468</v>
      </c>
      <c r="O1174" s="1474"/>
    </row>
    <row r="1175" spans="11:15">
      <c r="K1175" s="1471">
        <v>43232</v>
      </c>
      <c r="L1175" s="1472"/>
      <c r="M1175" s="1473">
        <v>0</v>
      </c>
      <c r="N1175" s="1474">
        <v>1.4275482374641468</v>
      </c>
      <c r="O1175" s="1474"/>
    </row>
    <row r="1176" spans="11:15">
      <c r="K1176" s="1471">
        <v>43233</v>
      </c>
      <c r="L1176" s="1472"/>
      <c r="M1176" s="1473">
        <v>0</v>
      </c>
      <c r="N1176" s="1474">
        <v>1.4275482374641468</v>
      </c>
      <c r="O1176" s="1474"/>
    </row>
    <row r="1177" spans="11:15">
      <c r="K1177" s="1471">
        <v>43234</v>
      </c>
      <c r="L1177" s="1472" t="s">
        <v>2127</v>
      </c>
      <c r="M1177" s="1473">
        <v>2.462E-2</v>
      </c>
      <c r="N1177" s="1474">
        <v>1.4278996998402107</v>
      </c>
      <c r="O1177" s="1474"/>
    </row>
    <row r="1178" spans="11:15">
      <c r="K1178" s="1471">
        <v>43235</v>
      </c>
      <c r="L1178" s="1472" t="s">
        <v>2127</v>
      </c>
      <c r="M1178" s="1473">
        <v>2.462E-2</v>
      </c>
      <c r="N1178" s="1474">
        <v>1.4282512487463115</v>
      </c>
      <c r="O1178" s="1474"/>
    </row>
    <row r="1179" spans="11:15">
      <c r="K1179" s="1471">
        <v>43236</v>
      </c>
      <c r="L1179" s="1472" t="s">
        <v>2127</v>
      </c>
      <c r="M1179" s="1473">
        <v>2.462E-2</v>
      </c>
      <c r="N1179" s="1474">
        <v>1.428602884203753</v>
      </c>
      <c r="O1179" s="1474"/>
    </row>
    <row r="1180" spans="11:15">
      <c r="K1180" s="1471">
        <v>43237</v>
      </c>
      <c r="L1180" s="1472" t="s">
        <v>2127</v>
      </c>
      <c r="M1180" s="1473">
        <v>2.462E-2</v>
      </c>
      <c r="N1180" s="1474">
        <v>1.4289546062338441</v>
      </c>
      <c r="O1180" s="1474"/>
    </row>
    <row r="1181" spans="11:15">
      <c r="K1181" s="1471">
        <v>43238</v>
      </c>
      <c r="L1181" s="1472" t="s">
        <v>2127</v>
      </c>
      <c r="M1181" s="1473">
        <v>2.462E-2</v>
      </c>
      <c r="N1181" s="1474">
        <v>1.4293064148578989</v>
      </c>
      <c r="O1181" s="1474"/>
    </row>
    <row r="1182" spans="11:15">
      <c r="K1182" s="1471">
        <v>43239</v>
      </c>
      <c r="L1182" s="1472"/>
      <c r="M1182" s="1473">
        <v>0</v>
      </c>
      <c r="N1182" s="1474">
        <v>1.4293064148578989</v>
      </c>
      <c r="O1182" s="1474"/>
    </row>
    <row r="1183" spans="11:15">
      <c r="K1183" s="1471">
        <v>43240</v>
      </c>
      <c r="L1183" s="1472"/>
      <c r="M1183" s="1473">
        <v>0</v>
      </c>
      <c r="N1183" s="1474">
        <v>1.4293064148578989</v>
      </c>
      <c r="O1183" s="1474"/>
    </row>
    <row r="1184" spans="11:15">
      <c r="K1184" s="1471">
        <v>43241</v>
      </c>
      <c r="L1184" s="1472" t="s">
        <v>2127</v>
      </c>
      <c r="M1184" s="1473">
        <v>2.462E-2</v>
      </c>
      <c r="N1184" s="1474">
        <v>1.4296583100972371</v>
      </c>
      <c r="O1184" s="1474"/>
    </row>
    <row r="1185" spans="11:15">
      <c r="K1185" s="1471">
        <v>43242</v>
      </c>
      <c r="L1185" s="1472" t="s">
        <v>2127</v>
      </c>
      <c r="M1185" s="1473">
        <v>2.462E-2</v>
      </c>
      <c r="N1185" s="1474">
        <v>1.4300102919731832</v>
      </c>
      <c r="O1185" s="1474"/>
    </row>
    <row r="1186" spans="11:15">
      <c r="K1186" s="1471">
        <v>43243</v>
      </c>
      <c r="L1186" s="1472" t="s">
        <v>2127</v>
      </c>
      <c r="M1186" s="1473">
        <v>2.462E-2</v>
      </c>
      <c r="N1186" s="1474">
        <v>1.430362360507067</v>
      </c>
      <c r="O1186" s="1474"/>
    </row>
    <row r="1187" spans="11:15">
      <c r="K1187" s="1471">
        <v>43244</v>
      </c>
      <c r="L1187" s="1472" t="s">
        <v>2127</v>
      </c>
      <c r="M1187" s="1473">
        <v>2.462E-2</v>
      </c>
      <c r="N1187" s="1474">
        <v>1.4307145157202239</v>
      </c>
      <c r="O1187" s="1474"/>
    </row>
    <row r="1188" spans="11:15">
      <c r="K1188" s="1471">
        <v>43245</v>
      </c>
      <c r="L1188" s="1472" t="s">
        <v>2127</v>
      </c>
      <c r="M1188" s="1473">
        <v>2.462E-2</v>
      </c>
      <c r="N1188" s="1474">
        <v>1.4310667576339944</v>
      </c>
      <c r="O1188" s="1474"/>
    </row>
    <row r="1189" spans="11:15">
      <c r="K1189" s="1471">
        <v>43246</v>
      </c>
      <c r="L1189" s="1472"/>
      <c r="M1189" s="1473">
        <v>0</v>
      </c>
      <c r="N1189" s="1474">
        <v>1.4310667576339944</v>
      </c>
      <c r="O1189" s="1474"/>
    </row>
    <row r="1190" spans="11:15">
      <c r="K1190" s="1471">
        <v>43247</v>
      </c>
      <c r="L1190" s="1472"/>
      <c r="M1190" s="1473">
        <v>0</v>
      </c>
      <c r="N1190" s="1474">
        <v>1.4310667576339944</v>
      </c>
      <c r="O1190" s="1474"/>
    </row>
    <row r="1191" spans="11:15">
      <c r="K1191" s="1471">
        <v>43248</v>
      </c>
      <c r="L1191" s="1472" t="s">
        <v>2127</v>
      </c>
      <c r="M1191" s="1473">
        <v>2.462E-2</v>
      </c>
      <c r="N1191" s="1474">
        <v>1.431419086269724</v>
      </c>
      <c r="O1191" s="1474"/>
    </row>
    <row r="1192" spans="11:15">
      <c r="K1192" s="1471">
        <v>43249</v>
      </c>
      <c r="L1192" s="1472" t="s">
        <v>2127</v>
      </c>
      <c r="M1192" s="1473">
        <v>2.462E-2</v>
      </c>
      <c r="N1192" s="1474">
        <v>1.4317715016487638</v>
      </c>
      <c r="O1192" s="1474"/>
    </row>
    <row r="1193" spans="11:15">
      <c r="K1193" s="1471">
        <v>43250</v>
      </c>
      <c r="L1193" s="1472" t="s">
        <v>2127</v>
      </c>
      <c r="M1193" s="1473">
        <v>2.462E-2</v>
      </c>
      <c r="N1193" s="1474">
        <v>1.4321240037924698</v>
      </c>
      <c r="O1193" s="1474"/>
    </row>
    <row r="1194" spans="11:15">
      <c r="K1194" s="1471">
        <v>43251</v>
      </c>
      <c r="L1194" s="1472"/>
      <c r="M1194" s="1473">
        <v>0</v>
      </c>
      <c r="N1194" s="1474">
        <v>1.4321240037924698</v>
      </c>
      <c r="O1194" s="1474"/>
    </row>
    <row r="1195" spans="11:15">
      <c r="K1195" s="1471">
        <v>43252</v>
      </c>
      <c r="L1195" s="1472" t="s">
        <v>2127</v>
      </c>
      <c r="M1195" s="1473">
        <v>2.462E-2</v>
      </c>
      <c r="N1195" s="1474">
        <v>1.4324765927222036</v>
      </c>
      <c r="O1195" s="1474"/>
    </row>
    <row r="1196" spans="11:15">
      <c r="K1196" s="1471">
        <v>43253</v>
      </c>
      <c r="L1196" s="1472"/>
      <c r="M1196" s="1473">
        <v>0</v>
      </c>
      <c r="N1196" s="1474">
        <v>1.4324765927222036</v>
      </c>
      <c r="O1196" s="1474"/>
    </row>
    <row r="1197" spans="11:15">
      <c r="K1197" s="1471">
        <v>43254</v>
      </c>
      <c r="L1197" s="1472"/>
      <c r="M1197" s="1473">
        <v>0</v>
      </c>
      <c r="N1197" s="1474">
        <v>1.4324765927222036</v>
      </c>
      <c r="O1197" s="1474"/>
    </row>
    <row r="1198" spans="11:15">
      <c r="K1198" s="1471">
        <v>43255</v>
      </c>
      <c r="L1198" s="1472" t="s">
        <v>2127</v>
      </c>
      <c r="M1198" s="1473">
        <v>2.462E-2</v>
      </c>
      <c r="N1198" s="1474">
        <v>1.432829268459332</v>
      </c>
      <c r="O1198" s="1474"/>
    </row>
    <row r="1199" spans="11:15">
      <c r="K1199" s="1471">
        <v>43256</v>
      </c>
      <c r="L1199" s="1472" t="s">
        <v>2127</v>
      </c>
      <c r="M1199" s="1473">
        <v>2.462E-2</v>
      </c>
      <c r="N1199" s="1474">
        <v>1.4331820310252268</v>
      </c>
      <c r="O1199" s="1474"/>
    </row>
    <row r="1200" spans="11:15">
      <c r="K1200" s="1471">
        <v>43257</v>
      </c>
      <c r="L1200" s="1472" t="s">
        <v>2127</v>
      </c>
      <c r="M1200" s="1473">
        <v>2.462E-2</v>
      </c>
      <c r="N1200" s="1474">
        <v>1.4335348804412653</v>
      </c>
      <c r="O1200" s="1474"/>
    </row>
    <row r="1201" spans="11:15">
      <c r="K1201" s="1471">
        <v>43258</v>
      </c>
      <c r="L1201" s="1472" t="s">
        <v>2127</v>
      </c>
      <c r="M1201" s="1473">
        <v>2.462E-2</v>
      </c>
      <c r="N1201" s="1474">
        <v>1.43388781672883</v>
      </c>
      <c r="O1201" s="1474"/>
    </row>
    <row r="1202" spans="11:15">
      <c r="K1202" s="1471">
        <v>43259</v>
      </c>
      <c r="L1202" s="1472" t="s">
        <v>2127</v>
      </c>
      <c r="M1202" s="1473">
        <v>2.462E-2</v>
      </c>
      <c r="N1202" s="1474">
        <v>1.4342408399093087</v>
      </c>
      <c r="O1202" s="1474"/>
    </row>
    <row r="1203" spans="11:15">
      <c r="K1203" s="1471">
        <v>43260</v>
      </c>
      <c r="L1203" s="1472"/>
      <c r="M1203" s="1473">
        <v>0</v>
      </c>
      <c r="N1203" s="1474">
        <v>1.4342408399093087</v>
      </c>
      <c r="O1203" s="1474"/>
    </row>
    <row r="1204" spans="11:15">
      <c r="K1204" s="1471">
        <v>43261</v>
      </c>
      <c r="L1204" s="1472"/>
      <c r="M1204" s="1473">
        <v>0</v>
      </c>
      <c r="N1204" s="1474">
        <v>1.4342408399093087</v>
      </c>
      <c r="O1204" s="1474"/>
    </row>
    <row r="1205" spans="11:15">
      <c r="K1205" s="1471">
        <v>43262</v>
      </c>
      <c r="L1205" s="1472" t="s">
        <v>2127</v>
      </c>
      <c r="M1205" s="1473">
        <v>2.462E-2</v>
      </c>
      <c r="N1205" s="1474">
        <v>1.4345939500040945</v>
      </c>
      <c r="O1205" s="1474"/>
    </row>
    <row r="1206" spans="11:15">
      <c r="K1206" s="1471">
        <v>43263</v>
      </c>
      <c r="L1206" s="1472" t="s">
        <v>2127</v>
      </c>
      <c r="M1206" s="1473">
        <v>2.462E-2</v>
      </c>
      <c r="N1206" s="1474">
        <v>1.4349471470345856</v>
      </c>
      <c r="O1206" s="1474"/>
    </row>
    <row r="1207" spans="11:15">
      <c r="K1207" s="1471">
        <v>43264</v>
      </c>
      <c r="L1207" s="1472" t="s">
        <v>2127</v>
      </c>
      <c r="M1207" s="1473">
        <v>2.462E-2</v>
      </c>
      <c r="N1207" s="1474">
        <v>1.4353004310221855</v>
      </c>
      <c r="O1207" s="1474"/>
    </row>
    <row r="1208" spans="11:15">
      <c r="K1208" s="1471">
        <v>43265</v>
      </c>
      <c r="L1208" s="1472" t="s">
        <v>2127</v>
      </c>
      <c r="M1208" s="1473">
        <v>2.462E-2</v>
      </c>
      <c r="N1208" s="1474">
        <v>1.4356538019883034</v>
      </c>
      <c r="O1208" s="1474"/>
    </row>
    <row r="1209" spans="11:15">
      <c r="K1209" s="1471">
        <v>43266</v>
      </c>
      <c r="L1209" s="1472" t="s">
        <v>2127</v>
      </c>
      <c r="M1209" s="1473">
        <v>2.462E-2</v>
      </c>
      <c r="N1209" s="1474">
        <v>1.436007259954353</v>
      </c>
      <c r="O1209" s="1474"/>
    </row>
    <row r="1210" spans="11:15">
      <c r="K1210" s="1471">
        <v>43267</v>
      </c>
      <c r="L1210" s="1472"/>
      <c r="M1210" s="1473">
        <v>0</v>
      </c>
      <c r="N1210" s="1474">
        <v>1.436007259954353</v>
      </c>
      <c r="O1210" s="1474"/>
    </row>
    <row r="1211" spans="11:15">
      <c r="K1211" s="1471">
        <v>43268</v>
      </c>
      <c r="L1211" s="1472"/>
      <c r="M1211" s="1473">
        <v>0</v>
      </c>
      <c r="N1211" s="1474">
        <v>1.436007259954353</v>
      </c>
      <c r="O1211" s="1474"/>
    </row>
    <row r="1212" spans="11:15">
      <c r="K1212" s="1471">
        <v>43269</v>
      </c>
      <c r="L1212" s="1472" t="s">
        <v>2127</v>
      </c>
      <c r="M1212" s="1473">
        <v>2.462E-2</v>
      </c>
      <c r="N1212" s="1474">
        <v>1.4363608049417538</v>
      </c>
      <c r="O1212" s="1474"/>
    </row>
    <row r="1213" spans="11:15">
      <c r="K1213" s="1471">
        <v>43270</v>
      </c>
      <c r="L1213" s="1472" t="s">
        <v>2127</v>
      </c>
      <c r="M1213" s="1473">
        <v>2.462E-2</v>
      </c>
      <c r="N1213" s="1474">
        <v>1.4367144369719305</v>
      </c>
      <c r="O1213" s="1474"/>
    </row>
    <row r="1214" spans="11:15">
      <c r="K1214" s="1471">
        <v>43271</v>
      </c>
      <c r="L1214" s="1472" t="s">
        <v>2127</v>
      </c>
      <c r="M1214" s="1473">
        <v>2.462E-2</v>
      </c>
      <c r="N1214" s="1474">
        <v>1.437068156066313</v>
      </c>
      <c r="O1214" s="1474"/>
    </row>
    <row r="1215" spans="11:15">
      <c r="K1215" s="1471">
        <v>43272</v>
      </c>
      <c r="L1215" s="1472" t="s">
        <v>2127</v>
      </c>
      <c r="M1215" s="1473">
        <v>2.462E-2</v>
      </c>
      <c r="N1215" s="1474">
        <v>1.4374219622463367</v>
      </c>
      <c r="O1215" s="1474"/>
    </row>
    <row r="1216" spans="11:15">
      <c r="K1216" s="1471">
        <v>43273</v>
      </c>
      <c r="L1216" s="1472" t="s">
        <v>2127</v>
      </c>
      <c r="M1216" s="1473">
        <v>2.462E-2</v>
      </c>
      <c r="N1216" s="1474">
        <v>1.4377758555334419</v>
      </c>
      <c r="O1216" s="1474"/>
    </row>
    <row r="1217" spans="11:15">
      <c r="K1217" s="1471">
        <v>43274</v>
      </c>
      <c r="L1217" s="1472"/>
      <c r="M1217" s="1473">
        <v>0</v>
      </c>
      <c r="N1217" s="1474">
        <v>1.4377758555334419</v>
      </c>
      <c r="O1217" s="1474"/>
    </row>
    <row r="1218" spans="11:15">
      <c r="K1218" s="1471">
        <v>43275</v>
      </c>
      <c r="L1218" s="1472"/>
      <c r="M1218" s="1473">
        <v>0</v>
      </c>
      <c r="N1218" s="1474">
        <v>1.4377758555334419</v>
      </c>
      <c r="O1218" s="1474"/>
    </row>
    <row r="1219" spans="11:15">
      <c r="K1219" s="1471">
        <v>43276</v>
      </c>
      <c r="L1219" s="1472" t="s">
        <v>2127</v>
      </c>
      <c r="M1219" s="1473">
        <v>2.462E-2</v>
      </c>
      <c r="N1219" s="1474">
        <v>1.4381298359490744</v>
      </c>
      <c r="O1219" s="1474"/>
    </row>
    <row r="1220" spans="11:15">
      <c r="K1220" s="1471">
        <v>43277</v>
      </c>
      <c r="L1220" s="1472" t="s">
        <v>2127</v>
      </c>
      <c r="M1220" s="1473">
        <v>2.462E-2</v>
      </c>
      <c r="N1220" s="1474">
        <v>1.4384839035146852</v>
      </c>
      <c r="O1220" s="1474"/>
    </row>
    <row r="1221" spans="11:15">
      <c r="K1221" s="1471">
        <v>43278</v>
      </c>
      <c r="L1221" s="1472" t="s">
        <v>2127</v>
      </c>
      <c r="M1221" s="1473">
        <v>2.462E-2</v>
      </c>
      <c r="N1221" s="1474">
        <v>1.4388380582517306</v>
      </c>
      <c r="O1221" s="1474"/>
    </row>
    <row r="1222" spans="11:15">
      <c r="K1222" s="1471">
        <v>43279</v>
      </c>
      <c r="L1222" s="1472" t="s">
        <v>2127</v>
      </c>
      <c r="M1222" s="1473">
        <v>2.462E-2</v>
      </c>
      <c r="N1222" s="1474">
        <v>1.4391923001816722</v>
      </c>
      <c r="O1222" s="1474"/>
    </row>
    <row r="1223" spans="11:15">
      <c r="K1223" s="1471">
        <v>43280</v>
      </c>
      <c r="L1223" s="1472" t="s">
        <v>2127</v>
      </c>
      <c r="M1223" s="1473">
        <v>2.462E-2</v>
      </c>
      <c r="N1223" s="1474">
        <v>1.4395466293259771</v>
      </c>
      <c r="O1223" s="1474"/>
    </row>
    <row r="1224" spans="11:15">
      <c r="K1224" s="1471">
        <v>43281</v>
      </c>
      <c r="L1224" s="1472"/>
      <c r="M1224" s="1473">
        <v>0</v>
      </c>
      <c r="N1224" s="1474">
        <v>1.4395466293259771</v>
      </c>
      <c r="O1224" s="1474"/>
    </row>
    <row r="1225" spans="11:15">
      <c r="K1225" s="1471">
        <v>43282</v>
      </c>
      <c r="L1225" s="1472"/>
      <c r="M1225" s="1473">
        <v>0</v>
      </c>
      <c r="N1225" s="1474">
        <v>1.4395466293259771</v>
      </c>
      <c r="O1225" s="1474"/>
    </row>
    <row r="1226" spans="11:15">
      <c r="K1226" s="1471">
        <v>43283</v>
      </c>
      <c r="L1226" s="1472" t="s">
        <v>2127</v>
      </c>
      <c r="M1226" s="1473">
        <v>2.462E-2</v>
      </c>
      <c r="N1226" s="1474">
        <v>1.4399010457061172</v>
      </c>
      <c r="O1226" s="1474"/>
    </row>
    <row r="1227" spans="11:15">
      <c r="K1227" s="1471">
        <v>43284</v>
      </c>
      <c r="L1227" s="1472" t="s">
        <v>2127</v>
      </c>
      <c r="M1227" s="1473">
        <v>2.462E-2</v>
      </c>
      <c r="N1227" s="1474">
        <v>1.4402555493435703</v>
      </c>
      <c r="O1227" s="1474"/>
    </row>
    <row r="1228" spans="11:15">
      <c r="K1228" s="1471">
        <v>43285</v>
      </c>
      <c r="L1228" s="1472" t="s">
        <v>2127</v>
      </c>
      <c r="M1228" s="1473">
        <v>2.462E-2</v>
      </c>
      <c r="N1228" s="1474">
        <v>1.4406101402598188</v>
      </c>
      <c r="O1228" s="1474"/>
    </row>
    <row r="1229" spans="11:15">
      <c r="K1229" s="1471">
        <v>43286</v>
      </c>
      <c r="L1229" s="1472" t="s">
        <v>2127</v>
      </c>
      <c r="M1229" s="1473">
        <v>2.462E-2</v>
      </c>
      <c r="N1229" s="1474">
        <v>1.4409648184763508</v>
      </c>
      <c r="O1229" s="1474"/>
    </row>
    <row r="1230" spans="11:15">
      <c r="K1230" s="1471">
        <v>43287</v>
      </c>
      <c r="L1230" s="1472" t="s">
        <v>2127</v>
      </c>
      <c r="M1230" s="1473">
        <v>2.462E-2</v>
      </c>
      <c r="N1230" s="1474">
        <v>1.4413195840146598</v>
      </c>
      <c r="O1230" s="1474"/>
    </row>
    <row r="1231" spans="11:15">
      <c r="K1231" s="1471">
        <v>43288</v>
      </c>
      <c r="L1231" s="1472"/>
      <c r="M1231" s="1473">
        <v>0</v>
      </c>
      <c r="N1231" s="1474">
        <v>1.4413195840146598</v>
      </c>
      <c r="O1231" s="1474"/>
    </row>
    <row r="1232" spans="11:15">
      <c r="K1232" s="1471">
        <v>43289</v>
      </c>
      <c r="L1232" s="1472"/>
      <c r="M1232" s="1473">
        <v>0</v>
      </c>
      <c r="N1232" s="1474">
        <v>1.4413195840146598</v>
      </c>
      <c r="O1232" s="1474"/>
    </row>
    <row r="1233" spans="11:15">
      <c r="K1233" s="1471">
        <v>43290</v>
      </c>
      <c r="L1233" s="1472" t="s">
        <v>2127</v>
      </c>
      <c r="M1233" s="1473">
        <v>2.462E-2</v>
      </c>
      <c r="N1233" s="1474">
        <v>1.4416744368962442</v>
      </c>
      <c r="O1233" s="1474"/>
    </row>
    <row r="1234" spans="11:15">
      <c r="K1234" s="1471">
        <v>43291</v>
      </c>
      <c r="L1234" s="1472" t="s">
        <v>2127</v>
      </c>
      <c r="M1234" s="1473">
        <v>2.462E-2</v>
      </c>
      <c r="N1234" s="1474">
        <v>1.4420293771426083</v>
      </c>
      <c r="O1234" s="1474"/>
    </row>
    <row r="1235" spans="11:15">
      <c r="K1235" s="1471">
        <v>43292</v>
      </c>
      <c r="L1235" s="1472" t="s">
        <v>2127</v>
      </c>
      <c r="M1235" s="1473">
        <v>2.462E-2</v>
      </c>
      <c r="N1235" s="1474">
        <v>1.442384404775261</v>
      </c>
      <c r="O1235" s="1474"/>
    </row>
    <row r="1236" spans="11:15">
      <c r="K1236" s="1471">
        <v>43293</v>
      </c>
      <c r="L1236" s="1472" t="s">
        <v>2127</v>
      </c>
      <c r="M1236" s="1473">
        <v>2.462E-2</v>
      </c>
      <c r="N1236" s="1474">
        <v>1.4427395198157167</v>
      </c>
      <c r="O1236" s="1474"/>
    </row>
    <row r="1237" spans="11:15">
      <c r="K1237" s="1471">
        <v>43294</v>
      </c>
      <c r="L1237" s="1472" t="s">
        <v>2127</v>
      </c>
      <c r="M1237" s="1473">
        <v>2.462E-2</v>
      </c>
      <c r="N1237" s="1474">
        <v>1.4430947222854955</v>
      </c>
      <c r="O1237" s="1474"/>
    </row>
    <row r="1238" spans="11:15">
      <c r="K1238" s="1471">
        <v>43295</v>
      </c>
      <c r="L1238" s="1472"/>
      <c r="M1238" s="1473">
        <v>0</v>
      </c>
      <c r="N1238" s="1474">
        <v>1.4430947222854955</v>
      </c>
      <c r="O1238" s="1474"/>
    </row>
    <row r="1239" spans="11:15">
      <c r="K1239" s="1471">
        <v>43296</v>
      </c>
      <c r="L1239" s="1472"/>
      <c r="M1239" s="1473">
        <v>0</v>
      </c>
      <c r="N1239" s="1474">
        <v>1.4430947222854955</v>
      </c>
      <c r="O1239" s="1474"/>
    </row>
    <row r="1240" spans="11:15">
      <c r="K1240" s="1471">
        <v>43297</v>
      </c>
      <c r="L1240" s="1472" t="s">
        <v>2127</v>
      </c>
      <c r="M1240" s="1473">
        <v>2.462E-2</v>
      </c>
      <c r="N1240" s="1474">
        <v>1.4434500122061222</v>
      </c>
      <c r="O1240" s="1474"/>
    </row>
    <row r="1241" spans="11:15">
      <c r="K1241" s="1471">
        <v>43298</v>
      </c>
      <c r="L1241" s="1472" t="s">
        <v>2127</v>
      </c>
      <c r="M1241" s="1473">
        <v>2.462E-2</v>
      </c>
      <c r="N1241" s="1474">
        <v>1.4438053895991274</v>
      </c>
      <c r="O1241" s="1474"/>
    </row>
    <row r="1242" spans="11:15">
      <c r="K1242" s="1471">
        <v>43299</v>
      </c>
      <c r="L1242" s="1472" t="s">
        <v>2127</v>
      </c>
      <c r="M1242" s="1473">
        <v>2.462E-2</v>
      </c>
      <c r="N1242" s="1474">
        <v>1.4441608544860469</v>
      </c>
      <c r="O1242" s="1474"/>
    </row>
    <row r="1243" spans="11:15">
      <c r="K1243" s="1471">
        <v>43300</v>
      </c>
      <c r="L1243" s="1472" t="s">
        <v>2127</v>
      </c>
      <c r="M1243" s="1473">
        <v>2.462E-2</v>
      </c>
      <c r="N1243" s="1474">
        <v>1.4445164068884215</v>
      </c>
      <c r="O1243" s="1474"/>
    </row>
    <row r="1244" spans="11:15">
      <c r="K1244" s="1471">
        <v>43301</v>
      </c>
      <c r="L1244" s="1472" t="s">
        <v>2127</v>
      </c>
      <c r="M1244" s="1473">
        <v>2.462E-2</v>
      </c>
      <c r="N1244" s="1474">
        <v>1.4448720468277976</v>
      </c>
      <c r="O1244" s="1474"/>
    </row>
    <row r="1245" spans="11:15">
      <c r="K1245" s="1471">
        <v>43302</v>
      </c>
      <c r="L1245" s="1472"/>
      <c r="M1245" s="1473">
        <v>0</v>
      </c>
      <c r="N1245" s="1474">
        <v>1.4448720468277976</v>
      </c>
      <c r="O1245" s="1474"/>
    </row>
    <row r="1246" spans="11:15">
      <c r="K1246" s="1471">
        <v>43303</v>
      </c>
      <c r="L1246" s="1472"/>
      <c r="M1246" s="1473">
        <v>0</v>
      </c>
      <c r="N1246" s="1474">
        <v>1.4448720468277976</v>
      </c>
      <c r="O1246" s="1474"/>
    </row>
    <row r="1247" spans="11:15">
      <c r="K1247" s="1471">
        <v>43304</v>
      </c>
      <c r="L1247" s="1472" t="s">
        <v>2127</v>
      </c>
      <c r="M1247" s="1473">
        <v>2.462E-2</v>
      </c>
      <c r="N1247" s="1474">
        <v>1.4452277743257267</v>
      </c>
      <c r="O1247" s="1474"/>
    </row>
    <row r="1248" spans="11:15">
      <c r="K1248" s="1471">
        <v>43305</v>
      </c>
      <c r="L1248" s="1472" t="s">
        <v>2127</v>
      </c>
      <c r="M1248" s="1473">
        <v>2.462E-2</v>
      </c>
      <c r="N1248" s="1474">
        <v>1.4455835894037659</v>
      </c>
      <c r="O1248" s="1474"/>
    </row>
    <row r="1249" spans="11:15">
      <c r="K1249" s="1471">
        <v>43306</v>
      </c>
      <c r="L1249" s="1472" t="s">
        <v>2127</v>
      </c>
      <c r="M1249" s="1473">
        <v>2.462E-2</v>
      </c>
      <c r="N1249" s="1474">
        <v>1.4459394920834772</v>
      </c>
      <c r="O1249" s="1474"/>
    </row>
    <row r="1250" spans="11:15">
      <c r="K1250" s="1471">
        <v>43307</v>
      </c>
      <c r="L1250" s="1472" t="s">
        <v>2127</v>
      </c>
      <c r="M1250" s="1473">
        <v>2.462E-2</v>
      </c>
      <c r="N1250" s="1474">
        <v>1.4462954823864282</v>
      </c>
      <c r="O1250" s="1474"/>
    </row>
    <row r="1251" spans="11:15">
      <c r="K1251" s="1471">
        <v>43308</v>
      </c>
      <c r="L1251" s="1472" t="s">
        <v>2127</v>
      </c>
      <c r="M1251" s="1473">
        <v>2.462E-2</v>
      </c>
      <c r="N1251" s="1474">
        <v>1.4466515603341918</v>
      </c>
      <c r="O1251" s="1474"/>
    </row>
    <row r="1252" spans="11:15">
      <c r="K1252" s="1471">
        <v>43309</v>
      </c>
      <c r="L1252" s="1472"/>
      <c r="M1252" s="1473">
        <v>0</v>
      </c>
      <c r="N1252" s="1474">
        <v>1.4466515603341918</v>
      </c>
      <c r="O1252" s="1474"/>
    </row>
    <row r="1253" spans="11:15">
      <c r="K1253" s="1471">
        <v>43310</v>
      </c>
      <c r="L1253" s="1472"/>
      <c r="M1253" s="1473">
        <v>0</v>
      </c>
      <c r="N1253" s="1474">
        <v>1.4466515603341918</v>
      </c>
      <c r="O1253" s="1474"/>
    </row>
    <row r="1254" spans="11:15">
      <c r="K1254" s="1471">
        <v>43311</v>
      </c>
      <c r="L1254" s="1472" t="s">
        <v>2127</v>
      </c>
      <c r="M1254" s="1473">
        <v>2.462E-2</v>
      </c>
      <c r="N1254" s="1474">
        <v>1.4470077259483463</v>
      </c>
      <c r="O1254" s="1474"/>
    </row>
    <row r="1255" spans="11:15">
      <c r="K1255" s="1471">
        <v>43312</v>
      </c>
      <c r="L1255" s="1472" t="s">
        <v>2127</v>
      </c>
      <c r="M1255" s="1473">
        <v>2.462E-2</v>
      </c>
      <c r="N1255" s="1474">
        <v>1.4473639792504749</v>
      </c>
      <c r="O1255" s="1474"/>
    </row>
    <row r="1256" spans="11:15">
      <c r="K1256" s="1471">
        <v>43313</v>
      </c>
      <c r="L1256" s="1472" t="s">
        <v>2127</v>
      </c>
      <c r="M1256" s="1473">
        <v>2.462E-2</v>
      </c>
      <c r="N1256" s="1474">
        <v>1.4477203202621665</v>
      </c>
      <c r="O1256" s="1474"/>
    </row>
    <row r="1257" spans="11:15">
      <c r="K1257" s="1471">
        <v>43314</v>
      </c>
      <c r="L1257" s="1472" t="s">
        <v>2127</v>
      </c>
      <c r="M1257" s="1473">
        <v>2.462E-2</v>
      </c>
      <c r="N1257" s="1474">
        <v>1.448076749005015</v>
      </c>
      <c r="O1257" s="1474"/>
    </row>
    <row r="1258" spans="11:15">
      <c r="K1258" s="1471">
        <v>43315</v>
      </c>
      <c r="L1258" s="1472" t="s">
        <v>2127</v>
      </c>
      <c r="M1258" s="1473">
        <v>2.462E-2</v>
      </c>
      <c r="N1258" s="1474">
        <v>1.4484332655006202</v>
      </c>
      <c r="O1258" s="1474"/>
    </row>
    <row r="1259" spans="11:15">
      <c r="K1259" s="1471">
        <v>43316</v>
      </c>
      <c r="L1259" s="1472"/>
      <c r="M1259" s="1473">
        <v>0</v>
      </c>
      <c r="N1259" s="1474">
        <v>1.4484332655006202</v>
      </c>
      <c r="O1259" s="1474"/>
    </row>
    <row r="1260" spans="11:15">
      <c r="K1260" s="1471">
        <v>43317</v>
      </c>
      <c r="L1260" s="1472"/>
      <c r="M1260" s="1473">
        <v>0</v>
      </c>
      <c r="N1260" s="1474">
        <v>1.4484332655006202</v>
      </c>
      <c r="O1260" s="1474"/>
    </row>
    <row r="1261" spans="11:15">
      <c r="K1261" s="1471">
        <v>43318</v>
      </c>
      <c r="L1261" s="1472" t="s">
        <v>2127</v>
      </c>
      <c r="M1261" s="1473">
        <v>2.462E-2</v>
      </c>
      <c r="N1261" s="1474">
        <v>1.4487898697705865</v>
      </c>
      <c r="O1261" s="1474"/>
    </row>
    <row r="1262" spans="11:15">
      <c r="K1262" s="1471">
        <v>43319</v>
      </c>
      <c r="L1262" s="1472" t="s">
        <v>2127</v>
      </c>
      <c r="M1262" s="1473">
        <v>2.462E-2</v>
      </c>
      <c r="N1262" s="1474">
        <v>1.4491465618365242</v>
      </c>
      <c r="O1262" s="1474"/>
    </row>
    <row r="1263" spans="11:15">
      <c r="K1263" s="1471">
        <v>43320</v>
      </c>
      <c r="L1263" s="1472" t="s">
        <v>2127</v>
      </c>
      <c r="M1263" s="1473">
        <v>2.462E-2</v>
      </c>
      <c r="N1263" s="1474">
        <v>1.4495033417200485</v>
      </c>
      <c r="O1263" s="1474"/>
    </row>
    <row r="1264" spans="11:15">
      <c r="K1264" s="1471">
        <v>43321</v>
      </c>
      <c r="L1264" s="1472" t="s">
        <v>2127</v>
      </c>
      <c r="M1264" s="1473">
        <v>2.462E-2</v>
      </c>
      <c r="N1264" s="1474">
        <v>1.4498602094427802</v>
      </c>
      <c r="O1264" s="1474"/>
    </row>
    <row r="1265" spans="11:15">
      <c r="K1265" s="1471">
        <v>43322</v>
      </c>
      <c r="L1265" s="1472" t="s">
        <v>2127</v>
      </c>
      <c r="M1265" s="1473">
        <v>2.462E-2</v>
      </c>
      <c r="N1265" s="1474">
        <v>1.4502171650263451</v>
      </c>
      <c r="O1265" s="1474"/>
    </row>
    <row r="1266" spans="11:15">
      <c r="K1266" s="1471">
        <v>43323</v>
      </c>
      <c r="L1266" s="1472"/>
      <c r="M1266" s="1473">
        <v>0</v>
      </c>
      <c r="N1266" s="1474">
        <v>1.4502171650263451</v>
      </c>
      <c r="O1266" s="1474"/>
    </row>
    <row r="1267" spans="11:15">
      <c r="K1267" s="1471">
        <v>43324</v>
      </c>
      <c r="L1267" s="1472"/>
      <c r="M1267" s="1473">
        <v>0</v>
      </c>
      <c r="N1267" s="1474">
        <v>1.4502171650263451</v>
      </c>
      <c r="O1267" s="1474"/>
    </row>
    <row r="1268" spans="11:15">
      <c r="K1268" s="1471">
        <v>43325</v>
      </c>
      <c r="L1268" s="1472" t="s">
        <v>2127</v>
      </c>
      <c r="M1268" s="1473">
        <v>2.462E-2</v>
      </c>
      <c r="N1268" s="1474">
        <v>1.4505742084923747</v>
      </c>
      <c r="O1268" s="1474"/>
    </row>
    <row r="1269" spans="11:15">
      <c r="K1269" s="1471">
        <v>43326</v>
      </c>
      <c r="L1269" s="1472" t="s">
        <v>2127</v>
      </c>
      <c r="M1269" s="1473">
        <v>2.462E-2</v>
      </c>
      <c r="N1269" s="1474">
        <v>1.4509313398625057</v>
      </c>
      <c r="O1269" s="1474"/>
    </row>
    <row r="1270" spans="11:15">
      <c r="K1270" s="1471">
        <v>43327</v>
      </c>
      <c r="L1270" s="1472" t="s">
        <v>2127</v>
      </c>
      <c r="M1270" s="1473">
        <v>2.462E-2</v>
      </c>
      <c r="N1270" s="1474">
        <v>1.45128855915838</v>
      </c>
      <c r="O1270" s="1474"/>
    </row>
    <row r="1271" spans="11:15">
      <c r="K1271" s="1471">
        <v>43328</v>
      </c>
      <c r="L1271" s="1472" t="s">
        <v>2127</v>
      </c>
      <c r="M1271" s="1473">
        <v>2.462E-2</v>
      </c>
      <c r="N1271" s="1474">
        <v>1.4516458664016449</v>
      </c>
      <c r="O1271" s="1474"/>
    </row>
    <row r="1272" spans="11:15">
      <c r="K1272" s="1471">
        <v>43329</v>
      </c>
      <c r="L1272" s="1472" t="s">
        <v>2127</v>
      </c>
      <c r="M1272" s="1473">
        <v>2.462E-2</v>
      </c>
      <c r="N1272" s="1474">
        <v>1.4520032616139531</v>
      </c>
      <c r="O1272" s="1474"/>
    </row>
    <row r="1273" spans="11:15">
      <c r="K1273" s="1471">
        <v>43330</v>
      </c>
      <c r="L1273" s="1472"/>
      <c r="M1273" s="1473">
        <v>0</v>
      </c>
      <c r="N1273" s="1474">
        <v>1.4520032616139531</v>
      </c>
      <c r="O1273" s="1474"/>
    </row>
    <row r="1274" spans="11:15">
      <c r="K1274" s="1471">
        <v>43331</v>
      </c>
      <c r="L1274" s="1472"/>
      <c r="M1274" s="1473">
        <v>0</v>
      </c>
      <c r="N1274" s="1474">
        <v>1.4520032616139531</v>
      </c>
      <c r="O1274" s="1474"/>
    </row>
    <row r="1275" spans="11:15">
      <c r="K1275" s="1471">
        <v>43332</v>
      </c>
      <c r="L1275" s="1472" t="s">
        <v>2127</v>
      </c>
      <c r="M1275" s="1473">
        <v>2.462E-2</v>
      </c>
      <c r="N1275" s="1474">
        <v>1.4523607448169626</v>
      </c>
      <c r="O1275" s="1474"/>
    </row>
    <row r="1276" spans="11:15">
      <c r="K1276" s="1471">
        <v>43333</v>
      </c>
      <c r="L1276" s="1472" t="s">
        <v>2127</v>
      </c>
      <c r="M1276" s="1473">
        <v>2.462E-2</v>
      </c>
      <c r="N1276" s="1474">
        <v>1.4527183160323367</v>
      </c>
      <c r="O1276" s="1474"/>
    </row>
    <row r="1277" spans="11:15">
      <c r="K1277" s="1471">
        <v>43334</v>
      </c>
      <c r="L1277" s="1472" t="s">
        <v>2127</v>
      </c>
      <c r="M1277" s="1473">
        <v>2.462E-2</v>
      </c>
      <c r="N1277" s="1474">
        <v>1.4530759752817439</v>
      </c>
      <c r="O1277" s="1474"/>
    </row>
    <row r="1278" spans="11:15">
      <c r="K1278" s="1471">
        <v>43335</v>
      </c>
      <c r="L1278" s="1472" t="s">
        <v>2127</v>
      </c>
      <c r="M1278" s="1473">
        <v>2.462E-2</v>
      </c>
      <c r="N1278" s="1474">
        <v>1.4534337225868583</v>
      </c>
      <c r="O1278" s="1474"/>
    </row>
    <row r="1279" spans="11:15">
      <c r="K1279" s="1471">
        <v>43336</v>
      </c>
      <c r="L1279" s="1472" t="s">
        <v>2127</v>
      </c>
      <c r="M1279" s="1473">
        <v>2.462E-2</v>
      </c>
      <c r="N1279" s="1474">
        <v>1.4537915579693594</v>
      </c>
      <c r="O1279" s="1474"/>
    </row>
    <row r="1280" spans="11:15">
      <c r="K1280" s="1471">
        <v>43337</v>
      </c>
      <c r="L1280" s="1472"/>
      <c r="M1280" s="1473">
        <v>0</v>
      </c>
      <c r="N1280" s="1474">
        <v>1.4537915579693594</v>
      </c>
      <c r="O1280" s="1474"/>
    </row>
    <row r="1281" spans="11:15">
      <c r="K1281" s="1471">
        <v>43338</v>
      </c>
      <c r="L1281" s="1472"/>
      <c r="M1281" s="1473">
        <v>0</v>
      </c>
      <c r="N1281" s="1474">
        <v>1.4537915579693594</v>
      </c>
      <c r="O1281" s="1474"/>
    </row>
    <row r="1282" spans="11:15">
      <c r="K1282" s="1471">
        <v>43339</v>
      </c>
      <c r="L1282" s="1472" t="s">
        <v>2127</v>
      </c>
      <c r="M1282" s="1473">
        <v>2.462E-2</v>
      </c>
      <c r="N1282" s="1474">
        <v>1.4541494814509317</v>
      </c>
      <c r="O1282" s="1474"/>
    </row>
    <row r="1283" spans="11:15">
      <c r="K1283" s="1471">
        <v>43340</v>
      </c>
      <c r="L1283" s="1472" t="s">
        <v>2127</v>
      </c>
      <c r="M1283" s="1473">
        <v>2.462E-2</v>
      </c>
      <c r="N1283" s="1474">
        <v>1.4545074930532651</v>
      </c>
      <c r="O1283" s="1474"/>
    </row>
    <row r="1284" spans="11:15">
      <c r="K1284" s="1471">
        <v>43341</v>
      </c>
      <c r="L1284" s="1472" t="s">
        <v>2127</v>
      </c>
      <c r="M1284" s="1473">
        <v>2.462E-2</v>
      </c>
      <c r="N1284" s="1474">
        <v>1.4548655927980549</v>
      </c>
      <c r="O1284" s="1474"/>
    </row>
    <row r="1285" spans="11:15">
      <c r="K1285" s="1471">
        <v>43342</v>
      </c>
      <c r="L1285" s="1472" t="s">
        <v>2127</v>
      </c>
      <c r="M1285" s="1473">
        <v>2.462E-2</v>
      </c>
      <c r="N1285" s="1474">
        <v>1.4552237807070019</v>
      </c>
      <c r="O1285" s="1474"/>
    </row>
    <row r="1286" spans="11:15">
      <c r="K1286" s="1471">
        <v>43343</v>
      </c>
      <c r="L1286" s="1472" t="s">
        <v>2127</v>
      </c>
      <c r="M1286" s="1473">
        <v>2.462E-2</v>
      </c>
      <c r="N1286" s="1474">
        <v>1.4555820568018121</v>
      </c>
      <c r="O1286" s="1474"/>
    </row>
    <row r="1287" spans="11:15">
      <c r="K1287" s="1471">
        <v>43344</v>
      </c>
      <c r="L1287" s="1472"/>
      <c r="M1287" s="1473">
        <v>0</v>
      </c>
      <c r="N1287" s="1474">
        <v>1.4555820568018121</v>
      </c>
      <c r="O1287" s="1474"/>
    </row>
    <row r="1288" spans="11:15">
      <c r="K1288" s="1471">
        <v>43345</v>
      </c>
      <c r="L1288" s="1472"/>
      <c r="M1288" s="1473">
        <v>0</v>
      </c>
      <c r="N1288" s="1474">
        <v>1.4555820568018121</v>
      </c>
      <c r="O1288" s="1474"/>
    </row>
    <row r="1289" spans="11:15">
      <c r="K1289" s="1471">
        <v>43346</v>
      </c>
      <c r="L1289" s="1472" t="s">
        <v>2127</v>
      </c>
      <c r="M1289" s="1473">
        <v>2.462E-2</v>
      </c>
      <c r="N1289" s="1474">
        <v>1.4559404211041969</v>
      </c>
      <c r="O1289" s="1474"/>
    </row>
    <row r="1290" spans="11:15">
      <c r="K1290" s="1471">
        <v>43347</v>
      </c>
      <c r="L1290" s="1472" t="s">
        <v>2127</v>
      </c>
      <c r="M1290" s="1473">
        <v>2.462E-2</v>
      </c>
      <c r="N1290" s="1474">
        <v>1.4562988736358728</v>
      </c>
      <c r="O1290" s="1474"/>
    </row>
    <row r="1291" spans="11:15">
      <c r="K1291" s="1471">
        <v>43348</v>
      </c>
      <c r="L1291" s="1472" t="s">
        <v>2127</v>
      </c>
      <c r="M1291" s="1473">
        <v>2.462E-2</v>
      </c>
      <c r="N1291" s="1474">
        <v>1.4566574144185622</v>
      </c>
      <c r="O1291" s="1474"/>
    </row>
    <row r="1292" spans="11:15">
      <c r="K1292" s="1471">
        <v>43349</v>
      </c>
      <c r="L1292" s="1472" t="s">
        <v>2127</v>
      </c>
      <c r="M1292" s="1473">
        <v>2.462E-2</v>
      </c>
      <c r="N1292" s="1474">
        <v>1.4570160434739923</v>
      </c>
      <c r="O1292" s="1474"/>
    </row>
    <row r="1293" spans="11:15">
      <c r="K1293" s="1471">
        <v>43350</v>
      </c>
      <c r="L1293" s="1472"/>
      <c r="M1293" s="1473">
        <v>0</v>
      </c>
      <c r="N1293" s="1474">
        <v>1.4570160434739923</v>
      </c>
      <c r="O1293" s="1474"/>
    </row>
    <row r="1294" spans="11:15">
      <c r="K1294" s="1471">
        <v>43351</v>
      </c>
      <c r="L1294" s="1472"/>
      <c r="M1294" s="1473">
        <v>0</v>
      </c>
      <c r="N1294" s="1474">
        <v>1.4570160434739923</v>
      </c>
      <c r="O1294" s="1474"/>
    </row>
    <row r="1295" spans="11:15">
      <c r="K1295" s="1471">
        <v>43352</v>
      </c>
      <c r="L1295" s="1472"/>
      <c r="M1295" s="1473">
        <v>0</v>
      </c>
      <c r="N1295" s="1474">
        <v>1.4570160434739923</v>
      </c>
      <c r="O1295" s="1474"/>
    </row>
    <row r="1296" spans="11:15">
      <c r="K1296" s="1471">
        <v>43353</v>
      </c>
      <c r="L1296" s="1472" t="s">
        <v>2127</v>
      </c>
      <c r="M1296" s="1473">
        <v>2.462E-2</v>
      </c>
      <c r="N1296" s="1474">
        <v>1.4573747608238956</v>
      </c>
      <c r="O1296" s="1474"/>
    </row>
    <row r="1297" spans="11:15">
      <c r="K1297" s="1471">
        <v>43354</v>
      </c>
      <c r="L1297" s="1472" t="s">
        <v>2127</v>
      </c>
      <c r="M1297" s="1473">
        <v>2.462E-2</v>
      </c>
      <c r="N1297" s="1474">
        <v>1.4577335664900106</v>
      </c>
      <c r="O1297" s="1474"/>
    </row>
    <row r="1298" spans="11:15">
      <c r="K1298" s="1471">
        <v>43355</v>
      </c>
      <c r="L1298" s="1472" t="s">
        <v>2127</v>
      </c>
      <c r="M1298" s="1473">
        <v>2.462E-2</v>
      </c>
      <c r="N1298" s="1474">
        <v>1.4580924604940806</v>
      </c>
      <c r="O1298" s="1474"/>
    </row>
    <row r="1299" spans="11:15">
      <c r="K1299" s="1471">
        <v>43356</v>
      </c>
      <c r="L1299" s="1472" t="s">
        <v>2127</v>
      </c>
      <c r="M1299" s="1473">
        <v>2.462E-2</v>
      </c>
      <c r="N1299" s="1474">
        <v>1.4584514428578543</v>
      </c>
      <c r="O1299" s="1474"/>
    </row>
    <row r="1300" spans="11:15">
      <c r="K1300" s="1471">
        <v>43357</v>
      </c>
      <c r="L1300" s="1472" t="s">
        <v>2127</v>
      </c>
      <c r="M1300" s="1473">
        <v>2.462E-2</v>
      </c>
      <c r="N1300" s="1474">
        <v>1.458810513603086</v>
      </c>
      <c r="O1300" s="1474"/>
    </row>
    <row r="1301" spans="11:15">
      <c r="K1301" s="1471">
        <v>43358</v>
      </c>
      <c r="L1301" s="1472"/>
      <c r="M1301" s="1473">
        <v>0</v>
      </c>
      <c r="N1301" s="1474">
        <v>1.458810513603086</v>
      </c>
      <c r="O1301" s="1474"/>
    </row>
    <row r="1302" spans="11:15">
      <c r="K1302" s="1471">
        <v>43359</v>
      </c>
      <c r="L1302" s="1472"/>
      <c r="M1302" s="1473">
        <v>0</v>
      </c>
      <c r="N1302" s="1474">
        <v>1.458810513603086</v>
      </c>
      <c r="O1302" s="1474"/>
    </row>
    <row r="1303" spans="11:15">
      <c r="K1303" s="1471">
        <v>43360</v>
      </c>
      <c r="L1303" s="1472" t="s">
        <v>2127</v>
      </c>
      <c r="M1303" s="1473">
        <v>2.462E-2</v>
      </c>
      <c r="N1303" s="1474">
        <v>1.4591696727515353</v>
      </c>
      <c r="O1303" s="1474"/>
    </row>
    <row r="1304" spans="11:15">
      <c r="K1304" s="1471">
        <v>43361</v>
      </c>
      <c r="L1304" s="1472" t="s">
        <v>2127</v>
      </c>
      <c r="M1304" s="1473">
        <v>2.462E-2</v>
      </c>
      <c r="N1304" s="1474">
        <v>1.4595289203249668</v>
      </c>
      <c r="O1304" s="1474"/>
    </row>
    <row r="1305" spans="11:15">
      <c r="K1305" s="1471">
        <v>43362</v>
      </c>
      <c r="L1305" s="1472" t="s">
        <v>2127</v>
      </c>
      <c r="M1305" s="1473">
        <v>2.462E-2</v>
      </c>
      <c r="N1305" s="1474">
        <v>1.459888256345151</v>
      </c>
      <c r="O1305" s="1474"/>
    </row>
    <row r="1306" spans="11:15">
      <c r="K1306" s="1471">
        <v>43363</v>
      </c>
      <c r="L1306" s="1472" t="s">
        <v>2127</v>
      </c>
      <c r="M1306" s="1473">
        <v>2.462E-2</v>
      </c>
      <c r="N1306" s="1474">
        <v>1.4602476808338634</v>
      </c>
      <c r="O1306" s="1474"/>
    </row>
    <row r="1307" spans="11:15">
      <c r="K1307" s="1471">
        <v>43364</v>
      </c>
      <c r="L1307" s="1472" t="s">
        <v>2127</v>
      </c>
      <c r="M1307" s="1473">
        <v>2.462E-2</v>
      </c>
      <c r="N1307" s="1474">
        <v>1.4606071938128848</v>
      </c>
      <c r="O1307" s="1474"/>
    </row>
    <row r="1308" spans="11:15">
      <c r="K1308" s="1471">
        <v>43365</v>
      </c>
      <c r="L1308" s="1472"/>
      <c r="M1308" s="1473">
        <v>0</v>
      </c>
      <c r="N1308" s="1474">
        <v>1.4606071938128848</v>
      </c>
      <c r="O1308" s="1474"/>
    </row>
    <row r="1309" spans="11:15">
      <c r="K1309" s="1471">
        <v>43366</v>
      </c>
      <c r="L1309" s="1472"/>
      <c r="M1309" s="1473">
        <v>0</v>
      </c>
      <c r="N1309" s="1474">
        <v>1.4606071938128848</v>
      </c>
      <c r="O1309" s="1474"/>
    </row>
    <row r="1310" spans="11:15">
      <c r="K1310" s="1471">
        <v>43367</v>
      </c>
      <c r="L1310" s="1472" t="s">
        <v>2127</v>
      </c>
      <c r="M1310" s="1473">
        <v>2.462E-2</v>
      </c>
      <c r="N1310" s="1474">
        <v>1.4609667953040018</v>
      </c>
      <c r="O1310" s="1474"/>
    </row>
    <row r="1311" spans="11:15">
      <c r="K1311" s="1471">
        <v>43368</v>
      </c>
      <c r="L1311" s="1472" t="s">
        <v>2127</v>
      </c>
      <c r="M1311" s="1473">
        <v>2.462E-2</v>
      </c>
      <c r="N1311" s="1474">
        <v>1.4613264853290058</v>
      </c>
      <c r="O1311" s="1474"/>
    </row>
    <row r="1312" spans="11:15">
      <c r="K1312" s="1471">
        <v>43369</v>
      </c>
      <c r="L1312" s="1472" t="s">
        <v>2127</v>
      </c>
      <c r="M1312" s="1473">
        <v>2.462E-2</v>
      </c>
      <c r="N1312" s="1474">
        <v>1.4616862639096939</v>
      </c>
      <c r="O1312" s="1474"/>
    </row>
    <row r="1313" spans="11:15">
      <c r="K1313" s="1471">
        <v>43370</v>
      </c>
      <c r="L1313" s="1472" t="s">
        <v>2127</v>
      </c>
      <c r="M1313" s="1473">
        <v>2.462E-2</v>
      </c>
      <c r="N1313" s="1474">
        <v>1.4620461310678685</v>
      </c>
      <c r="O1313" s="1474"/>
    </row>
    <row r="1314" spans="11:15">
      <c r="K1314" s="1471">
        <v>43371</v>
      </c>
      <c r="L1314" s="1472" t="s">
        <v>2127</v>
      </c>
      <c r="M1314" s="1473">
        <v>2.462E-2</v>
      </c>
      <c r="N1314" s="1474">
        <v>1.4624060868253375</v>
      </c>
      <c r="O1314" s="1474"/>
    </row>
    <row r="1315" spans="11:15">
      <c r="K1315" s="1471">
        <v>43372</v>
      </c>
      <c r="L1315" s="1472"/>
      <c r="M1315" s="1473">
        <v>0</v>
      </c>
      <c r="N1315" s="1474">
        <v>1.4624060868253375</v>
      </c>
      <c r="O1315" s="1474"/>
    </row>
    <row r="1316" spans="11:15">
      <c r="K1316" s="1471">
        <v>43373</v>
      </c>
      <c r="L1316" s="1472"/>
      <c r="M1316" s="1473">
        <v>0</v>
      </c>
      <c r="N1316" s="1474">
        <v>1.4624060868253375</v>
      </c>
      <c r="O1316" s="1474"/>
    </row>
    <row r="1317" spans="11:15">
      <c r="K1317" s="1471">
        <v>43374</v>
      </c>
      <c r="L1317" s="1472" t="s">
        <v>2127</v>
      </c>
      <c r="M1317" s="1473">
        <v>2.462E-2</v>
      </c>
      <c r="N1317" s="1474">
        <v>1.462766131203914</v>
      </c>
      <c r="O1317" s="1474"/>
    </row>
    <row r="1318" spans="11:15">
      <c r="K1318" s="1471">
        <v>43375</v>
      </c>
      <c r="L1318" s="1472" t="s">
        <v>2127</v>
      </c>
      <c r="M1318" s="1473">
        <v>2.462E-2</v>
      </c>
      <c r="N1318" s="1474">
        <v>1.4631262642254166</v>
      </c>
      <c r="O1318" s="1474"/>
    </row>
    <row r="1319" spans="11:15">
      <c r="K1319" s="1471">
        <v>43376</v>
      </c>
      <c r="L1319" s="1472" t="s">
        <v>2127</v>
      </c>
      <c r="M1319" s="1473">
        <v>2.462E-2</v>
      </c>
      <c r="N1319" s="1474">
        <v>1.463486485911669</v>
      </c>
      <c r="O1319" s="1474"/>
    </row>
    <row r="1320" spans="11:15">
      <c r="K1320" s="1471">
        <v>43377</v>
      </c>
      <c r="L1320" s="1472" t="s">
        <v>2127</v>
      </c>
      <c r="M1320" s="1473">
        <v>2.462E-2</v>
      </c>
      <c r="N1320" s="1474">
        <v>1.4638467962845005</v>
      </c>
      <c r="O1320" s="1474"/>
    </row>
    <row r="1321" spans="11:15">
      <c r="K1321" s="1471">
        <v>43378</v>
      </c>
      <c r="L1321" s="1472" t="s">
        <v>2127</v>
      </c>
      <c r="M1321" s="1473">
        <v>2.462E-2</v>
      </c>
      <c r="N1321" s="1474">
        <v>1.4642071953657458</v>
      </c>
      <c r="O1321" s="1474"/>
    </row>
    <row r="1322" spans="11:15">
      <c r="K1322" s="1471">
        <v>43379</v>
      </c>
      <c r="L1322" s="1472"/>
      <c r="M1322" s="1473">
        <v>0</v>
      </c>
      <c r="N1322" s="1474">
        <v>1.4642071953657458</v>
      </c>
      <c r="O1322" s="1474"/>
    </row>
    <row r="1323" spans="11:15">
      <c r="K1323" s="1471">
        <v>43380</v>
      </c>
      <c r="L1323" s="1472"/>
      <c r="M1323" s="1473">
        <v>0</v>
      </c>
      <c r="N1323" s="1474">
        <v>1.4642071953657458</v>
      </c>
      <c r="O1323" s="1474"/>
    </row>
    <row r="1324" spans="11:15">
      <c r="K1324" s="1471">
        <v>43381</v>
      </c>
      <c r="L1324" s="1472" t="s">
        <v>2127</v>
      </c>
      <c r="M1324" s="1473">
        <v>2.462E-2</v>
      </c>
      <c r="N1324" s="1474">
        <v>1.4645676831772449</v>
      </c>
      <c r="O1324" s="1474"/>
    </row>
    <row r="1325" spans="11:15">
      <c r="K1325" s="1471">
        <v>43382</v>
      </c>
      <c r="L1325" s="1472" t="s">
        <v>2127</v>
      </c>
      <c r="M1325" s="1473">
        <v>2.462E-2</v>
      </c>
      <c r="N1325" s="1474">
        <v>1.4649282597408433</v>
      </c>
      <c r="O1325" s="1474"/>
    </row>
    <row r="1326" spans="11:15">
      <c r="K1326" s="1471">
        <v>43383</v>
      </c>
      <c r="L1326" s="1472" t="s">
        <v>2127</v>
      </c>
      <c r="M1326" s="1473">
        <v>2.462E-2</v>
      </c>
      <c r="N1326" s="1474">
        <v>1.4652889250783916</v>
      </c>
      <c r="O1326" s="1474"/>
    </row>
    <row r="1327" spans="11:15">
      <c r="K1327" s="1471">
        <v>43384</v>
      </c>
      <c r="L1327" s="1472" t="s">
        <v>2127</v>
      </c>
      <c r="M1327" s="1473">
        <v>2.462E-2</v>
      </c>
      <c r="N1327" s="1474">
        <v>1.4656496792117459</v>
      </c>
      <c r="O1327" s="1474"/>
    </row>
    <row r="1328" spans="11:15">
      <c r="K1328" s="1471">
        <v>43385</v>
      </c>
      <c r="L1328" s="1472"/>
      <c r="M1328" s="1473">
        <v>0</v>
      </c>
      <c r="N1328" s="1474">
        <v>1.4656496792117459</v>
      </c>
      <c r="O1328" s="1474"/>
    </row>
    <row r="1329" spans="11:15">
      <c r="K1329" s="1471">
        <v>43386</v>
      </c>
      <c r="L1329" s="1472"/>
      <c r="M1329" s="1473">
        <v>0</v>
      </c>
      <c r="N1329" s="1474">
        <v>1.4656496792117459</v>
      </c>
      <c r="O1329" s="1474"/>
    </row>
    <row r="1330" spans="11:15">
      <c r="K1330" s="1471">
        <v>43387</v>
      </c>
      <c r="L1330" s="1472"/>
      <c r="M1330" s="1473">
        <v>0</v>
      </c>
      <c r="N1330" s="1474">
        <v>1.4656496792117459</v>
      </c>
      <c r="O1330" s="1474"/>
    </row>
    <row r="1331" spans="11:15">
      <c r="K1331" s="1471">
        <v>43388</v>
      </c>
      <c r="L1331" s="1472" t="s">
        <v>2127</v>
      </c>
      <c r="M1331" s="1473">
        <v>2.462E-2</v>
      </c>
      <c r="N1331" s="1474">
        <v>1.4660105221627679</v>
      </c>
      <c r="O1331" s="1474"/>
    </row>
    <row r="1332" spans="11:15">
      <c r="K1332" s="1471">
        <v>43389</v>
      </c>
      <c r="L1332" s="1472" t="s">
        <v>2127</v>
      </c>
      <c r="M1332" s="1473">
        <v>2.462E-2</v>
      </c>
      <c r="N1332" s="1474">
        <v>1.4663714539533246</v>
      </c>
      <c r="O1332" s="1474"/>
    </row>
    <row r="1333" spans="11:15">
      <c r="K1333" s="1471">
        <v>43390</v>
      </c>
      <c r="L1333" s="1472" t="s">
        <v>2127</v>
      </c>
      <c r="M1333" s="1473">
        <v>2.462E-2</v>
      </c>
      <c r="N1333" s="1474">
        <v>1.4667324746052881</v>
      </c>
      <c r="O1333" s="1474"/>
    </row>
    <row r="1334" spans="11:15">
      <c r="K1334" s="1471">
        <v>43391</v>
      </c>
      <c r="L1334" s="1472" t="s">
        <v>2127</v>
      </c>
      <c r="M1334" s="1473">
        <v>2.462E-2</v>
      </c>
      <c r="N1334" s="1474">
        <v>1.4670935841405361</v>
      </c>
      <c r="O1334" s="1474"/>
    </row>
    <row r="1335" spans="11:15">
      <c r="K1335" s="1471">
        <v>43392</v>
      </c>
      <c r="L1335" s="1472" t="s">
        <v>2127</v>
      </c>
      <c r="M1335" s="1473">
        <v>2.462E-2</v>
      </c>
      <c r="N1335" s="1474">
        <v>1.4674547825809516</v>
      </c>
      <c r="O1335" s="1474"/>
    </row>
    <row r="1336" spans="11:15">
      <c r="K1336" s="1471">
        <v>43393</v>
      </c>
      <c r="L1336" s="1472"/>
      <c r="M1336" s="1473">
        <v>0</v>
      </c>
      <c r="N1336" s="1474">
        <v>1.4674547825809516</v>
      </c>
      <c r="O1336" s="1474"/>
    </row>
    <row r="1337" spans="11:15">
      <c r="K1337" s="1471">
        <v>43394</v>
      </c>
      <c r="L1337" s="1472"/>
      <c r="M1337" s="1473">
        <v>0</v>
      </c>
      <c r="N1337" s="1474">
        <v>1.4674547825809516</v>
      </c>
      <c r="O1337" s="1474"/>
    </row>
    <row r="1338" spans="11:15">
      <c r="K1338" s="1471">
        <v>43395</v>
      </c>
      <c r="L1338" s="1472" t="s">
        <v>2127</v>
      </c>
      <c r="M1338" s="1473">
        <v>2.462E-2</v>
      </c>
      <c r="N1338" s="1474">
        <v>1.4678160699484233</v>
      </c>
      <c r="O1338" s="1474"/>
    </row>
    <row r="1339" spans="11:15">
      <c r="K1339" s="1471">
        <v>43396</v>
      </c>
      <c r="L1339" s="1472" t="s">
        <v>2127</v>
      </c>
      <c r="M1339" s="1473">
        <v>2.462E-2</v>
      </c>
      <c r="N1339" s="1474">
        <v>1.4681774462648447</v>
      </c>
      <c r="O1339" s="1474"/>
    </row>
    <row r="1340" spans="11:15">
      <c r="K1340" s="1471">
        <v>43397</v>
      </c>
      <c r="L1340" s="1472" t="s">
        <v>2127</v>
      </c>
      <c r="M1340" s="1473">
        <v>2.462E-2</v>
      </c>
      <c r="N1340" s="1474">
        <v>1.4685389115521152</v>
      </c>
      <c r="O1340" s="1474"/>
    </row>
    <row r="1341" spans="11:15">
      <c r="K1341" s="1471">
        <v>43398</v>
      </c>
      <c r="L1341" s="1472" t="s">
        <v>2127</v>
      </c>
      <c r="M1341" s="1473">
        <v>2.462E-2</v>
      </c>
      <c r="N1341" s="1474">
        <v>1.4689004658321394</v>
      </c>
      <c r="O1341" s="1474"/>
    </row>
    <row r="1342" spans="11:15">
      <c r="K1342" s="1471">
        <v>43399</v>
      </c>
      <c r="L1342" s="1472" t="s">
        <v>2127</v>
      </c>
      <c r="M1342" s="1473">
        <v>2.462E-2</v>
      </c>
      <c r="N1342" s="1474">
        <v>1.4692621091268274</v>
      </c>
      <c r="O1342" s="1474"/>
    </row>
    <row r="1343" spans="11:15">
      <c r="K1343" s="1471">
        <v>43400</v>
      </c>
      <c r="L1343" s="1472"/>
      <c r="M1343" s="1473">
        <v>0</v>
      </c>
      <c r="N1343" s="1474">
        <v>1.4692621091268274</v>
      </c>
      <c r="O1343" s="1474"/>
    </row>
    <row r="1344" spans="11:15">
      <c r="K1344" s="1471">
        <v>43401</v>
      </c>
      <c r="L1344" s="1472"/>
      <c r="M1344" s="1473">
        <v>0</v>
      </c>
      <c r="N1344" s="1474">
        <v>1.4692621091268274</v>
      </c>
      <c r="O1344" s="1474"/>
    </row>
    <row r="1345" spans="11:15">
      <c r="K1345" s="1471">
        <v>43402</v>
      </c>
      <c r="L1345" s="1472" t="s">
        <v>2127</v>
      </c>
      <c r="M1345" s="1473">
        <v>2.462E-2</v>
      </c>
      <c r="N1345" s="1474">
        <v>1.4696238414580947</v>
      </c>
      <c r="O1345" s="1474"/>
    </row>
    <row r="1346" spans="11:15">
      <c r="K1346" s="1471">
        <v>43403</v>
      </c>
      <c r="L1346" s="1472" t="s">
        <v>2127</v>
      </c>
      <c r="M1346" s="1473">
        <v>2.462E-2</v>
      </c>
      <c r="N1346" s="1474">
        <v>1.4699856628478618</v>
      </c>
      <c r="O1346" s="1474"/>
    </row>
    <row r="1347" spans="11:15">
      <c r="K1347" s="1471">
        <v>43404</v>
      </c>
      <c r="L1347" s="1472" t="s">
        <v>2127</v>
      </c>
      <c r="M1347" s="1473">
        <v>2.462E-2</v>
      </c>
      <c r="N1347" s="1474">
        <v>1.4703475733180551</v>
      </c>
      <c r="O1347" s="1474"/>
    </row>
    <row r="1348" spans="11:15">
      <c r="K1348" s="1471">
        <v>43405</v>
      </c>
      <c r="L1348" s="1472" t="s">
        <v>2127</v>
      </c>
      <c r="M1348" s="1473">
        <v>2.462E-2</v>
      </c>
      <c r="N1348" s="1474">
        <v>1.4707095728906061</v>
      </c>
      <c r="O1348" s="1474"/>
    </row>
    <row r="1349" spans="11:15">
      <c r="K1349" s="1471">
        <v>43406</v>
      </c>
      <c r="L1349" s="1472"/>
      <c r="M1349" s="1473">
        <v>0</v>
      </c>
      <c r="N1349" s="1474">
        <v>1.4707095728906061</v>
      </c>
      <c r="O1349" s="1474"/>
    </row>
    <row r="1350" spans="11:15">
      <c r="K1350" s="1471">
        <v>43407</v>
      </c>
      <c r="L1350" s="1472"/>
      <c r="M1350" s="1473">
        <v>0</v>
      </c>
      <c r="N1350" s="1474">
        <v>1.4707095728906061</v>
      </c>
      <c r="O1350" s="1474"/>
    </row>
    <row r="1351" spans="11:15">
      <c r="K1351" s="1471">
        <v>43408</v>
      </c>
      <c r="L1351" s="1472"/>
      <c r="M1351" s="1473">
        <v>0</v>
      </c>
      <c r="N1351" s="1474">
        <v>1.4707095728906061</v>
      </c>
      <c r="O1351" s="1474"/>
    </row>
    <row r="1352" spans="11:15">
      <c r="K1352" s="1471">
        <v>43409</v>
      </c>
      <c r="L1352" s="1472" t="s">
        <v>2127</v>
      </c>
      <c r="M1352" s="1473">
        <v>2.462E-2</v>
      </c>
      <c r="N1352" s="1474">
        <v>1.471071661587452</v>
      </c>
      <c r="O1352" s="1474"/>
    </row>
    <row r="1353" spans="11:15">
      <c r="K1353" s="1471">
        <v>43410</v>
      </c>
      <c r="L1353" s="1472" t="s">
        <v>2127</v>
      </c>
      <c r="M1353" s="1473">
        <v>2.462E-2</v>
      </c>
      <c r="N1353" s="1474">
        <v>1.4714338394305349</v>
      </c>
      <c r="O1353" s="1474"/>
    </row>
    <row r="1354" spans="11:15">
      <c r="K1354" s="1471">
        <v>43411</v>
      </c>
      <c r="L1354" s="1472" t="s">
        <v>2127</v>
      </c>
      <c r="M1354" s="1473">
        <v>2.462E-2</v>
      </c>
      <c r="N1354" s="1474">
        <v>1.4717961064418028</v>
      </c>
      <c r="O1354" s="1474"/>
    </row>
    <row r="1355" spans="11:15">
      <c r="K1355" s="1471">
        <v>43412</v>
      </c>
      <c r="L1355" s="1472" t="s">
        <v>2127</v>
      </c>
      <c r="M1355" s="1473">
        <v>2.462E-2</v>
      </c>
      <c r="N1355" s="1474">
        <v>1.4721584626432089</v>
      </c>
      <c r="O1355" s="1474"/>
    </row>
    <row r="1356" spans="11:15">
      <c r="K1356" s="1471">
        <v>43413</v>
      </c>
      <c r="L1356" s="1472" t="s">
        <v>2127</v>
      </c>
      <c r="M1356" s="1473">
        <v>2.462E-2</v>
      </c>
      <c r="N1356" s="1474">
        <v>1.4725209080567119</v>
      </c>
      <c r="O1356" s="1474"/>
    </row>
    <row r="1357" spans="11:15">
      <c r="K1357" s="1471">
        <v>43414</v>
      </c>
      <c r="L1357" s="1472"/>
      <c r="M1357" s="1473">
        <v>0</v>
      </c>
      <c r="N1357" s="1474">
        <v>1.4725209080567119</v>
      </c>
      <c r="O1357" s="1474"/>
    </row>
    <row r="1358" spans="11:15">
      <c r="K1358" s="1471">
        <v>43415</v>
      </c>
      <c r="L1358" s="1472"/>
      <c r="M1358" s="1473">
        <v>0</v>
      </c>
      <c r="N1358" s="1474">
        <v>1.4725209080567119</v>
      </c>
      <c r="O1358" s="1474"/>
    </row>
    <row r="1359" spans="11:15">
      <c r="K1359" s="1471">
        <v>43416</v>
      </c>
      <c r="L1359" s="1472" t="s">
        <v>2127</v>
      </c>
      <c r="M1359" s="1473">
        <v>2.462E-2</v>
      </c>
      <c r="N1359" s="1474">
        <v>1.4728834427042756</v>
      </c>
      <c r="O1359" s="1474"/>
    </row>
    <row r="1360" spans="11:15">
      <c r="K1360" s="1471">
        <v>43417</v>
      </c>
      <c r="L1360" s="1472" t="s">
        <v>2127</v>
      </c>
      <c r="M1360" s="1473">
        <v>2.462E-2</v>
      </c>
      <c r="N1360" s="1474">
        <v>1.4732460666078695</v>
      </c>
      <c r="O1360" s="1474"/>
    </row>
    <row r="1361" spans="11:15">
      <c r="K1361" s="1471">
        <v>43418</v>
      </c>
      <c r="L1361" s="1472" t="s">
        <v>2127</v>
      </c>
      <c r="M1361" s="1473">
        <v>2.462E-2</v>
      </c>
      <c r="N1361" s="1474">
        <v>1.4736087797894686</v>
      </c>
      <c r="O1361" s="1474"/>
    </row>
    <row r="1362" spans="11:15">
      <c r="K1362" s="1471">
        <v>43419</v>
      </c>
      <c r="L1362" s="1472"/>
      <c r="M1362" s="1473">
        <v>0</v>
      </c>
      <c r="N1362" s="1474">
        <v>1.4736087797894686</v>
      </c>
      <c r="O1362" s="1474"/>
    </row>
    <row r="1363" spans="11:15">
      <c r="K1363" s="1471">
        <v>43420</v>
      </c>
      <c r="L1363" s="1472" t="s">
        <v>2127</v>
      </c>
      <c r="M1363" s="1473">
        <v>2.462E-2</v>
      </c>
      <c r="N1363" s="1474">
        <v>1.4739715822710528</v>
      </c>
      <c r="O1363" s="1474"/>
    </row>
    <row r="1364" spans="11:15">
      <c r="K1364" s="1471">
        <v>43421</v>
      </c>
      <c r="L1364" s="1472"/>
      <c r="M1364" s="1473">
        <v>0</v>
      </c>
      <c r="N1364" s="1474">
        <v>1.4739715822710528</v>
      </c>
      <c r="O1364" s="1474"/>
    </row>
    <row r="1365" spans="11:15">
      <c r="K1365" s="1471">
        <v>43422</v>
      </c>
      <c r="L1365" s="1472"/>
      <c r="M1365" s="1473">
        <v>0</v>
      </c>
      <c r="N1365" s="1474">
        <v>1.4739715822710528</v>
      </c>
      <c r="O1365" s="1474"/>
    </row>
    <row r="1366" spans="11:15">
      <c r="K1366" s="1471">
        <v>43423</v>
      </c>
      <c r="L1366" s="1472" t="s">
        <v>2127</v>
      </c>
      <c r="M1366" s="1473">
        <v>2.462E-2</v>
      </c>
      <c r="N1366" s="1474">
        <v>1.474334474074608</v>
      </c>
      <c r="O1366" s="1474"/>
    </row>
    <row r="1367" spans="11:15">
      <c r="K1367" s="1471">
        <v>43424</v>
      </c>
      <c r="L1367" s="1472" t="s">
        <v>2127</v>
      </c>
      <c r="M1367" s="1473">
        <v>2.462E-2</v>
      </c>
      <c r="N1367" s="1474">
        <v>1.4746974552221253</v>
      </c>
      <c r="O1367" s="1474"/>
    </row>
    <row r="1368" spans="11:15">
      <c r="K1368" s="1471">
        <v>43425</v>
      </c>
      <c r="L1368" s="1472" t="s">
        <v>2127</v>
      </c>
      <c r="M1368" s="1473">
        <v>2.462E-2</v>
      </c>
      <c r="N1368" s="1474">
        <v>1.4750605257356011</v>
      </c>
      <c r="O1368" s="1474"/>
    </row>
    <row r="1369" spans="11:15">
      <c r="K1369" s="1471">
        <v>43426</v>
      </c>
      <c r="L1369" s="1472" t="s">
        <v>2127</v>
      </c>
      <c r="M1369" s="1473">
        <v>2.462E-2</v>
      </c>
      <c r="N1369" s="1474">
        <v>1.4754236856370373</v>
      </c>
      <c r="O1369" s="1474"/>
    </row>
    <row r="1370" spans="11:15">
      <c r="K1370" s="1471">
        <v>43427</v>
      </c>
      <c r="L1370" s="1472" t="s">
        <v>2127</v>
      </c>
      <c r="M1370" s="1473">
        <v>2.462E-2</v>
      </c>
      <c r="N1370" s="1474">
        <v>1.4757869349484412</v>
      </c>
      <c r="O1370" s="1474"/>
    </row>
    <row r="1371" spans="11:15">
      <c r="K1371" s="1471">
        <v>43428</v>
      </c>
      <c r="L1371" s="1472"/>
      <c r="M1371" s="1473">
        <v>0</v>
      </c>
      <c r="N1371" s="1474">
        <v>1.4757869349484412</v>
      </c>
      <c r="O1371" s="1474"/>
    </row>
    <row r="1372" spans="11:15">
      <c r="K1372" s="1471">
        <v>43429</v>
      </c>
      <c r="L1372" s="1472"/>
      <c r="M1372" s="1473">
        <v>0</v>
      </c>
      <c r="N1372" s="1474">
        <v>1.4757869349484412</v>
      </c>
      <c r="O1372" s="1474"/>
    </row>
    <row r="1373" spans="11:15">
      <c r="K1373" s="1471">
        <v>43430</v>
      </c>
      <c r="L1373" s="1472" t="s">
        <v>2127</v>
      </c>
      <c r="M1373" s="1473">
        <v>2.462E-2</v>
      </c>
      <c r="N1373" s="1474">
        <v>1.4761502736918255</v>
      </c>
      <c r="O1373" s="1474"/>
    </row>
    <row r="1374" spans="11:15">
      <c r="K1374" s="1471">
        <v>43431</v>
      </c>
      <c r="L1374" s="1472" t="s">
        <v>2127</v>
      </c>
      <c r="M1374" s="1473">
        <v>2.462E-2</v>
      </c>
      <c r="N1374" s="1474">
        <v>1.4765137018892085</v>
      </c>
      <c r="O1374" s="1474"/>
    </row>
    <row r="1375" spans="11:15">
      <c r="K1375" s="1471">
        <v>43432</v>
      </c>
      <c r="L1375" s="1472" t="s">
        <v>2127</v>
      </c>
      <c r="M1375" s="1473">
        <v>2.462E-2</v>
      </c>
      <c r="N1375" s="1474">
        <v>1.4768772195626136</v>
      </c>
      <c r="O1375" s="1474"/>
    </row>
    <row r="1376" spans="11:15">
      <c r="K1376" s="1471">
        <v>43433</v>
      </c>
      <c r="L1376" s="1472" t="s">
        <v>2127</v>
      </c>
      <c r="M1376" s="1473">
        <v>2.462E-2</v>
      </c>
      <c r="N1376" s="1474">
        <v>1.47724082673407</v>
      </c>
      <c r="O1376" s="1474"/>
    </row>
    <row r="1377" spans="11:15">
      <c r="K1377" s="1471">
        <v>43434</v>
      </c>
      <c r="L1377" s="1472" t="s">
        <v>2127</v>
      </c>
      <c r="M1377" s="1473">
        <v>2.462E-2</v>
      </c>
      <c r="N1377" s="1474">
        <v>1.4776045234256121</v>
      </c>
      <c r="O1377" s="1474"/>
    </row>
    <row r="1378" spans="11:15">
      <c r="K1378" s="1471">
        <v>43435</v>
      </c>
      <c r="L1378" s="1472"/>
      <c r="M1378" s="1473">
        <v>0</v>
      </c>
      <c r="N1378" s="1474">
        <v>1.4776045234256121</v>
      </c>
      <c r="O1378" s="1474"/>
    </row>
    <row r="1379" spans="11:15">
      <c r="K1379" s="1471">
        <v>43436</v>
      </c>
      <c r="L1379" s="1472"/>
      <c r="M1379" s="1473">
        <v>0</v>
      </c>
      <c r="N1379" s="1474">
        <v>1.4776045234256121</v>
      </c>
      <c r="O1379" s="1474"/>
    </row>
    <row r="1380" spans="11:15">
      <c r="K1380" s="1471">
        <v>43437</v>
      </c>
      <c r="L1380" s="1472" t="s">
        <v>2127</v>
      </c>
      <c r="M1380" s="1473">
        <v>2.462E-2</v>
      </c>
      <c r="N1380" s="1474">
        <v>1.4779683096592797</v>
      </c>
      <c r="O1380" s="1474"/>
    </row>
    <row r="1381" spans="11:15">
      <c r="K1381" s="1471">
        <v>43438</v>
      </c>
      <c r="L1381" s="1472" t="s">
        <v>2127</v>
      </c>
      <c r="M1381" s="1473">
        <v>2.462E-2</v>
      </c>
      <c r="N1381" s="1474">
        <v>1.4783321854571179</v>
      </c>
      <c r="O1381" s="1474"/>
    </row>
    <row r="1382" spans="11:15">
      <c r="K1382" s="1471">
        <v>43439</v>
      </c>
      <c r="L1382" s="1472" t="s">
        <v>2127</v>
      </c>
      <c r="M1382" s="1473">
        <v>2.462E-2</v>
      </c>
      <c r="N1382" s="1474">
        <v>1.4786961508411776</v>
      </c>
      <c r="O1382" s="1474"/>
    </row>
    <row r="1383" spans="11:15">
      <c r="K1383" s="1471">
        <v>43440</v>
      </c>
      <c r="L1383" s="1472" t="s">
        <v>2127</v>
      </c>
      <c r="M1383" s="1473">
        <v>2.462E-2</v>
      </c>
      <c r="N1383" s="1474">
        <v>1.4790602058335147</v>
      </c>
      <c r="O1383" s="1474"/>
    </row>
    <row r="1384" spans="11:15">
      <c r="K1384" s="1471">
        <v>43441</v>
      </c>
      <c r="L1384" s="1472" t="s">
        <v>2127</v>
      </c>
      <c r="M1384" s="1473">
        <v>2.462E-2</v>
      </c>
      <c r="N1384" s="1474">
        <v>1.479424350456191</v>
      </c>
      <c r="O1384" s="1474"/>
    </row>
    <row r="1385" spans="11:15">
      <c r="K1385" s="1471">
        <v>43442</v>
      </c>
      <c r="L1385" s="1472"/>
      <c r="M1385" s="1473">
        <v>0</v>
      </c>
      <c r="N1385" s="1474">
        <v>1.479424350456191</v>
      </c>
      <c r="O1385" s="1474"/>
    </row>
    <row r="1386" spans="11:15">
      <c r="K1386" s="1471">
        <v>43443</v>
      </c>
      <c r="L1386" s="1472"/>
      <c r="M1386" s="1473">
        <v>0</v>
      </c>
      <c r="N1386" s="1474">
        <v>1.479424350456191</v>
      </c>
      <c r="O1386" s="1474"/>
    </row>
    <row r="1387" spans="11:15">
      <c r="K1387" s="1471">
        <v>43444</v>
      </c>
      <c r="L1387" s="1472" t="s">
        <v>2127</v>
      </c>
      <c r="M1387" s="1473">
        <v>2.462E-2</v>
      </c>
      <c r="N1387" s="1474">
        <v>1.4797885847312735</v>
      </c>
      <c r="O1387" s="1474"/>
    </row>
    <row r="1388" spans="11:15">
      <c r="K1388" s="1471">
        <v>43445</v>
      </c>
      <c r="L1388" s="1472" t="s">
        <v>2127</v>
      </c>
      <c r="M1388" s="1473">
        <v>2.462E-2</v>
      </c>
      <c r="N1388" s="1474">
        <v>1.4801529086808345</v>
      </c>
      <c r="O1388" s="1474"/>
    </row>
    <row r="1389" spans="11:15">
      <c r="K1389" s="1471">
        <v>43446</v>
      </c>
      <c r="L1389" s="1472" t="s">
        <v>2127</v>
      </c>
      <c r="M1389" s="1473">
        <v>2.462E-2</v>
      </c>
      <c r="N1389" s="1474">
        <v>1.4805173223269519</v>
      </c>
      <c r="O1389" s="1474"/>
    </row>
    <row r="1390" spans="11:15">
      <c r="K1390" s="1471">
        <v>43447</v>
      </c>
      <c r="L1390" s="1472" t="s">
        <v>2127</v>
      </c>
      <c r="M1390" s="1473">
        <v>2.462E-2</v>
      </c>
      <c r="N1390" s="1474">
        <v>1.4808818256917089</v>
      </c>
      <c r="O1390" s="1474"/>
    </row>
    <row r="1391" spans="11:15">
      <c r="K1391" s="1471">
        <v>43448</v>
      </c>
      <c r="L1391" s="1472" t="s">
        <v>2127</v>
      </c>
      <c r="M1391" s="1473">
        <v>2.462E-2</v>
      </c>
      <c r="N1391" s="1474">
        <v>1.4812464187971943</v>
      </c>
      <c r="O1391" s="1474"/>
    </row>
    <row r="1392" spans="11:15">
      <c r="K1392" s="1471">
        <v>43449</v>
      </c>
      <c r="L1392" s="1472"/>
      <c r="M1392" s="1473">
        <v>0</v>
      </c>
      <c r="N1392" s="1474">
        <v>1.4812464187971943</v>
      </c>
      <c r="O1392" s="1474"/>
    </row>
    <row r="1393" spans="11:15">
      <c r="K1393" s="1471">
        <v>43450</v>
      </c>
      <c r="L1393" s="1472"/>
      <c r="M1393" s="1473">
        <v>0</v>
      </c>
      <c r="N1393" s="1474">
        <v>1.4812464187971943</v>
      </c>
      <c r="O1393" s="1474"/>
    </row>
    <row r="1394" spans="11:15">
      <c r="K1394" s="1471">
        <v>43451</v>
      </c>
      <c r="L1394" s="1472" t="s">
        <v>2127</v>
      </c>
      <c r="M1394" s="1473">
        <v>2.462E-2</v>
      </c>
      <c r="N1394" s="1474">
        <v>1.4816111016655023</v>
      </c>
      <c r="O1394" s="1474"/>
    </row>
    <row r="1395" spans="11:15">
      <c r="K1395" s="1471">
        <v>43452</v>
      </c>
      <c r="L1395" s="1472" t="s">
        <v>2127</v>
      </c>
      <c r="M1395" s="1473">
        <v>2.462E-2</v>
      </c>
      <c r="N1395" s="1474">
        <v>1.4819758743187323</v>
      </c>
      <c r="O1395" s="1474"/>
    </row>
    <row r="1396" spans="11:15">
      <c r="K1396" s="1471">
        <v>43453</v>
      </c>
      <c r="L1396" s="1472" t="s">
        <v>2127</v>
      </c>
      <c r="M1396" s="1473">
        <v>2.462E-2</v>
      </c>
      <c r="N1396" s="1474">
        <v>1.4823407367789898</v>
      </c>
      <c r="O1396" s="1474"/>
    </row>
    <row r="1397" spans="11:15">
      <c r="K1397" s="1471">
        <v>43454</v>
      </c>
      <c r="L1397" s="1472" t="s">
        <v>2127</v>
      </c>
      <c r="M1397" s="1473">
        <v>2.462E-2</v>
      </c>
      <c r="N1397" s="1474">
        <v>1.482705689068385</v>
      </c>
      <c r="O1397" s="1474"/>
    </row>
    <row r="1398" spans="11:15">
      <c r="K1398" s="1471">
        <v>43455</v>
      </c>
      <c r="L1398" s="1472" t="s">
        <v>2127</v>
      </c>
      <c r="M1398" s="1473">
        <v>2.462E-2</v>
      </c>
      <c r="N1398" s="1474">
        <v>1.4830707312090337</v>
      </c>
      <c r="O1398" s="1474"/>
    </row>
    <row r="1399" spans="11:15">
      <c r="K1399" s="1471">
        <v>43456</v>
      </c>
      <c r="L1399" s="1472"/>
      <c r="M1399" s="1473">
        <v>0</v>
      </c>
      <c r="N1399" s="1474">
        <v>1.4830707312090337</v>
      </c>
      <c r="O1399" s="1474"/>
    </row>
    <row r="1400" spans="11:15">
      <c r="K1400" s="1471">
        <v>43457</v>
      </c>
      <c r="L1400" s="1472"/>
      <c r="M1400" s="1473">
        <v>0</v>
      </c>
      <c r="N1400" s="1474">
        <v>1.4830707312090337</v>
      </c>
      <c r="O1400" s="1474"/>
    </row>
    <row r="1401" spans="11:15">
      <c r="K1401" s="1471">
        <v>43458</v>
      </c>
      <c r="L1401" s="1472" t="s">
        <v>2127</v>
      </c>
      <c r="M1401" s="1473">
        <v>2.462E-2</v>
      </c>
      <c r="N1401" s="1474">
        <v>1.4834358632230575</v>
      </c>
      <c r="O1401" s="1474"/>
    </row>
    <row r="1402" spans="11:15">
      <c r="K1402" s="1471">
        <v>43459</v>
      </c>
      <c r="L1402" s="1472"/>
      <c r="M1402" s="1473">
        <v>0</v>
      </c>
      <c r="N1402" s="1474">
        <v>1.4834358632230575</v>
      </c>
      <c r="O1402" s="1474"/>
    </row>
    <row r="1403" spans="11:15">
      <c r="K1403" s="1471">
        <v>43460</v>
      </c>
      <c r="L1403" s="1472" t="s">
        <v>2127</v>
      </c>
      <c r="M1403" s="1473">
        <v>2.462E-2</v>
      </c>
      <c r="N1403" s="1474">
        <v>1.4838010851325831</v>
      </c>
      <c r="O1403" s="1474"/>
    </row>
    <row r="1404" spans="11:15">
      <c r="K1404" s="1471">
        <v>43461</v>
      </c>
      <c r="L1404" s="1472" t="s">
        <v>2127</v>
      </c>
      <c r="M1404" s="1473">
        <v>2.462E-2</v>
      </c>
      <c r="N1404" s="1474">
        <v>1.484166396959743</v>
      </c>
      <c r="O1404" s="1474"/>
    </row>
    <row r="1405" spans="11:15">
      <c r="K1405" s="1471">
        <v>43462</v>
      </c>
      <c r="L1405" s="1472" t="s">
        <v>2127</v>
      </c>
      <c r="M1405" s="1473">
        <v>2.462E-2</v>
      </c>
      <c r="N1405" s="1474">
        <v>1.4845317987266746</v>
      </c>
      <c r="O1405" s="1474"/>
    </row>
    <row r="1406" spans="11:15">
      <c r="K1406" s="1471">
        <v>43463</v>
      </c>
      <c r="L1406" s="1472"/>
      <c r="M1406" s="1473">
        <v>0</v>
      </c>
      <c r="N1406" s="1474">
        <v>1.4845317987266746</v>
      </c>
      <c r="O1406" s="1474"/>
    </row>
    <row r="1407" spans="11:15">
      <c r="K1407" s="1471">
        <v>43464</v>
      </c>
      <c r="L1407" s="1472"/>
      <c r="M1407" s="1473">
        <v>0</v>
      </c>
      <c r="N1407" s="1474">
        <v>1.4845317987266746</v>
      </c>
      <c r="O1407" s="1474"/>
    </row>
    <row r="1408" spans="11:15">
      <c r="K1408" s="1471">
        <v>43465</v>
      </c>
      <c r="L1408" s="1472" t="s">
        <v>2127</v>
      </c>
      <c r="M1408" s="1473">
        <v>2.462E-2</v>
      </c>
      <c r="N1408" s="1474">
        <v>1.4848972904555213</v>
      </c>
      <c r="O1408" s="1474"/>
    </row>
    <row r="1409" spans="11:15">
      <c r="K1409" s="1471">
        <v>43466</v>
      </c>
      <c r="L1409" s="1472"/>
      <c r="M1409" s="1473">
        <v>0</v>
      </c>
      <c r="N1409" s="1474">
        <v>1.4848972904555213</v>
      </c>
      <c r="O1409" s="1474"/>
    </row>
    <row r="1410" spans="11:15">
      <c r="K1410" s="1471">
        <v>43467</v>
      </c>
      <c r="L1410" s="1472" t="s">
        <v>2127</v>
      </c>
      <c r="M1410" s="1473">
        <v>2.462E-2</v>
      </c>
      <c r="N1410" s="1474">
        <v>1.4852628721684316</v>
      </c>
      <c r="O1410" s="1474"/>
    </row>
    <row r="1411" spans="11:15">
      <c r="K1411" s="1471">
        <v>43468</v>
      </c>
      <c r="L1411" s="1472" t="s">
        <v>2127</v>
      </c>
      <c r="M1411" s="1473">
        <v>2.462E-2</v>
      </c>
      <c r="N1411" s="1474">
        <v>1.4856285438875596</v>
      </c>
      <c r="O1411" s="1474"/>
    </row>
    <row r="1412" spans="11:15">
      <c r="K1412" s="1471">
        <v>43469</v>
      </c>
      <c r="L1412" s="1472" t="s">
        <v>2127</v>
      </c>
      <c r="M1412" s="1473">
        <v>2.462E-2</v>
      </c>
      <c r="N1412" s="1474">
        <v>1.4859943056350648</v>
      </c>
      <c r="O1412" s="1474"/>
    </row>
    <row r="1413" spans="11:15">
      <c r="K1413" s="1471">
        <v>43470</v>
      </c>
      <c r="L1413" s="1472"/>
      <c r="M1413" s="1473">
        <v>0</v>
      </c>
      <c r="N1413" s="1474">
        <v>1.4859943056350648</v>
      </c>
      <c r="O1413" s="1474"/>
    </row>
    <row r="1414" spans="11:15">
      <c r="K1414" s="1471">
        <v>43471</v>
      </c>
      <c r="L1414" s="1472"/>
      <c r="M1414" s="1473">
        <v>0</v>
      </c>
      <c r="N1414" s="1474">
        <v>1.4859943056350648</v>
      </c>
      <c r="O1414" s="1474"/>
    </row>
    <row r="1415" spans="11:15">
      <c r="K1415" s="1471">
        <v>43472</v>
      </c>
      <c r="L1415" s="1472" t="s">
        <v>2127</v>
      </c>
      <c r="M1415" s="1473">
        <v>2.462E-2</v>
      </c>
      <c r="N1415" s="1474">
        <v>1.4863601574331122</v>
      </c>
      <c r="O1415" s="1474"/>
    </row>
    <row r="1416" spans="11:15">
      <c r="K1416" s="1471">
        <v>43473</v>
      </c>
      <c r="L1416" s="1472" t="s">
        <v>2127</v>
      </c>
      <c r="M1416" s="1473">
        <v>2.462E-2</v>
      </c>
      <c r="N1416" s="1474">
        <v>1.4867260993038725</v>
      </c>
      <c r="O1416" s="1474"/>
    </row>
    <row r="1417" spans="11:15">
      <c r="K1417" s="1471">
        <v>43474</v>
      </c>
      <c r="L1417" s="1472" t="s">
        <v>2127</v>
      </c>
      <c r="M1417" s="1473">
        <v>2.462E-2</v>
      </c>
      <c r="N1417" s="1474">
        <v>1.4870921312695211</v>
      </c>
      <c r="O1417" s="1474"/>
    </row>
    <row r="1418" spans="11:15">
      <c r="K1418" s="1471">
        <v>43475</v>
      </c>
      <c r="L1418" s="1472" t="s">
        <v>2127</v>
      </c>
      <c r="M1418" s="1473">
        <v>2.462E-2</v>
      </c>
      <c r="N1418" s="1474">
        <v>1.4874582533522398</v>
      </c>
      <c r="O1418" s="1474"/>
    </row>
    <row r="1419" spans="11:15">
      <c r="K1419" s="1471">
        <v>43476</v>
      </c>
      <c r="L1419" s="1472" t="s">
        <v>2127</v>
      </c>
      <c r="M1419" s="1473">
        <v>2.462E-2</v>
      </c>
      <c r="N1419" s="1474">
        <v>1.4878244655742152</v>
      </c>
      <c r="O1419" s="1474"/>
    </row>
    <row r="1420" spans="11:15">
      <c r="K1420" s="1471">
        <v>43477</v>
      </c>
      <c r="L1420" s="1472"/>
      <c r="M1420" s="1473">
        <v>0</v>
      </c>
      <c r="N1420" s="1474">
        <v>1.4878244655742152</v>
      </c>
      <c r="O1420" s="1474"/>
    </row>
    <row r="1421" spans="11:15">
      <c r="K1421" s="1471">
        <v>43478</v>
      </c>
      <c r="L1421" s="1472"/>
      <c r="M1421" s="1473">
        <v>0</v>
      </c>
      <c r="N1421" s="1474">
        <v>1.4878244655742152</v>
      </c>
      <c r="O1421" s="1474"/>
    </row>
    <row r="1422" spans="11:15">
      <c r="K1422" s="1471">
        <v>43479</v>
      </c>
      <c r="L1422" s="1472" t="s">
        <v>2127</v>
      </c>
      <c r="M1422" s="1473">
        <v>2.462E-2</v>
      </c>
      <c r="N1422" s="1474">
        <v>1.4881907679576396</v>
      </c>
      <c r="O1422" s="1474"/>
    </row>
    <row r="1423" spans="11:15">
      <c r="K1423" s="1471">
        <v>43480</v>
      </c>
      <c r="L1423" s="1472" t="s">
        <v>2127</v>
      </c>
      <c r="M1423" s="1473">
        <v>2.462E-2</v>
      </c>
      <c r="N1423" s="1474">
        <v>1.488557160524711</v>
      </c>
      <c r="O1423" s="1474"/>
    </row>
    <row r="1424" spans="11:15">
      <c r="K1424" s="1471">
        <v>43481</v>
      </c>
      <c r="L1424" s="1472" t="s">
        <v>2127</v>
      </c>
      <c r="M1424" s="1473">
        <v>2.462E-2</v>
      </c>
      <c r="N1424" s="1474">
        <v>1.4889236432976323</v>
      </c>
      <c r="O1424" s="1474"/>
    </row>
    <row r="1425" spans="11:15">
      <c r="K1425" s="1471">
        <v>43482</v>
      </c>
      <c r="L1425" s="1472" t="s">
        <v>2127</v>
      </c>
      <c r="M1425" s="1473">
        <v>2.462E-2</v>
      </c>
      <c r="N1425" s="1474">
        <v>1.4892902162986124</v>
      </c>
      <c r="O1425" s="1474"/>
    </row>
    <row r="1426" spans="11:15">
      <c r="K1426" s="1471">
        <v>43483</v>
      </c>
      <c r="L1426" s="1472" t="s">
        <v>2127</v>
      </c>
      <c r="M1426" s="1473">
        <v>2.462E-2</v>
      </c>
      <c r="N1426" s="1474">
        <v>1.4896568795498653</v>
      </c>
      <c r="O1426" s="1474"/>
    </row>
    <row r="1427" spans="11:15">
      <c r="K1427" s="1471">
        <v>43484</v>
      </c>
      <c r="L1427" s="1472"/>
      <c r="M1427" s="1473">
        <v>0</v>
      </c>
      <c r="N1427" s="1474">
        <v>1.4896568795498653</v>
      </c>
      <c r="O1427" s="1474"/>
    </row>
    <row r="1428" spans="11:15">
      <c r="K1428" s="1471">
        <v>43485</v>
      </c>
      <c r="L1428" s="1472"/>
      <c r="M1428" s="1473">
        <v>0</v>
      </c>
      <c r="N1428" s="1474">
        <v>1.4896568795498653</v>
      </c>
      <c r="O1428" s="1474"/>
    </row>
    <row r="1429" spans="11:15">
      <c r="K1429" s="1471">
        <v>43486</v>
      </c>
      <c r="L1429" s="1472" t="s">
        <v>2127</v>
      </c>
      <c r="M1429" s="1473">
        <v>2.462E-2</v>
      </c>
      <c r="N1429" s="1474">
        <v>1.4900236330736105</v>
      </c>
      <c r="O1429" s="1474"/>
    </row>
    <row r="1430" spans="11:15">
      <c r="K1430" s="1471">
        <v>43487</v>
      </c>
      <c r="L1430" s="1472" t="s">
        <v>2127</v>
      </c>
      <c r="M1430" s="1473">
        <v>2.462E-2</v>
      </c>
      <c r="N1430" s="1474">
        <v>1.4903904768920733</v>
      </c>
      <c r="O1430" s="1474"/>
    </row>
    <row r="1431" spans="11:15">
      <c r="K1431" s="1471">
        <v>43488</v>
      </c>
      <c r="L1431" s="1472" t="s">
        <v>2127</v>
      </c>
      <c r="M1431" s="1473">
        <v>2.462E-2</v>
      </c>
      <c r="N1431" s="1474">
        <v>1.4907574110274842</v>
      </c>
      <c r="O1431" s="1474"/>
    </row>
    <row r="1432" spans="11:15">
      <c r="K1432" s="1471">
        <v>43489</v>
      </c>
      <c r="L1432" s="1472" t="s">
        <v>2127</v>
      </c>
      <c r="M1432" s="1473">
        <v>2.462E-2</v>
      </c>
      <c r="N1432" s="1474">
        <v>1.4911244355020792</v>
      </c>
      <c r="O1432" s="1474"/>
    </row>
    <row r="1433" spans="11:15">
      <c r="K1433" s="1471">
        <v>43490</v>
      </c>
      <c r="L1433" s="1472" t="s">
        <v>2127</v>
      </c>
      <c r="M1433" s="1473">
        <v>2.462E-2</v>
      </c>
      <c r="N1433" s="1474">
        <v>1.4914915503380999</v>
      </c>
      <c r="O1433" s="1474"/>
    </row>
    <row r="1434" spans="11:15">
      <c r="K1434" s="1471">
        <v>43491</v>
      </c>
      <c r="L1434" s="1472"/>
      <c r="M1434" s="1473">
        <v>0</v>
      </c>
      <c r="N1434" s="1474">
        <v>1.4914915503380999</v>
      </c>
      <c r="O1434" s="1474"/>
    </row>
    <row r="1435" spans="11:15">
      <c r="K1435" s="1471">
        <v>43492</v>
      </c>
      <c r="L1435" s="1472"/>
      <c r="M1435" s="1473">
        <v>0</v>
      </c>
      <c r="N1435" s="1474">
        <v>1.4914915503380999</v>
      </c>
      <c r="O1435" s="1474"/>
    </row>
    <row r="1436" spans="11:15">
      <c r="K1436" s="1471">
        <v>43493</v>
      </c>
      <c r="L1436" s="1472" t="s">
        <v>2127</v>
      </c>
      <c r="M1436" s="1473">
        <v>2.462E-2</v>
      </c>
      <c r="N1436" s="1474">
        <v>1.4918587555577933</v>
      </c>
      <c r="O1436" s="1474"/>
    </row>
    <row r="1437" spans="11:15">
      <c r="K1437" s="1471">
        <v>43494</v>
      </c>
      <c r="L1437" s="1472" t="s">
        <v>2127</v>
      </c>
      <c r="M1437" s="1473">
        <v>2.462E-2</v>
      </c>
      <c r="N1437" s="1474">
        <v>1.4922260511834118</v>
      </c>
      <c r="O1437" s="1474"/>
    </row>
    <row r="1438" spans="11:15">
      <c r="K1438" s="1471">
        <v>43495</v>
      </c>
      <c r="L1438" s="1472" t="s">
        <v>2127</v>
      </c>
      <c r="M1438" s="1473">
        <v>2.462E-2</v>
      </c>
      <c r="N1438" s="1474">
        <v>1.4925934372372132</v>
      </c>
      <c r="O1438" s="1474"/>
    </row>
    <row r="1439" spans="11:15">
      <c r="K1439" s="1471">
        <v>43496</v>
      </c>
      <c r="L1439" s="1472" t="s">
        <v>2127</v>
      </c>
      <c r="M1439" s="1473">
        <v>2.462E-2</v>
      </c>
      <c r="N1439" s="1474">
        <v>1.492960913741461</v>
      </c>
      <c r="O1439" s="1474"/>
    </row>
    <row r="1440" spans="11:15">
      <c r="K1440" s="1471">
        <v>43497</v>
      </c>
      <c r="L1440" s="1472" t="s">
        <v>2127</v>
      </c>
      <c r="M1440" s="1473">
        <v>2.462E-2</v>
      </c>
      <c r="N1440" s="1474">
        <v>1.4933284807184244</v>
      </c>
      <c r="O1440" s="1474"/>
    </row>
    <row r="1441" spans="11:15">
      <c r="K1441" s="1471">
        <v>43498</v>
      </c>
      <c r="L1441" s="1472"/>
      <c r="M1441" s="1473">
        <v>0</v>
      </c>
      <c r="N1441" s="1474">
        <v>1.4933284807184244</v>
      </c>
      <c r="O1441" s="1474"/>
    </row>
    <row r="1442" spans="11:15">
      <c r="K1442" s="1471">
        <v>43499</v>
      </c>
      <c r="L1442" s="1472"/>
      <c r="M1442" s="1473">
        <v>0</v>
      </c>
      <c r="N1442" s="1474">
        <v>1.4933284807184244</v>
      </c>
      <c r="O1442" s="1474"/>
    </row>
    <row r="1443" spans="11:15">
      <c r="K1443" s="1471">
        <v>43500</v>
      </c>
      <c r="L1443" s="1472" t="s">
        <v>2127</v>
      </c>
      <c r="M1443" s="1473">
        <v>2.462E-2</v>
      </c>
      <c r="N1443" s="1474">
        <v>1.4936961381903775</v>
      </c>
      <c r="O1443" s="1474"/>
    </row>
    <row r="1444" spans="11:15">
      <c r="K1444" s="1471">
        <v>43501</v>
      </c>
      <c r="L1444" s="1472" t="s">
        <v>2127</v>
      </c>
      <c r="M1444" s="1473">
        <v>2.462E-2</v>
      </c>
      <c r="N1444" s="1474">
        <v>1.4940638861796001</v>
      </c>
      <c r="O1444" s="1474"/>
    </row>
    <row r="1445" spans="11:15">
      <c r="K1445" s="1471">
        <v>43502</v>
      </c>
      <c r="L1445" s="1472" t="s">
        <v>2127</v>
      </c>
      <c r="M1445" s="1473">
        <v>2.462E-2</v>
      </c>
      <c r="N1445" s="1474">
        <v>1.4944317247083776</v>
      </c>
      <c r="O1445" s="1474"/>
    </row>
    <row r="1446" spans="11:15">
      <c r="K1446" s="1471">
        <v>43503</v>
      </c>
      <c r="L1446" s="1472" t="s">
        <v>2127</v>
      </c>
      <c r="M1446" s="1473">
        <v>2.462E-2</v>
      </c>
      <c r="N1446" s="1474">
        <v>1.4947996537990009</v>
      </c>
      <c r="O1446" s="1474"/>
    </row>
    <row r="1447" spans="11:15">
      <c r="K1447" s="1471">
        <v>43504</v>
      </c>
      <c r="L1447" s="1472" t="s">
        <v>2127</v>
      </c>
      <c r="M1447" s="1473">
        <v>2.462E-2</v>
      </c>
      <c r="N1447" s="1474">
        <v>1.4951676734737664</v>
      </c>
      <c r="O1447" s="1474"/>
    </row>
    <row r="1448" spans="11:15">
      <c r="K1448" s="1471">
        <v>43505</v>
      </c>
      <c r="L1448" s="1472"/>
      <c r="M1448" s="1473">
        <v>0</v>
      </c>
      <c r="N1448" s="1474">
        <v>1.4951676734737664</v>
      </c>
      <c r="O1448" s="1474"/>
    </row>
    <row r="1449" spans="11:15">
      <c r="K1449" s="1471">
        <v>43506</v>
      </c>
      <c r="L1449" s="1472"/>
      <c r="M1449" s="1473">
        <v>0</v>
      </c>
      <c r="N1449" s="1474">
        <v>1.4951676734737664</v>
      </c>
      <c r="O1449" s="1474"/>
    </row>
    <row r="1450" spans="11:15">
      <c r="K1450" s="1471">
        <v>43507</v>
      </c>
      <c r="L1450" s="1472" t="s">
        <v>2127</v>
      </c>
      <c r="M1450" s="1473">
        <v>2.462E-2</v>
      </c>
      <c r="N1450" s="1474">
        <v>1.4955357837549759</v>
      </c>
      <c r="O1450" s="1474"/>
    </row>
    <row r="1451" spans="11:15">
      <c r="K1451" s="1471">
        <v>43508</v>
      </c>
      <c r="L1451" s="1472" t="s">
        <v>2127</v>
      </c>
      <c r="M1451" s="1473">
        <v>2.462E-2</v>
      </c>
      <c r="N1451" s="1474">
        <v>1.4959039846649365</v>
      </c>
      <c r="O1451" s="1474"/>
    </row>
    <row r="1452" spans="11:15">
      <c r="K1452" s="1471">
        <v>43509</v>
      </c>
      <c r="L1452" s="1472" t="s">
        <v>2127</v>
      </c>
      <c r="M1452" s="1473">
        <v>2.462E-2</v>
      </c>
      <c r="N1452" s="1474">
        <v>1.496272276225961</v>
      </c>
      <c r="O1452" s="1474"/>
    </row>
    <row r="1453" spans="11:15">
      <c r="K1453" s="1471">
        <v>43510</v>
      </c>
      <c r="L1453" s="1472" t="s">
        <v>2127</v>
      </c>
      <c r="M1453" s="1473">
        <v>2.462E-2</v>
      </c>
      <c r="N1453" s="1474">
        <v>1.496640658460368</v>
      </c>
      <c r="O1453" s="1474"/>
    </row>
    <row r="1454" spans="11:15">
      <c r="K1454" s="1471">
        <v>43511</v>
      </c>
      <c r="L1454" s="1472" t="s">
        <v>2127</v>
      </c>
      <c r="M1454" s="1473">
        <v>2.462E-2</v>
      </c>
      <c r="N1454" s="1474">
        <v>1.497009131390481</v>
      </c>
      <c r="O1454" s="1474"/>
    </row>
    <row r="1455" spans="11:15">
      <c r="K1455" s="1471">
        <v>43512</v>
      </c>
      <c r="L1455" s="1472"/>
      <c r="M1455" s="1473">
        <v>0</v>
      </c>
      <c r="N1455" s="1474">
        <v>1.497009131390481</v>
      </c>
      <c r="O1455" s="1474"/>
    </row>
    <row r="1456" spans="11:15">
      <c r="K1456" s="1471">
        <v>43513</v>
      </c>
      <c r="L1456" s="1472"/>
      <c r="M1456" s="1473">
        <v>0</v>
      </c>
      <c r="N1456" s="1474">
        <v>1.497009131390481</v>
      </c>
      <c r="O1456" s="1474"/>
    </row>
    <row r="1457" spans="11:15">
      <c r="K1457" s="1471">
        <v>43514</v>
      </c>
      <c r="L1457" s="1472" t="s">
        <v>2127</v>
      </c>
      <c r="M1457" s="1473">
        <v>2.462E-2</v>
      </c>
      <c r="N1457" s="1474">
        <v>1.4973776950386295</v>
      </c>
      <c r="O1457" s="1474"/>
    </row>
    <row r="1458" spans="11:15">
      <c r="K1458" s="1471">
        <v>43515</v>
      </c>
      <c r="L1458" s="1472" t="s">
        <v>2127</v>
      </c>
      <c r="M1458" s="1473">
        <v>2.462E-2</v>
      </c>
      <c r="N1458" s="1474">
        <v>1.4977463494271481</v>
      </c>
      <c r="O1458" s="1474"/>
    </row>
    <row r="1459" spans="11:15">
      <c r="K1459" s="1471">
        <v>43516</v>
      </c>
      <c r="L1459" s="1472" t="s">
        <v>2127</v>
      </c>
      <c r="M1459" s="1473">
        <v>2.462E-2</v>
      </c>
      <c r="N1459" s="1474">
        <v>1.4981150945783772</v>
      </c>
      <c r="O1459" s="1474"/>
    </row>
    <row r="1460" spans="11:15">
      <c r="K1460" s="1471">
        <v>43517</v>
      </c>
      <c r="L1460" s="1472" t="s">
        <v>2127</v>
      </c>
      <c r="M1460" s="1473">
        <v>2.462E-2</v>
      </c>
      <c r="N1460" s="1474">
        <v>1.4984839305146624</v>
      </c>
      <c r="O1460" s="1474"/>
    </row>
    <row r="1461" spans="11:15">
      <c r="K1461" s="1471">
        <v>43518</v>
      </c>
      <c r="L1461" s="1472" t="s">
        <v>2127</v>
      </c>
      <c r="M1461" s="1473">
        <v>2.462E-2</v>
      </c>
      <c r="N1461" s="1474">
        <v>1.4988528572583553</v>
      </c>
      <c r="O1461" s="1474"/>
    </row>
    <row r="1462" spans="11:15">
      <c r="K1462" s="1471">
        <v>43519</v>
      </c>
      <c r="L1462" s="1472"/>
      <c r="M1462" s="1473">
        <v>0</v>
      </c>
      <c r="N1462" s="1474">
        <v>1.4988528572583553</v>
      </c>
      <c r="O1462" s="1474"/>
    </row>
    <row r="1463" spans="11:15">
      <c r="K1463" s="1471">
        <v>43520</v>
      </c>
      <c r="L1463" s="1472"/>
      <c r="M1463" s="1473">
        <v>0</v>
      </c>
      <c r="N1463" s="1474">
        <v>1.4988528572583553</v>
      </c>
      <c r="O1463" s="1474"/>
    </row>
    <row r="1464" spans="11:15">
      <c r="K1464" s="1471">
        <v>43521</v>
      </c>
      <c r="L1464" s="1472" t="s">
        <v>2127</v>
      </c>
      <c r="M1464" s="1473">
        <v>2.462E-2</v>
      </c>
      <c r="N1464" s="1474">
        <v>1.4992218748318125</v>
      </c>
      <c r="O1464" s="1474"/>
    </row>
    <row r="1465" spans="11:15">
      <c r="K1465" s="1471">
        <v>43522</v>
      </c>
      <c r="L1465" s="1472" t="s">
        <v>2127</v>
      </c>
      <c r="M1465" s="1473">
        <v>2.462E-2</v>
      </c>
      <c r="N1465" s="1474">
        <v>1.4995909832573961</v>
      </c>
      <c r="O1465" s="1474"/>
    </row>
    <row r="1466" spans="11:15">
      <c r="K1466" s="1471">
        <v>43523</v>
      </c>
      <c r="L1466" s="1472" t="s">
        <v>2127</v>
      </c>
      <c r="M1466" s="1473">
        <v>2.462E-2</v>
      </c>
      <c r="N1466" s="1474">
        <v>1.4999601825574742</v>
      </c>
      <c r="O1466" s="1474"/>
    </row>
    <row r="1467" spans="11:15">
      <c r="K1467" s="1471">
        <v>43524</v>
      </c>
      <c r="L1467" s="1472" t="s">
        <v>2127</v>
      </c>
      <c r="M1467" s="1473">
        <v>2.462E-2</v>
      </c>
      <c r="N1467" s="1474">
        <v>1.5003294727544201</v>
      </c>
      <c r="O1467" s="1474"/>
    </row>
    <row r="1468" spans="11:15">
      <c r="K1468" s="1471">
        <v>43525</v>
      </c>
      <c r="L1468" s="1472" t="s">
        <v>2127</v>
      </c>
      <c r="M1468" s="1473">
        <v>2.462E-2</v>
      </c>
      <c r="N1468" s="1474">
        <v>1.5006988538706123</v>
      </c>
      <c r="O1468" s="1474"/>
    </row>
    <row r="1469" spans="11:15">
      <c r="K1469" s="1471">
        <v>43526</v>
      </c>
      <c r="L1469" s="1472"/>
      <c r="M1469" s="1473">
        <v>0</v>
      </c>
      <c r="N1469" s="1474">
        <v>1.5006988538706123</v>
      </c>
      <c r="O1469" s="1474"/>
    </row>
    <row r="1470" spans="11:15">
      <c r="K1470" s="1471">
        <v>43527</v>
      </c>
      <c r="L1470" s="1472"/>
      <c r="M1470" s="1473">
        <v>0</v>
      </c>
      <c r="N1470" s="1474">
        <v>1.5006988538706123</v>
      </c>
      <c r="O1470" s="1474"/>
    </row>
    <row r="1471" spans="11:15">
      <c r="K1471" s="1471">
        <v>43528</v>
      </c>
      <c r="L1471" s="1472"/>
      <c r="M1471" s="1473">
        <v>0</v>
      </c>
      <c r="N1471" s="1474">
        <v>1.5006988538706123</v>
      </c>
      <c r="O1471" s="1474"/>
    </row>
    <row r="1472" spans="11:15">
      <c r="K1472" s="1471">
        <v>43529</v>
      </c>
      <c r="L1472" s="1472"/>
      <c r="M1472" s="1473">
        <v>0</v>
      </c>
      <c r="N1472" s="1474">
        <v>1.5006988538706123</v>
      </c>
      <c r="O1472" s="1474"/>
    </row>
    <row r="1473" spans="11:15">
      <c r="K1473" s="1471">
        <v>43530</v>
      </c>
      <c r="L1473" s="1472" t="s">
        <v>2127</v>
      </c>
      <c r="M1473" s="1473">
        <v>2.462E-2</v>
      </c>
      <c r="N1473" s="1474">
        <v>1.5010683259284354</v>
      </c>
      <c r="O1473" s="1474"/>
    </row>
    <row r="1474" spans="11:15">
      <c r="K1474" s="1471">
        <v>43531</v>
      </c>
      <c r="L1474" s="1472" t="s">
        <v>2127</v>
      </c>
      <c r="M1474" s="1473">
        <v>2.462E-2</v>
      </c>
      <c r="N1474" s="1474">
        <v>1.5014378889502791</v>
      </c>
      <c r="O1474" s="1474"/>
    </row>
    <row r="1475" spans="11:15">
      <c r="K1475" s="1471">
        <v>43532</v>
      </c>
      <c r="L1475" s="1472" t="s">
        <v>2127</v>
      </c>
      <c r="M1475" s="1473">
        <v>2.462E-2</v>
      </c>
      <c r="N1475" s="1474">
        <v>1.5018075429585387</v>
      </c>
      <c r="O1475" s="1474"/>
    </row>
    <row r="1476" spans="11:15">
      <c r="K1476" s="1471">
        <v>43533</v>
      </c>
      <c r="L1476" s="1472"/>
      <c r="M1476" s="1473">
        <v>0</v>
      </c>
      <c r="N1476" s="1474">
        <v>1.5018075429585387</v>
      </c>
      <c r="O1476" s="1474"/>
    </row>
    <row r="1477" spans="11:15">
      <c r="K1477" s="1471">
        <v>43534</v>
      </c>
      <c r="L1477" s="1472"/>
      <c r="M1477" s="1473">
        <v>0</v>
      </c>
      <c r="N1477" s="1474">
        <v>1.5018075429585387</v>
      </c>
      <c r="O1477" s="1474"/>
    </row>
    <row r="1478" spans="11:15">
      <c r="K1478" s="1471">
        <v>43535</v>
      </c>
      <c r="L1478" s="1472" t="s">
        <v>2127</v>
      </c>
      <c r="M1478" s="1473">
        <v>2.462E-2</v>
      </c>
      <c r="N1478" s="1474">
        <v>1.5021772879756152</v>
      </c>
      <c r="O1478" s="1474"/>
    </row>
    <row r="1479" spans="11:15">
      <c r="K1479" s="1471">
        <v>43536</v>
      </c>
      <c r="L1479" s="1472" t="s">
        <v>2127</v>
      </c>
      <c r="M1479" s="1473">
        <v>2.462E-2</v>
      </c>
      <c r="N1479" s="1474">
        <v>1.502547124023915</v>
      </c>
      <c r="O1479" s="1474"/>
    </row>
    <row r="1480" spans="11:15">
      <c r="K1480" s="1471">
        <v>43537</v>
      </c>
      <c r="L1480" s="1472" t="s">
        <v>2127</v>
      </c>
      <c r="M1480" s="1473">
        <v>2.462E-2</v>
      </c>
      <c r="N1480" s="1474">
        <v>1.5029170511258498</v>
      </c>
      <c r="O1480" s="1474"/>
    </row>
    <row r="1481" spans="11:15">
      <c r="K1481" s="1471">
        <v>43538</v>
      </c>
      <c r="L1481" s="1472" t="s">
        <v>2127</v>
      </c>
      <c r="M1481" s="1473">
        <v>2.462E-2</v>
      </c>
      <c r="N1481" s="1474">
        <v>1.5032870693038372</v>
      </c>
      <c r="O1481" s="1474"/>
    </row>
    <row r="1482" spans="11:15">
      <c r="K1482" s="1471">
        <v>43539</v>
      </c>
      <c r="L1482" s="1472" t="s">
        <v>2127</v>
      </c>
      <c r="M1482" s="1473">
        <v>2.462E-2</v>
      </c>
      <c r="N1482" s="1474">
        <v>1.5036571785802999</v>
      </c>
      <c r="O1482" s="1474"/>
    </row>
    <row r="1483" spans="11:15">
      <c r="K1483" s="1471">
        <v>43540</v>
      </c>
      <c r="L1483" s="1472"/>
      <c r="M1483" s="1473">
        <v>0</v>
      </c>
      <c r="N1483" s="1474">
        <v>1.5036571785802999</v>
      </c>
      <c r="O1483" s="1474"/>
    </row>
    <row r="1484" spans="11:15">
      <c r="K1484" s="1471">
        <v>43541</v>
      </c>
      <c r="L1484" s="1472"/>
      <c r="M1484" s="1473">
        <v>0</v>
      </c>
      <c r="N1484" s="1474">
        <v>1.5036571785802999</v>
      </c>
      <c r="O1484" s="1474"/>
    </row>
    <row r="1485" spans="11:15">
      <c r="K1485" s="1471">
        <v>43542</v>
      </c>
      <c r="L1485" s="1472" t="s">
        <v>2127</v>
      </c>
      <c r="M1485" s="1473">
        <v>2.462E-2</v>
      </c>
      <c r="N1485" s="1474">
        <v>1.5040273789776666</v>
      </c>
      <c r="O1485" s="1474"/>
    </row>
    <row r="1486" spans="11:15">
      <c r="K1486" s="1471">
        <v>43543</v>
      </c>
      <c r="L1486" s="1472" t="s">
        <v>2127</v>
      </c>
      <c r="M1486" s="1473">
        <v>2.462E-2</v>
      </c>
      <c r="N1486" s="1474">
        <v>1.504397670518371</v>
      </c>
      <c r="O1486" s="1474"/>
    </row>
    <row r="1487" spans="11:15">
      <c r="K1487" s="1471">
        <v>43544</v>
      </c>
      <c r="L1487" s="1472" t="s">
        <v>2127</v>
      </c>
      <c r="M1487" s="1473">
        <v>2.462E-2</v>
      </c>
      <c r="N1487" s="1474">
        <v>1.5047680532248529</v>
      </c>
      <c r="O1487" s="1474"/>
    </row>
    <row r="1488" spans="11:15">
      <c r="K1488" s="1471">
        <v>43545</v>
      </c>
      <c r="L1488" s="1472" t="s">
        <v>2127</v>
      </c>
      <c r="M1488" s="1473">
        <v>2.462E-2</v>
      </c>
      <c r="N1488" s="1474">
        <v>1.505138527119557</v>
      </c>
      <c r="O1488" s="1474"/>
    </row>
    <row r="1489" spans="11:15">
      <c r="K1489" s="1471">
        <v>43546</v>
      </c>
      <c r="L1489" s="1472" t="s">
        <v>2127</v>
      </c>
      <c r="M1489" s="1473">
        <v>2.462E-2</v>
      </c>
      <c r="N1489" s="1474">
        <v>1.5055090922249339</v>
      </c>
      <c r="O1489" s="1474"/>
    </row>
    <row r="1490" spans="11:15">
      <c r="K1490" s="1471">
        <v>43547</v>
      </c>
      <c r="L1490" s="1472"/>
      <c r="M1490" s="1473">
        <v>0</v>
      </c>
      <c r="N1490" s="1474">
        <v>1.5055090922249339</v>
      </c>
      <c r="O1490" s="1474"/>
    </row>
    <row r="1491" spans="11:15">
      <c r="K1491" s="1471">
        <v>43548</v>
      </c>
      <c r="L1491" s="1472"/>
      <c r="M1491" s="1473">
        <v>0</v>
      </c>
      <c r="N1491" s="1474">
        <v>1.5055090922249339</v>
      </c>
      <c r="O1491" s="1474"/>
    </row>
    <row r="1492" spans="11:15">
      <c r="K1492" s="1471">
        <v>43549</v>
      </c>
      <c r="L1492" s="1472" t="s">
        <v>2127</v>
      </c>
      <c r="M1492" s="1473">
        <v>2.462E-2</v>
      </c>
      <c r="N1492" s="1474">
        <v>1.5058797485634399</v>
      </c>
      <c r="O1492" s="1474"/>
    </row>
    <row r="1493" spans="11:15">
      <c r="K1493" s="1471">
        <v>43550</v>
      </c>
      <c r="L1493" s="1472" t="s">
        <v>2127</v>
      </c>
      <c r="M1493" s="1473">
        <v>2.462E-2</v>
      </c>
      <c r="N1493" s="1474">
        <v>1.5062504961575363</v>
      </c>
      <c r="O1493" s="1474"/>
    </row>
    <row r="1494" spans="11:15">
      <c r="K1494" s="1471">
        <v>43551</v>
      </c>
      <c r="L1494" s="1472" t="s">
        <v>2127</v>
      </c>
      <c r="M1494" s="1473">
        <v>2.462E-2</v>
      </c>
      <c r="N1494" s="1474">
        <v>1.5066213350296904</v>
      </c>
      <c r="O1494" s="1474"/>
    </row>
    <row r="1495" spans="11:15">
      <c r="K1495" s="1471">
        <v>43552</v>
      </c>
      <c r="L1495" s="1472" t="s">
        <v>2127</v>
      </c>
      <c r="M1495" s="1473">
        <v>2.462E-2</v>
      </c>
      <c r="N1495" s="1474">
        <v>1.5069922652023748</v>
      </c>
      <c r="O1495" s="1474"/>
    </row>
    <row r="1496" spans="11:15">
      <c r="K1496" s="1471">
        <v>43553</v>
      </c>
      <c r="L1496" s="1472" t="s">
        <v>2127</v>
      </c>
      <c r="M1496" s="1473">
        <v>2.462E-2</v>
      </c>
      <c r="N1496" s="1474">
        <v>1.5073632866980677</v>
      </c>
      <c r="O1496" s="1474"/>
    </row>
    <row r="1497" spans="11:15">
      <c r="K1497" s="1471">
        <v>43554</v>
      </c>
      <c r="L1497" s="1472"/>
      <c r="M1497" s="1473">
        <v>0</v>
      </c>
      <c r="N1497" s="1474">
        <v>1.5073632866980677</v>
      </c>
      <c r="O1497" s="1474"/>
    </row>
    <row r="1498" spans="11:15">
      <c r="K1498" s="1471">
        <v>43555</v>
      </c>
      <c r="L1498" s="1472"/>
      <c r="M1498" s="1473">
        <v>0</v>
      </c>
      <c r="N1498" s="1474">
        <v>1.5073632866980677</v>
      </c>
      <c r="O1498" s="1474"/>
    </row>
    <row r="1499" spans="11:15">
      <c r="K1499" s="1471">
        <v>43556</v>
      </c>
      <c r="L1499" s="1472" t="s">
        <v>2127</v>
      </c>
      <c r="M1499" s="1473">
        <v>2.462E-2</v>
      </c>
      <c r="N1499" s="1474">
        <v>1.5077343995392529</v>
      </c>
      <c r="O1499" s="1474"/>
    </row>
    <row r="1500" spans="11:15">
      <c r="K1500" s="1471">
        <v>43557</v>
      </c>
      <c r="L1500" s="1472" t="s">
        <v>2127</v>
      </c>
      <c r="M1500" s="1473">
        <v>2.462E-2</v>
      </c>
      <c r="N1500" s="1474">
        <v>1.5081056037484195</v>
      </c>
      <c r="O1500" s="1474"/>
    </row>
    <row r="1501" spans="11:15">
      <c r="K1501" s="1471">
        <v>43558</v>
      </c>
      <c r="L1501" s="1472" t="s">
        <v>2127</v>
      </c>
      <c r="M1501" s="1473">
        <v>2.462E-2</v>
      </c>
      <c r="N1501" s="1474">
        <v>1.5084768993480624</v>
      </c>
      <c r="O1501" s="1474"/>
    </row>
    <row r="1502" spans="11:15">
      <c r="K1502" s="1471">
        <v>43559</v>
      </c>
      <c r="L1502" s="1472" t="s">
        <v>2127</v>
      </c>
      <c r="M1502" s="1473">
        <v>2.462E-2</v>
      </c>
      <c r="N1502" s="1474">
        <v>1.508848286360682</v>
      </c>
      <c r="O1502" s="1474"/>
    </row>
    <row r="1503" spans="11:15">
      <c r="K1503" s="1471">
        <v>43560</v>
      </c>
      <c r="L1503" s="1472" t="s">
        <v>2127</v>
      </c>
      <c r="M1503" s="1473">
        <v>2.462E-2</v>
      </c>
      <c r="N1503" s="1474">
        <v>1.5092197648087842</v>
      </c>
      <c r="O1503" s="1474"/>
    </row>
    <row r="1504" spans="11:15">
      <c r="K1504" s="1471">
        <v>43561</v>
      </c>
      <c r="L1504" s="1472"/>
      <c r="M1504" s="1473">
        <v>0</v>
      </c>
      <c r="N1504" s="1474">
        <v>1.5092197648087842</v>
      </c>
      <c r="O1504" s="1474"/>
    </row>
    <row r="1505" spans="11:15">
      <c r="K1505" s="1471">
        <v>43562</v>
      </c>
      <c r="L1505" s="1472"/>
      <c r="M1505" s="1473">
        <v>0</v>
      </c>
      <c r="N1505" s="1474">
        <v>1.5092197648087842</v>
      </c>
      <c r="O1505" s="1474"/>
    </row>
    <row r="1506" spans="11:15">
      <c r="K1506" s="1471">
        <v>43563</v>
      </c>
      <c r="L1506" s="1472" t="s">
        <v>2127</v>
      </c>
      <c r="M1506" s="1473">
        <v>2.462E-2</v>
      </c>
      <c r="N1506" s="1474">
        <v>1.5095913347148802</v>
      </c>
      <c r="O1506" s="1474"/>
    </row>
    <row r="1507" spans="11:15">
      <c r="K1507" s="1471">
        <v>43564</v>
      </c>
      <c r="L1507" s="1472" t="s">
        <v>2127</v>
      </c>
      <c r="M1507" s="1473">
        <v>2.462E-2</v>
      </c>
      <c r="N1507" s="1474">
        <v>1.5099629961014871</v>
      </c>
      <c r="O1507" s="1474"/>
    </row>
    <row r="1508" spans="11:15">
      <c r="K1508" s="1471">
        <v>43565</v>
      </c>
      <c r="L1508" s="1472" t="s">
        <v>2127</v>
      </c>
      <c r="M1508" s="1473">
        <v>2.462E-2</v>
      </c>
      <c r="N1508" s="1474">
        <v>1.5103347489911274</v>
      </c>
      <c r="O1508" s="1474"/>
    </row>
    <row r="1509" spans="11:15">
      <c r="K1509" s="1471">
        <v>43566</v>
      </c>
      <c r="L1509" s="1472" t="s">
        <v>2127</v>
      </c>
      <c r="M1509" s="1473">
        <v>2.462E-2</v>
      </c>
      <c r="N1509" s="1474">
        <v>1.5107065934063291</v>
      </c>
      <c r="O1509" s="1474"/>
    </row>
    <row r="1510" spans="11:15">
      <c r="K1510" s="1471">
        <v>43567</v>
      </c>
      <c r="L1510" s="1472" t="s">
        <v>2127</v>
      </c>
      <c r="M1510" s="1473">
        <v>2.462E-2</v>
      </c>
      <c r="N1510" s="1474">
        <v>1.5110785293696258</v>
      </c>
      <c r="O1510" s="1474"/>
    </row>
    <row r="1511" spans="11:15">
      <c r="K1511" s="1471">
        <v>43568</v>
      </c>
      <c r="L1511" s="1472"/>
      <c r="M1511" s="1473">
        <v>0</v>
      </c>
      <c r="N1511" s="1474">
        <v>1.5110785293696258</v>
      </c>
      <c r="O1511" s="1474"/>
    </row>
    <row r="1512" spans="11:15">
      <c r="K1512" s="1471">
        <v>43569</v>
      </c>
      <c r="L1512" s="1472"/>
      <c r="M1512" s="1473">
        <v>0</v>
      </c>
      <c r="N1512" s="1474">
        <v>1.5110785293696258</v>
      </c>
      <c r="O1512" s="1474"/>
    </row>
    <row r="1513" spans="11:15">
      <c r="K1513" s="1471">
        <v>43570</v>
      </c>
      <c r="L1513" s="1472" t="s">
        <v>2127</v>
      </c>
      <c r="M1513" s="1473">
        <v>2.462E-2</v>
      </c>
      <c r="N1513" s="1474">
        <v>1.5114505569035568</v>
      </c>
      <c r="O1513" s="1474"/>
    </row>
    <row r="1514" spans="11:15">
      <c r="K1514" s="1471">
        <v>43571</v>
      </c>
      <c r="L1514" s="1472" t="s">
        <v>2127</v>
      </c>
      <c r="M1514" s="1473">
        <v>2.462E-2</v>
      </c>
      <c r="N1514" s="1474">
        <v>1.5118226760306666</v>
      </c>
      <c r="O1514" s="1474"/>
    </row>
    <row r="1515" spans="11:15">
      <c r="K1515" s="1471">
        <v>43572</v>
      </c>
      <c r="L1515" s="1472" t="s">
        <v>2127</v>
      </c>
      <c r="M1515" s="1473">
        <v>2.462E-2</v>
      </c>
      <c r="N1515" s="1474">
        <v>1.5121948867735053</v>
      </c>
      <c r="O1515" s="1474"/>
    </row>
    <row r="1516" spans="11:15">
      <c r="K1516" s="1471">
        <v>43573</v>
      </c>
      <c r="L1516" s="1472" t="s">
        <v>2127</v>
      </c>
      <c r="M1516" s="1473">
        <v>2.462E-2</v>
      </c>
      <c r="N1516" s="1474">
        <v>1.5125671891546291</v>
      </c>
      <c r="O1516" s="1474"/>
    </row>
    <row r="1517" spans="11:15">
      <c r="K1517" s="1471">
        <v>43574</v>
      </c>
      <c r="L1517" s="1472"/>
      <c r="M1517" s="1473">
        <v>0</v>
      </c>
      <c r="N1517" s="1474">
        <v>1.5125671891546291</v>
      </c>
      <c r="O1517" s="1474"/>
    </row>
    <row r="1518" spans="11:15">
      <c r="K1518" s="1471">
        <v>43575</v>
      </c>
      <c r="L1518" s="1472"/>
      <c r="M1518" s="1473">
        <v>0</v>
      </c>
      <c r="N1518" s="1474">
        <v>1.5125671891546291</v>
      </c>
      <c r="O1518" s="1474"/>
    </row>
    <row r="1519" spans="11:15">
      <c r="K1519" s="1471">
        <v>43576</v>
      </c>
      <c r="L1519" s="1472"/>
      <c r="M1519" s="1473">
        <v>0</v>
      </c>
      <c r="N1519" s="1474">
        <v>1.5125671891546291</v>
      </c>
      <c r="O1519" s="1474"/>
    </row>
    <row r="1520" spans="11:15">
      <c r="K1520" s="1471">
        <v>43577</v>
      </c>
      <c r="L1520" s="1472" t="s">
        <v>2127</v>
      </c>
      <c r="M1520" s="1473">
        <v>2.462E-2</v>
      </c>
      <c r="N1520" s="1474">
        <v>1.512939583196599</v>
      </c>
      <c r="O1520" s="1474"/>
    </row>
    <row r="1521" spans="11:15">
      <c r="K1521" s="1471">
        <v>43578</v>
      </c>
      <c r="L1521" s="1472" t="s">
        <v>2127</v>
      </c>
      <c r="M1521" s="1473">
        <v>2.462E-2</v>
      </c>
      <c r="N1521" s="1474">
        <v>1.5133120689219821</v>
      </c>
      <c r="O1521" s="1474"/>
    </row>
    <row r="1522" spans="11:15">
      <c r="K1522" s="1471">
        <v>43579</v>
      </c>
      <c r="L1522" s="1472" t="s">
        <v>2127</v>
      </c>
      <c r="M1522" s="1473">
        <v>2.462E-2</v>
      </c>
      <c r="N1522" s="1474">
        <v>1.5136846463533509</v>
      </c>
      <c r="O1522" s="1474"/>
    </row>
    <row r="1523" spans="11:15">
      <c r="K1523" s="1471">
        <v>43580</v>
      </c>
      <c r="L1523" s="1472" t="s">
        <v>2127</v>
      </c>
      <c r="M1523" s="1473">
        <v>2.462E-2</v>
      </c>
      <c r="N1523" s="1474">
        <v>1.5140573155132833</v>
      </c>
      <c r="O1523" s="1474"/>
    </row>
    <row r="1524" spans="11:15">
      <c r="K1524" s="1471">
        <v>43581</v>
      </c>
      <c r="L1524" s="1472" t="s">
        <v>2127</v>
      </c>
      <c r="M1524" s="1473">
        <v>2.462E-2</v>
      </c>
      <c r="N1524" s="1474">
        <v>1.5144300764243628</v>
      </c>
      <c r="O1524" s="1474"/>
    </row>
    <row r="1525" spans="11:15">
      <c r="K1525" s="1471">
        <v>43582</v>
      </c>
      <c r="L1525" s="1472"/>
      <c r="M1525" s="1473">
        <v>0</v>
      </c>
      <c r="N1525" s="1474">
        <v>1.5144300764243628</v>
      </c>
      <c r="O1525" s="1474"/>
    </row>
    <row r="1526" spans="11:15">
      <c r="K1526" s="1471">
        <v>43583</v>
      </c>
      <c r="L1526" s="1472"/>
      <c r="M1526" s="1473">
        <v>0</v>
      </c>
      <c r="N1526" s="1474">
        <v>1.5144300764243628</v>
      </c>
      <c r="O1526" s="1474"/>
    </row>
    <row r="1527" spans="11:15">
      <c r="K1527" s="1471">
        <v>43584</v>
      </c>
      <c r="L1527" s="1472" t="s">
        <v>2127</v>
      </c>
      <c r="M1527" s="1473">
        <v>2.462E-2</v>
      </c>
      <c r="N1527" s="1474">
        <v>1.5148029291091787</v>
      </c>
      <c r="O1527" s="1474"/>
    </row>
    <row r="1528" spans="11:15">
      <c r="K1528" s="1471">
        <v>43585</v>
      </c>
      <c r="L1528" s="1472" t="s">
        <v>2127</v>
      </c>
      <c r="M1528" s="1473">
        <v>2.462E-2</v>
      </c>
      <c r="N1528" s="1474">
        <v>1.5151758735903256</v>
      </c>
      <c r="O1528" s="1474"/>
    </row>
    <row r="1529" spans="11:15">
      <c r="K1529" s="1471">
        <v>43586</v>
      </c>
      <c r="L1529" s="1472"/>
      <c r="M1529" s="1473">
        <v>0</v>
      </c>
      <c r="N1529" s="1474">
        <v>1.5151758735903256</v>
      </c>
      <c r="O1529" s="1474"/>
    </row>
    <row r="1530" spans="11:15">
      <c r="K1530" s="1471">
        <v>43587</v>
      </c>
      <c r="L1530" s="1472" t="s">
        <v>2127</v>
      </c>
      <c r="M1530" s="1473">
        <v>2.462E-2</v>
      </c>
      <c r="N1530" s="1474">
        <v>1.5155489098904036</v>
      </c>
      <c r="O1530" s="1474"/>
    </row>
    <row r="1531" spans="11:15">
      <c r="K1531" s="1471">
        <v>43588</v>
      </c>
      <c r="L1531" s="1472" t="s">
        <v>2127</v>
      </c>
      <c r="M1531" s="1473">
        <v>2.462E-2</v>
      </c>
      <c r="N1531" s="1474">
        <v>1.5159220380320186</v>
      </c>
      <c r="O1531" s="1474"/>
    </row>
    <row r="1532" spans="11:15">
      <c r="K1532" s="1471">
        <v>43589</v>
      </c>
      <c r="L1532" s="1472"/>
      <c r="M1532" s="1473">
        <v>0</v>
      </c>
      <c r="N1532" s="1474">
        <v>1.5159220380320186</v>
      </c>
      <c r="O1532" s="1474"/>
    </row>
    <row r="1533" spans="11:15">
      <c r="K1533" s="1471">
        <v>43590</v>
      </c>
      <c r="L1533" s="1472"/>
      <c r="M1533" s="1473">
        <v>0</v>
      </c>
      <c r="N1533" s="1474">
        <v>1.5159220380320186</v>
      </c>
      <c r="O1533" s="1474"/>
    </row>
    <row r="1534" spans="11:15">
      <c r="K1534" s="1471">
        <v>43591</v>
      </c>
      <c r="L1534" s="1472" t="s">
        <v>2127</v>
      </c>
      <c r="M1534" s="1473">
        <v>2.462E-2</v>
      </c>
      <c r="N1534" s="1474">
        <v>1.5162952580377822</v>
      </c>
      <c r="O1534" s="1474"/>
    </row>
    <row r="1535" spans="11:15">
      <c r="K1535" s="1471">
        <v>43592</v>
      </c>
      <c r="L1535" s="1472" t="s">
        <v>2127</v>
      </c>
      <c r="M1535" s="1473">
        <v>2.462E-2</v>
      </c>
      <c r="N1535" s="1474">
        <v>1.5166685699303113</v>
      </c>
      <c r="O1535" s="1474"/>
    </row>
    <row r="1536" spans="11:15">
      <c r="K1536" s="1471">
        <v>43593</v>
      </c>
      <c r="L1536" s="1472" t="s">
        <v>2127</v>
      </c>
      <c r="M1536" s="1473">
        <v>2.462E-2</v>
      </c>
      <c r="N1536" s="1474">
        <v>1.5170419737322283</v>
      </c>
      <c r="O1536" s="1474"/>
    </row>
    <row r="1537" spans="11:15">
      <c r="K1537" s="1471">
        <v>43594</v>
      </c>
      <c r="L1537" s="1472" t="s">
        <v>2127</v>
      </c>
      <c r="M1537" s="1473">
        <v>2.462E-2</v>
      </c>
      <c r="N1537" s="1474">
        <v>1.5174154694661612</v>
      </c>
      <c r="O1537" s="1474"/>
    </row>
    <row r="1538" spans="11:15">
      <c r="K1538" s="1471">
        <v>43595</v>
      </c>
      <c r="L1538" s="1472" t="s">
        <v>2127</v>
      </c>
      <c r="M1538" s="1473">
        <v>2.462E-2</v>
      </c>
      <c r="N1538" s="1474">
        <v>1.5177890571547439</v>
      </c>
      <c r="O1538" s="1474"/>
    </row>
    <row r="1539" spans="11:15">
      <c r="K1539" s="1471">
        <v>43596</v>
      </c>
      <c r="L1539" s="1472"/>
      <c r="M1539" s="1473">
        <v>0</v>
      </c>
      <c r="N1539" s="1474">
        <v>1.5177890571547439</v>
      </c>
      <c r="O1539" s="1474"/>
    </row>
    <row r="1540" spans="11:15">
      <c r="K1540" s="1471">
        <v>43597</v>
      </c>
      <c r="L1540" s="1472"/>
      <c r="M1540" s="1473">
        <v>0</v>
      </c>
      <c r="N1540" s="1474">
        <v>1.5177890571547439</v>
      </c>
      <c r="O1540" s="1474"/>
    </row>
    <row r="1541" spans="11:15">
      <c r="K1541" s="1471">
        <v>43598</v>
      </c>
      <c r="L1541" s="1472" t="s">
        <v>2127</v>
      </c>
      <c r="M1541" s="1473">
        <v>2.462E-2</v>
      </c>
      <c r="N1541" s="1474">
        <v>1.5181627368206154</v>
      </c>
      <c r="O1541" s="1474"/>
    </row>
    <row r="1542" spans="11:15">
      <c r="K1542" s="1471">
        <v>43599</v>
      </c>
      <c r="L1542" s="1472" t="s">
        <v>2127</v>
      </c>
      <c r="M1542" s="1473">
        <v>2.462E-2</v>
      </c>
      <c r="N1542" s="1474">
        <v>1.5185365084864209</v>
      </c>
      <c r="O1542" s="1474"/>
    </row>
    <row r="1543" spans="11:15">
      <c r="K1543" s="1471">
        <v>43600</v>
      </c>
      <c r="L1543" s="1472" t="s">
        <v>2127</v>
      </c>
      <c r="M1543" s="1473">
        <v>2.462E-2</v>
      </c>
      <c r="N1543" s="1474">
        <v>1.5189103721748103</v>
      </c>
      <c r="O1543" s="1474"/>
    </row>
    <row r="1544" spans="11:15">
      <c r="K1544" s="1471">
        <v>43601</v>
      </c>
      <c r="L1544" s="1472" t="s">
        <v>2127</v>
      </c>
      <c r="M1544" s="1473">
        <v>2.462E-2</v>
      </c>
      <c r="N1544" s="1474">
        <v>1.5192843279084398</v>
      </c>
      <c r="O1544" s="1474"/>
    </row>
    <row r="1545" spans="11:15">
      <c r="K1545" s="1471">
        <v>43602</v>
      </c>
      <c r="L1545" s="1472" t="s">
        <v>2127</v>
      </c>
      <c r="M1545" s="1473">
        <v>2.462E-2</v>
      </c>
      <c r="N1545" s="1474">
        <v>1.5196583757099711</v>
      </c>
      <c r="O1545" s="1474"/>
    </row>
    <row r="1546" spans="11:15">
      <c r="K1546" s="1471">
        <v>43603</v>
      </c>
      <c r="L1546" s="1472"/>
      <c r="M1546" s="1473">
        <v>0</v>
      </c>
      <c r="N1546" s="1474">
        <v>1.5196583757099711</v>
      </c>
      <c r="O1546" s="1474"/>
    </row>
    <row r="1547" spans="11:15">
      <c r="K1547" s="1471">
        <v>43604</v>
      </c>
      <c r="L1547" s="1472"/>
      <c r="M1547" s="1473">
        <v>0</v>
      </c>
      <c r="N1547" s="1474">
        <v>1.5196583757099711</v>
      </c>
      <c r="O1547" s="1474"/>
    </row>
    <row r="1548" spans="11:15">
      <c r="K1548" s="1471">
        <v>43605</v>
      </c>
      <c r="L1548" s="1472" t="s">
        <v>2127</v>
      </c>
      <c r="M1548" s="1473">
        <v>2.462E-2</v>
      </c>
      <c r="N1548" s="1474">
        <v>1.5200325156020711</v>
      </c>
      <c r="O1548" s="1474"/>
    </row>
    <row r="1549" spans="11:15">
      <c r="K1549" s="1471">
        <v>43606</v>
      </c>
      <c r="L1549" s="1472" t="s">
        <v>2127</v>
      </c>
      <c r="M1549" s="1473">
        <v>2.462E-2</v>
      </c>
      <c r="N1549" s="1474">
        <v>1.5204067476074123</v>
      </c>
      <c r="O1549" s="1474"/>
    </row>
    <row r="1550" spans="11:15">
      <c r="K1550" s="1471">
        <v>43607</v>
      </c>
      <c r="L1550" s="1472" t="s">
        <v>2127</v>
      </c>
      <c r="M1550" s="1473">
        <v>2.462E-2</v>
      </c>
      <c r="N1550" s="1474">
        <v>1.5207810717486734</v>
      </c>
      <c r="O1550" s="1474"/>
    </row>
    <row r="1551" spans="11:15">
      <c r="K1551" s="1471">
        <v>43608</v>
      </c>
      <c r="L1551" s="1472" t="s">
        <v>2127</v>
      </c>
      <c r="M1551" s="1473">
        <v>2.462E-2</v>
      </c>
      <c r="N1551" s="1474">
        <v>1.5211554880485381</v>
      </c>
      <c r="O1551" s="1474"/>
    </row>
    <row r="1552" spans="11:15">
      <c r="K1552" s="1471">
        <v>43609</v>
      </c>
      <c r="L1552" s="1472" t="s">
        <v>2127</v>
      </c>
      <c r="M1552" s="1473">
        <v>2.462E-2</v>
      </c>
      <c r="N1552" s="1474">
        <v>1.5215299965296958</v>
      </c>
      <c r="O1552" s="1474"/>
    </row>
    <row r="1553" spans="11:15">
      <c r="K1553" s="1471">
        <v>43610</v>
      </c>
      <c r="L1553" s="1472"/>
      <c r="M1553" s="1473">
        <v>0</v>
      </c>
      <c r="N1553" s="1474">
        <v>1.5215299965296958</v>
      </c>
      <c r="O1553" s="1474"/>
    </row>
    <row r="1554" spans="11:15">
      <c r="K1554" s="1471">
        <v>43611</v>
      </c>
      <c r="L1554" s="1472"/>
      <c r="M1554" s="1473">
        <v>0</v>
      </c>
      <c r="N1554" s="1474">
        <v>1.5215299965296958</v>
      </c>
      <c r="O1554" s="1474"/>
    </row>
    <row r="1555" spans="11:15">
      <c r="K1555" s="1471">
        <v>43612</v>
      </c>
      <c r="L1555" s="1472" t="s">
        <v>2127</v>
      </c>
      <c r="M1555" s="1473">
        <v>2.462E-2</v>
      </c>
      <c r="N1555" s="1474">
        <v>1.5219045972148415</v>
      </c>
      <c r="O1555" s="1474"/>
    </row>
    <row r="1556" spans="11:15">
      <c r="K1556" s="1471">
        <v>43613</v>
      </c>
      <c r="L1556" s="1472" t="s">
        <v>2127</v>
      </c>
      <c r="M1556" s="1473">
        <v>2.462E-2</v>
      </c>
      <c r="N1556" s="1474">
        <v>1.522279290126676</v>
      </c>
      <c r="O1556" s="1474"/>
    </row>
    <row r="1557" spans="11:15">
      <c r="K1557" s="1471">
        <v>43614</v>
      </c>
      <c r="L1557" s="1472" t="s">
        <v>2127</v>
      </c>
      <c r="M1557" s="1473">
        <v>2.462E-2</v>
      </c>
      <c r="N1557" s="1474">
        <v>1.5226540752879052</v>
      </c>
      <c r="O1557" s="1474"/>
    </row>
    <row r="1558" spans="11:15">
      <c r="K1558" s="1471">
        <v>43615</v>
      </c>
      <c r="L1558" s="1472" t="s">
        <v>2127</v>
      </c>
      <c r="M1558" s="1473">
        <v>2.462E-2</v>
      </c>
      <c r="N1558" s="1474">
        <v>1.5230289527212413</v>
      </c>
      <c r="O1558" s="1474"/>
    </row>
    <row r="1559" spans="11:15">
      <c r="K1559" s="1471">
        <v>43616</v>
      </c>
      <c r="L1559" s="1472" t="s">
        <v>2127</v>
      </c>
      <c r="M1559" s="1473">
        <v>2.462E-2</v>
      </c>
      <c r="N1559" s="1474">
        <v>1.5234039224494014</v>
      </c>
      <c r="O1559" s="1474"/>
    </row>
    <row r="1560" spans="11:15">
      <c r="K1560" s="1471">
        <v>43617</v>
      </c>
      <c r="L1560" s="1472"/>
      <c r="M1560" s="1473">
        <v>0</v>
      </c>
      <c r="N1560" s="1474">
        <v>1.5234039224494014</v>
      </c>
      <c r="O1560" s="1474"/>
    </row>
    <row r="1561" spans="11:15">
      <c r="K1561" s="1471">
        <v>43618</v>
      </c>
      <c r="L1561" s="1472"/>
      <c r="M1561" s="1473">
        <v>0</v>
      </c>
      <c r="N1561" s="1474">
        <v>1.5234039224494014</v>
      </c>
      <c r="O1561" s="1474"/>
    </row>
    <row r="1562" spans="11:15">
      <c r="K1562" s="1471">
        <v>43619</v>
      </c>
      <c r="L1562" s="1472" t="s">
        <v>2127</v>
      </c>
      <c r="M1562" s="1473">
        <v>2.462E-2</v>
      </c>
      <c r="N1562" s="1474">
        <v>1.5237789844951086</v>
      </c>
      <c r="O1562" s="1474"/>
    </row>
    <row r="1563" spans="11:15">
      <c r="K1563" s="1471">
        <v>43620</v>
      </c>
      <c r="L1563" s="1472" t="s">
        <v>2127</v>
      </c>
      <c r="M1563" s="1473">
        <v>2.462E-2</v>
      </c>
      <c r="N1563" s="1474">
        <v>1.5241541388810915</v>
      </c>
      <c r="O1563" s="1474"/>
    </row>
    <row r="1564" spans="11:15">
      <c r="K1564" s="1471">
        <v>43621</v>
      </c>
      <c r="L1564" s="1472" t="s">
        <v>2127</v>
      </c>
      <c r="M1564" s="1473">
        <v>2.462E-2</v>
      </c>
      <c r="N1564" s="1474">
        <v>1.5245293856300841</v>
      </c>
      <c r="O1564" s="1474"/>
    </row>
    <row r="1565" spans="11:15">
      <c r="K1565" s="1471">
        <v>43622</v>
      </c>
      <c r="L1565" s="1472" t="s">
        <v>2127</v>
      </c>
      <c r="M1565" s="1473">
        <v>2.462E-2</v>
      </c>
      <c r="N1565" s="1474">
        <v>1.5249047247648264</v>
      </c>
      <c r="O1565" s="1474"/>
    </row>
    <row r="1566" spans="11:15">
      <c r="K1566" s="1471">
        <v>43623</v>
      </c>
      <c r="L1566" s="1472" t="s">
        <v>2127</v>
      </c>
      <c r="M1566" s="1473">
        <v>2.462E-2</v>
      </c>
      <c r="N1566" s="1474">
        <v>1.5252801563080636</v>
      </c>
      <c r="O1566" s="1474"/>
    </row>
    <row r="1567" spans="11:15">
      <c r="K1567" s="1471">
        <v>43624</v>
      </c>
      <c r="L1567" s="1472"/>
      <c r="M1567" s="1473">
        <v>0</v>
      </c>
      <c r="N1567" s="1474">
        <v>1.5252801563080636</v>
      </c>
      <c r="O1567" s="1474"/>
    </row>
    <row r="1568" spans="11:15">
      <c r="K1568" s="1471">
        <v>43625</v>
      </c>
      <c r="L1568" s="1472"/>
      <c r="M1568" s="1473">
        <v>0</v>
      </c>
      <c r="N1568" s="1474">
        <v>1.5252801563080636</v>
      </c>
      <c r="O1568" s="1474"/>
    </row>
    <row r="1569" spans="11:15">
      <c r="K1569" s="1471">
        <v>43626</v>
      </c>
      <c r="L1569" s="1472" t="s">
        <v>2127</v>
      </c>
      <c r="M1569" s="1473">
        <v>2.462E-2</v>
      </c>
      <c r="N1569" s="1474">
        <v>1.5256556802825467</v>
      </c>
      <c r="O1569" s="1474"/>
    </row>
    <row r="1570" spans="11:15">
      <c r="K1570" s="1471">
        <v>43627</v>
      </c>
      <c r="L1570" s="1472" t="s">
        <v>2127</v>
      </c>
      <c r="M1570" s="1473">
        <v>2.462E-2</v>
      </c>
      <c r="N1570" s="1474">
        <v>1.5260312967110323</v>
      </c>
      <c r="O1570" s="1474"/>
    </row>
    <row r="1571" spans="11:15">
      <c r="K1571" s="1471">
        <v>43628</v>
      </c>
      <c r="L1571" s="1472" t="s">
        <v>2127</v>
      </c>
      <c r="M1571" s="1473">
        <v>2.462E-2</v>
      </c>
      <c r="N1571" s="1474">
        <v>1.5264070056162826</v>
      </c>
      <c r="O1571" s="1474"/>
    </row>
    <row r="1572" spans="11:15">
      <c r="K1572" s="1471">
        <v>43629</v>
      </c>
      <c r="L1572" s="1472" t="s">
        <v>2127</v>
      </c>
      <c r="M1572" s="1473">
        <v>2.462E-2</v>
      </c>
      <c r="N1572" s="1474">
        <v>1.5267828070210654</v>
      </c>
      <c r="O1572" s="1474"/>
    </row>
    <row r="1573" spans="11:15">
      <c r="K1573" s="1471">
        <v>43630</v>
      </c>
      <c r="L1573" s="1472" t="s">
        <v>2127</v>
      </c>
      <c r="M1573" s="1473">
        <v>2.462E-2</v>
      </c>
      <c r="N1573" s="1474">
        <v>1.5271587009481542</v>
      </c>
      <c r="O1573" s="1474"/>
    </row>
    <row r="1574" spans="11:15">
      <c r="K1574" s="1471">
        <v>43631</v>
      </c>
      <c r="L1574" s="1472"/>
      <c r="M1574" s="1473">
        <v>0</v>
      </c>
      <c r="N1574" s="1474">
        <v>1.5271587009481542</v>
      </c>
      <c r="O1574" s="1474"/>
    </row>
    <row r="1575" spans="11:15">
      <c r="K1575" s="1471">
        <v>43632</v>
      </c>
      <c r="L1575" s="1472"/>
      <c r="M1575" s="1473">
        <v>0</v>
      </c>
      <c r="N1575" s="1474">
        <v>1.5271587009481542</v>
      </c>
      <c r="O1575" s="1474"/>
    </row>
    <row r="1576" spans="11:15">
      <c r="K1576" s="1471">
        <v>43633</v>
      </c>
      <c r="L1576" s="1472" t="s">
        <v>2127</v>
      </c>
      <c r="M1576" s="1473">
        <v>2.462E-2</v>
      </c>
      <c r="N1576" s="1474">
        <v>1.5275346874203277</v>
      </c>
      <c r="O1576" s="1474"/>
    </row>
    <row r="1577" spans="11:15">
      <c r="K1577" s="1471">
        <v>43634</v>
      </c>
      <c r="L1577" s="1472" t="s">
        <v>2127</v>
      </c>
      <c r="M1577" s="1473">
        <v>2.462E-2</v>
      </c>
      <c r="N1577" s="1474">
        <v>1.5279107664603708</v>
      </c>
      <c r="O1577" s="1474"/>
    </row>
    <row r="1578" spans="11:15">
      <c r="K1578" s="1471">
        <v>43635</v>
      </c>
      <c r="L1578" s="1472" t="s">
        <v>2127</v>
      </c>
      <c r="M1578" s="1473">
        <v>2.462E-2</v>
      </c>
      <c r="N1578" s="1474">
        <v>1.5282869380910735</v>
      </c>
      <c r="O1578" s="1474"/>
    </row>
    <row r="1579" spans="11:15">
      <c r="K1579" s="1471">
        <v>43636</v>
      </c>
      <c r="L1579" s="1472"/>
      <c r="M1579" s="1473">
        <v>0</v>
      </c>
      <c r="N1579" s="1474">
        <v>1.5282869380910735</v>
      </c>
      <c r="O1579" s="1474"/>
    </row>
    <row r="1580" spans="11:15">
      <c r="K1580" s="1471">
        <v>43637</v>
      </c>
      <c r="L1580" s="1472" t="s">
        <v>2127</v>
      </c>
      <c r="M1580" s="1473">
        <v>2.462E-2</v>
      </c>
      <c r="N1580" s="1474">
        <v>1.5286632023352316</v>
      </c>
      <c r="O1580" s="1474"/>
    </row>
    <row r="1581" spans="11:15">
      <c r="K1581" s="1471">
        <v>43638</v>
      </c>
      <c r="L1581" s="1472"/>
      <c r="M1581" s="1473">
        <v>0</v>
      </c>
      <c r="N1581" s="1474">
        <v>1.5286632023352316</v>
      </c>
      <c r="O1581" s="1474"/>
    </row>
    <row r="1582" spans="11:15">
      <c r="K1582" s="1471">
        <v>43639</v>
      </c>
      <c r="L1582" s="1472"/>
      <c r="M1582" s="1473">
        <v>0</v>
      </c>
      <c r="N1582" s="1474">
        <v>1.5286632023352316</v>
      </c>
      <c r="O1582" s="1474"/>
    </row>
    <row r="1583" spans="11:15">
      <c r="K1583" s="1471">
        <v>43640</v>
      </c>
      <c r="L1583" s="1472" t="s">
        <v>2127</v>
      </c>
      <c r="M1583" s="1473">
        <v>2.462E-2</v>
      </c>
      <c r="N1583" s="1474">
        <v>1.5290395592156467</v>
      </c>
      <c r="O1583" s="1474"/>
    </row>
    <row r="1584" spans="11:15">
      <c r="K1584" s="1471">
        <v>43641</v>
      </c>
      <c r="L1584" s="1472" t="s">
        <v>2127</v>
      </c>
      <c r="M1584" s="1473">
        <v>2.462E-2</v>
      </c>
      <c r="N1584" s="1474">
        <v>1.5294160087551258</v>
      </c>
      <c r="O1584" s="1474"/>
    </row>
    <row r="1585" spans="11:15">
      <c r="K1585" s="1471">
        <v>43642</v>
      </c>
      <c r="L1585" s="1472" t="s">
        <v>2127</v>
      </c>
      <c r="M1585" s="1473">
        <v>2.462E-2</v>
      </c>
      <c r="N1585" s="1474">
        <v>1.5297925509764816</v>
      </c>
      <c r="O1585" s="1474"/>
    </row>
    <row r="1586" spans="11:15">
      <c r="K1586" s="1471">
        <v>43643</v>
      </c>
      <c r="L1586" s="1472" t="s">
        <v>2127</v>
      </c>
      <c r="M1586" s="1473">
        <v>2.462E-2</v>
      </c>
      <c r="N1586" s="1474">
        <v>1.5301691859025321</v>
      </c>
      <c r="O1586" s="1474"/>
    </row>
    <row r="1587" spans="11:15">
      <c r="K1587" s="1471">
        <v>43644</v>
      </c>
      <c r="L1587" s="1472" t="s">
        <v>2127</v>
      </c>
      <c r="M1587" s="1473">
        <v>2.462E-2</v>
      </c>
      <c r="N1587" s="1474">
        <v>1.5305459135561015</v>
      </c>
      <c r="O1587" s="1474"/>
    </row>
    <row r="1588" spans="11:15">
      <c r="K1588" s="1471">
        <v>43645</v>
      </c>
      <c r="L1588" s="1472"/>
      <c r="M1588" s="1473">
        <v>0</v>
      </c>
      <c r="N1588" s="1474">
        <v>1.5305459135561015</v>
      </c>
      <c r="O1588" s="1474"/>
    </row>
    <row r="1589" spans="11:15">
      <c r="K1589" s="1471">
        <v>43646</v>
      </c>
      <c r="L1589" s="1472"/>
      <c r="M1589" s="1473">
        <v>0</v>
      </c>
      <c r="N1589" s="1474">
        <v>1.5305459135561015</v>
      </c>
      <c r="O1589" s="1474"/>
    </row>
    <row r="1590" spans="11:15">
      <c r="K1590" s="1471">
        <v>43647</v>
      </c>
      <c r="L1590" s="1472" t="s">
        <v>2127</v>
      </c>
      <c r="M1590" s="1473">
        <v>2.462E-2</v>
      </c>
      <c r="N1590" s="1474">
        <v>1.5309227339600191</v>
      </c>
      <c r="O1590" s="1474"/>
    </row>
    <row r="1591" spans="11:15">
      <c r="K1591" s="1471">
        <v>43648</v>
      </c>
      <c r="L1591" s="1472" t="s">
        <v>2127</v>
      </c>
      <c r="M1591" s="1473">
        <v>2.462E-2</v>
      </c>
      <c r="N1591" s="1474">
        <v>1.5312996471371201</v>
      </c>
      <c r="O1591" s="1474"/>
    </row>
    <row r="1592" spans="11:15">
      <c r="K1592" s="1471">
        <v>43649</v>
      </c>
      <c r="L1592" s="1472" t="s">
        <v>2127</v>
      </c>
      <c r="M1592" s="1473">
        <v>2.462E-2</v>
      </c>
      <c r="N1592" s="1474">
        <v>1.5316766531102455</v>
      </c>
      <c r="O1592" s="1474"/>
    </row>
    <row r="1593" spans="11:15">
      <c r="K1593" s="1471">
        <v>43650</v>
      </c>
      <c r="L1593" s="1472" t="s">
        <v>2127</v>
      </c>
      <c r="M1593" s="1473">
        <v>2.462E-2</v>
      </c>
      <c r="N1593" s="1474">
        <v>1.5320537519022412</v>
      </c>
      <c r="O1593" s="1474"/>
    </row>
    <row r="1594" spans="11:15">
      <c r="K1594" s="1471">
        <v>43651</v>
      </c>
      <c r="L1594" s="1472" t="s">
        <v>2127</v>
      </c>
      <c r="M1594" s="1473">
        <v>2.462E-2</v>
      </c>
      <c r="N1594" s="1474">
        <v>1.5324309435359598</v>
      </c>
      <c r="O1594" s="1474"/>
    </row>
    <row r="1595" spans="11:15">
      <c r="K1595" s="1471">
        <v>43652</v>
      </c>
      <c r="L1595" s="1472"/>
      <c r="M1595" s="1473">
        <v>0</v>
      </c>
      <c r="N1595" s="1474">
        <v>1.5324309435359598</v>
      </c>
      <c r="O1595" s="1474"/>
    </row>
    <row r="1596" spans="11:15">
      <c r="K1596" s="1471">
        <v>43653</v>
      </c>
      <c r="L1596" s="1472"/>
      <c r="M1596" s="1473">
        <v>0</v>
      </c>
      <c r="N1596" s="1474">
        <v>1.5324309435359598</v>
      </c>
      <c r="O1596" s="1474"/>
    </row>
    <row r="1597" spans="11:15">
      <c r="K1597" s="1471">
        <v>43654</v>
      </c>
      <c r="L1597" s="1472" t="s">
        <v>2127</v>
      </c>
      <c r="M1597" s="1473">
        <v>2.462E-2</v>
      </c>
      <c r="N1597" s="1474">
        <v>1.5328082280342585</v>
      </c>
      <c r="O1597" s="1474"/>
    </row>
    <row r="1598" spans="11:15">
      <c r="K1598" s="1471">
        <v>43655</v>
      </c>
      <c r="L1598" s="1472" t="s">
        <v>2127</v>
      </c>
      <c r="M1598" s="1473">
        <v>2.462E-2</v>
      </c>
      <c r="N1598" s="1474">
        <v>1.5331856054200006</v>
      </c>
      <c r="O1598" s="1474"/>
    </row>
    <row r="1599" spans="11:15">
      <c r="K1599" s="1471">
        <v>43656</v>
      </c>
      <c r="L1599" s="1472" t="s">
        <v>2127</v>
      </c>
      <c r="M1599" s="1473">
        <v>2.462E-2</v>
      </c>
      <c r="N1599" s="1474">
        <v>1.5335630757160552</v>
      </c>
      <c r="O1599" s="1474"/>
    </row>
    <row r="1600" spans="11:15">
      <c r="K1600" s="1471">
        <v>43657</v>
      </c>
      <c r="L1600" s="1472" t="s">
        <v>2127</v>
      </c>
      <c r="M1600" s="1473">
        <v>2.462E-2</v>
      </c>
      <c r="N1600" s="1474">
        <v>1.5339406389452965</v>
      </c>
      <c r="O1600" s="1474"/>
    </row>
    <row r="1601" spans="11:15">
      <c r="K1601" s="1471">
        <v>43658</v>
      </c>
      <c r="L1601" s="1472" t="s">
        <v>2127</v>
      </c>
      <c r="M1601" s="1473">
        <v>2.462E-2</v>
      </c>
      <c r="N1601" s="1474">
        <v>1.5343182951306049</v>
      </c>
      <c r="O1601" s="1474"/>
    </row>
    <row r="1602" spans="11:15">
      <c r="K1602" s="1471">
        <v>43659</v>
      </c>
      <c r="L1602" s="1472"/>
      <c r="M1602" s="1473">
        <v>0</v>
      </c>
      <c r="N1602" s="1474">
        <v>1.5343182951306049</v>
      </c>
      <c r="O1602" s="1474"/>
    </row>
    <row r="1603" spans="11:15">
      <c r="K1603" s="1471">
        <v>43660</v>
      </c>
      <c r="L1603" s="1472"/>
      <c r="M1603" s="1473">
        <v>0</v>
      </c>
      <c r="N1603" s="1474">
        <v>1.5343182951306049</v>
      </c>
      <c r="O1603" s="1474"/>
    </row>
    <row r="1604" spans="11:15">
      <c r="K1604" s="1471">
        <v>43661</v>
      </c>
      <c r="L1604" s="1472" t="s">
        <v>2127</v>
      </c>
      <c r="M1604" s="1473">
        <v>2.462E-2</v>
      </c>
      <c r="N1604" s="1474">
        <v>1.5346960442948663</v>
      </c>
      <c r="O1604" s="1474"/>
    </row>
    <row r="1605" spans="11:15">
      <c r="K1605" s="1471">
        <v>43662</v>
      </c>
      <c r="L1605" s="1472" t="s">
        <v>2127</v>
      </c>
      <c r="M1605" s="1473">
        <v>2.462E-2</v>
      </c>
      <c r="N1605" s="1474">
        <v>1.5350738864609719</v>
      </c>
      <c r="O1605" s="1474"/>
    </row>
    <row r="1606" spans="11:15">
      <c r="K1606" s="1471">
        <v>43663</v>
      </c>
      <c r="L1606" s="1472" t="s">
        <v>2127</v>
      </c>
      <c r="M1606" s="1473">
        <v>2.462E-2</v>
      </c>
      <c r="N1606" s="1474">
        <v>1.5354518216518187</v>
      </c>
      <c r="O1606" s="1474"/>
    </row>
    <row r="1607" spans="11:15">
      <c r="K1607" s="1471">
        <v>43664</v>
      </c>
      <c r="L1607" s="1472" t="s">
        <v>2127</v>
      </c>
      <c r="M1607" s="1473">
        <v>2.462E-2</v>
      </c>
      <c r="N1607" s="1474">
        <v>1.5358298498903096</v>
      </c>
      <c r="O1607" s="1474"/>
    </row>
    <row r="1608" spans="11:15">
      <c r="K1608" s="1471">
        <v>43665</v>
      </c>
      <c r="L1608" s="1472" t="s">
        <v>2127</v>
      </c>
      <c r="M1608" s="1473">
        <v>2.462E-2</v>
      </c>
      <c r="N1608" s="1474">
        <v>1.5362079711993526</v>
      </c>
      <c r="O1608" s="1474"/>
    </row>
    <row r="1609" spans="11:15">
      <c r="K1609" s="1471">
        <v>43666</v>
      </c>
      <c r="L1609" s="1472"/>
      <c r="M1609" s="1473">
        <v>0</v>
      </c>
      <c r="N1609" s="1474">
        <v>1.5362079711993526</v>
      </c>
      <c r="O1609" s="1474"/>
    </row>
    <row r="1610" spans="11:15">
      <c r="K1610" s="1471">
        <v>43667</v>
      </c>
      <c r="L1610" s="1472"/>
      <c r="M1610" s="1473">
        <v>0</v>
      </c>
      <c r="N1610" s="1474">
        <v>1.5362079711993526</v>
      </c>
      <c r="O1610" s="1474"/>
    </row>
    <row r="1611" spans="11:15">
      <c r="K1611" s="1471">
        <v>43668</v>
      </c>
      <c r="L1611" s="1472" t="s">
        <v>2127</v>
      </c>
      <c r="M1611" s="1473">
        <v>2.462E-2</v>
      </c>
      <c r="N1611" s="1474">
        <v>1.5365861856018621</v>
      </c>
      <c r="O1611" s="1474"/>
    </row>
    <row r="1612" spans="11:15">
      <c r="K1612" s="1471">
        <v>43669</v>
      </c>
      <c r="L1612" s="1472" t="s">
        <v>2127</v>
      </c>
      <c r="M1612" s="1473">
        <v>2.462E-2</v>
      </c>
      <c r="N1612" s="1474">
        <v>1.5369644931207573</v>
      </c>
      <c r="O1612" s="1474"/>
    </row>
    <row r="1613" spans="11:15">
      <c r="K1613" s="1471">
        <v>43670</v>
      </c>
      <c r="L1613" s="1472" t="s">
        <v>2127</v>
      </c>
      <c r="M1613" s="1473">
        <v>2.462E-2</v>
      </c>
      <c r="N1613" s="1474">
        <v>1.5373428937789637</v>
      </c>
      <c r="O1613" s="1474"/>
    </row>
    <row r="1614" spans="11:15">
      <c r="K1614" s="1471">
        <v>43671</v>
      </c>
      <c r="L1614" s="1472" t="s">
        <v>2127</v>
      </c>
      <c r="M1614" s="1473">
        <v>2.462E-2</v>
      </c>
      <c r="N1614" s="1474">
        <v>1.5377213875994122</v>
      </c>
      <c r="O1614" s="1474"/>
    </row>
    <row r="1615" spans="11:15">
      <c r="K1615" s="1471">
        <v>43672</v>
      </c>
      <c r="L1615" s="1472" t="s">
        <v>2127</v>
      </c>
      <c r="M1615" s="1473">
        <v>2.462E-2</v>
      </c>
      <c r="N1615" s="1474">
        <v>1.5380999746050394</v>
      </c>
      <c r="O1615" s="1474"/>
    </row>
    <row r="1616" spans="11:15">
      <c r="K1616" s="1471">
        <v>43673</v>
      </c>
      <c r="L1616" s="1472"/>
      <c r="M1616" s="1473">
        <v>0</v>
      </c>
      <c r="N1616" s="1474">
        <v>1.5380999746050394</v>
      </c>
      <c r="O1616" s="1474"/>
    </row>
    <row r="1617" spans="11:15">
      <c r="K1617" s="1471">
        <v>43674</v>
      </c>
      <c r="L1617" s="1472"/>
      <c r="M1617" s="1473">
        <v>0</v>
      </c>
      <c r="N1617" s="1474">
        <v>1.5380999746050394</v>
      </c>
      <c r="O1617" s="1474"/>
    </row>
    <row r="1618" spans="11:15">
      <c r="K1618" s="1471">
        <v>43675</v>
      </c>
      <c r="L1618" s="1472" t="s">
        <v>2127</v>
      </c>
      <c r="M1618" s="1473">
        <v>2.462E-2</v>
      </c>
      <c r="N1618" s="1474">
        <v>1.5384786548187874</v>
      </c>
      <c r="O1618" s="1474"/>
    </row>
    <row r="1619" spans="11:15">
      <c r="K1619" s="1471">
        <v>43676</v>
      </c>
      <c r="L1619" s="1472" t="s">
        <v>2127</v>
      </c>
      <c r="M1619" s="1473">
        <v>2.462E-2</v>
      </c>
      <c r="N1619" s="1474">
        <v>1.5388574282636041</v>
      </c>
      <c r="O1619" s="1474"/>
    </row>
    <row r="1620" spans="11:15">
      <c r="K1620" s="1471">
        <v>43677</v>
      </c>
      <c r="L1620" s="1472" t="s">
        <v>2127</v>
      </c>
      <c r="M1620" s="1473">
        <v>2.462E-2</v>
      </c>
      <c r="N1620" s="1474">
        <v>1.5392362949624427</v>
      </c>
      <c r="O1620" s="1474"/>
    </row>
    <row r="1621" spans="11:15">
      <c r="K1621" s="1471">
        <v>43678</v>
      </c>
      <c r="L1621" s="1472" t="s">
        <v>2127</v>
      </c>
      <c r="M1621" s="1473">
        <v>2.2751E-2</v>
      </c>
      <c r="N1621" s="1474">
        <v>1.5395864866119096</v>
      </c>
      <c r="O1621" s="1474"/>
    </row>
    <row r="1622" spans="11:15">
      <c r="K1622" s="1471">
        <v>43679</v>
      </c>
      <c r="L1622" s="1472" t="s">
        <v>2127</v>
      </c>
      <c r="M1622" s="1473">
        <v>2.2751E-2</v>
      </c>
      <c r="N1622" s="1474">
        <v>1.5399367579334786</v>
      </c>
      <c r="O1622" s="1474"/>
    </row>
    <row r="1623" spans="11:15">
      <c r="K1623" s="1471">
        <v>43680</v>
      </c>
      <c r="L1623" s="1472"/>
      <c r="M1623" s="1473">
        <v>0</v>
      </c>
      <c r="N1623" s="1474">
        <v>1.5399367579334786</v>
      </c>
      <c r="O1623" s="1474"/>
    </row>
    <row r="1624" spans="11:15">
      <c r="K1624" s="1471">
        <v>43681</v>
      </c>
      <c r="L1624" s="1472"/>
      <c r="M1624" s="1473">
        <v>0</v>
      </c>
      <c r="N1624" s="1474">
        <v>1.5399367579334786</v>
      </c>
      <c r="O1624" s="1474"/>
    </row>
    <row r="1625" spans="11:15">
      <c r="K1625" s="1471">
        <v>43682</v>
      </c>
      <c r="L1625" s="1472" t="s">
        <v>2127</v>
      </c>
      <c r="M1625" s="1473">
        <v>2.2751E-2</v>
      </c>
      <c r="N1625" s="1474">
        <v>1.5402871089452761</v>
      </c>
      <c r="O1625" s="1474"/>
    </row>
    <row r="1626" spans="11:15">
      <c r="K1626" s="1471">
        <v>43683</v>
      </c>
      <c r="L1626" s="1472" t="s">
        <v>2127</v>
      </c>
      <c r="M1626" s="1473">
        <v>2.2751E-2</v>
      </c>
      <c r="N1626" s="1474">
        <v>1.5406375396654322</v>
      </c>
      <c r="O1626" s="1474"/>
    </row>
    <row r="1627" spans="11:15">
      <c r="K1627" s="1471">
        <v>43684</v>
      </c>
      <c r="L1627" s="1472" t="s">
        <v>2127</v>
      </c>
      <c r="M1627" s="1473">
        <v>2.2751E-2</v>
      </c>
      <c r="N1627" s="1474">
        <v>1.5409880501120814</v>
      </c>
      <c r="O1627" s="1474"/>
    </row>
    <row r="1628" spans="11:15">
      <c r="K1628" s="1471">
        <v>43685</v>
      </c>
      <c r="L1628" s="1472" t="s">
        <v>2127</v>
      </c>
      <c r="M1628" s="1473">
        <v>2.2751E-2</v>
      </c>
      <c r="N1628" s="1474">
        <v>1.5413386403033624</v>
      </c>
      <c r="O1628" s="1474"/>
    </row>
    <row r="1629" spans="11:15">
      <c r="K1629" s="1471">
        <v>43686</v>
      </c>
      <c r="L1629" s="1472" t="s">
        <v>2127</v>
      </c>
      <c r="M1629" s="1473">
        <v>2.2751E-2</v>
      </c>
      <c r="N1629" s="1474">
        <v>1.5416893102574178</v>
      </c>
      <c r="O1629" s="1474"/>
    </row>
    <row r="1630" spans="11:15">
      <c r="K1630" s="1471">
        <v>43687</v>
      </c>
      <c r="L1630" s="1472"/>
      <c r="M1630" s="1473">
        <v>0</v>
      </c>
      <c r="N1630" s="1474">
        <v>1.5416893102574178</v>
      </c>
      <c r="O1630" s="1474"/>
    </row>
    <row r="1631" spans="11:15">
      <c r="K1631" s="1471">
        <v>43688</v>
      </c>
      <c r="L1631" s="1472"/>
      <c r="M1631" s="1473">
        <v>0</v>
      </c>
      <c r="N1631" s="1474">
        <v>1.5416893102574178</v>
      </c>
      <c r="O1631" s="1474"/>
    </row>
    <row r="1632" spans="11:15">
      <c r="K1632" s="1471">
        <v>43689</v>
      </c>
      <c r="L1632" s="1472" t="s">
        <v>2127</v>
      </c>
      <c r="M1632" s="1473">
        <v>2.2751E-2</v>
      </c>
      <c r="N1632" s="1474">
        <v>1.5420400599923945</v>
      </c>
      <c r="O1632" s="1474"/>
    </row>
    <row r="1633" spans="11:15">
      <c r="K1633" s="1471">
        <v>43690</v>
      </c>
      <c r="L1633" s="1472" t="s">
        <v>2127</v>
      </c>
      <c r="M1633" s="1473">
        <v>2.2751E-2</v>
      </c>
      <c r="N1633" s="1474">
        <v>1.5423908895264433</v>
      </c>
      <c r="O1633" s="1474"/>
    </row>
    <row r="1634" spans="11:15">
      <c r="K1634" s="1471">
        <v>43691</v>
      </c>
      <c r="L1634" s="1472" t="s">
        <v>2127</v>
      </c>
      <c r="M1634" s="1473">
        <v>2.2751E-2</v>
      </c>
      <c r="N1634" s="1474">
        <v>1.5427417988777195</v>
      </c>
      <c r="O1634" s="1474"/>
    </row>
    <row r="1635" spans="11:15">
      <c r="K1635" s="1471">
        <v>43692</v>
      </c>
      <c r="L1635" s="1472" t="s">
        <v>2127</v>
      </c>
      <c r="M1635" s="1473">
        <v>2.2751E-2</v>
      </c>
      <c r="N1635" s="1474">
        <v>1.5430927880643821</v>
      </c>
      <c r="O1635" s="1474"/>
    </row>
    <row r="1636" spans="11:15">
      <c r="K1636" s="1471">
        <v>43693</v>
      </c>
      <c r="L1636" s="1472" t="s">
        <v>2127</v>
      </c>
      <c r="M1636" s="1473">
        <v>2.2751E-2</v>
      </c>
      <c r="N1636" s="1474">
        <v>1.5434438571045945</v>
      </c>
      <c r="O1636" s="1474"/>
    </row>
    <row r="1637" spans="11:15">
      <c r="K1637" s="1471">
        <v>43694</v>
      </c>
      <c r="L1637" s="1472"/>
      <c r="M1637" s="1473">
        <v>0</v>
      </c>
      <c r="N1637" s="1474">
        <v>1.5434438571045945</v>
      </c>
      <c r="O1637" s="1474"/>
    </row>
    <row r="1638" spans="11:15">
      <c r="K1638" s="1471">
        <v>43695</v>
      </c>
      <c r="L1638" s="1472"/>
      <c r="M1638" s="1473">
        <v>0</v>
      </c>
      <c r="N1638" s="1474">
        <v>1.5434438571045945</v>
      </c>
      <c r="O1638" s="1474"/>
    </row>
    <row r="1639" spans="11:15">
      <c r="K1639" s="1471">
        <v>43696</v>
      </c>
      <c r="L1639" s="1472" t="s">
        <v>2127</v>
      </c>
      <c r="M1639" s="1473">
        <v>2.2751E-2</v>
      </c>
      <c r="N1639" s="1474">
        <v>1.5437950060165244</v>
      </c>
      <c r="O1639" s="1474"/>
    </row>
    <row r="1640" spans="11:15">
      <c r="K1640" s="1471">
        <v>43697</v>
      </c>
      <c r="L1640" s="1472" t="s">
        <v>2127</v>
      </c>
      <c r="M1640" s="1473">
        <v>2.2751E-2</v>
      </c>
      <c r="N1640" s="1474">
        <v>1.5441462348183432</v>
      </c>
      <c r="O1640" s="1474"/>
    </row>
    <row r="1641" spans="11:15">
      <c r="K1641" s="1471">
        <v>43698</v>
      </c>
      <c r="L1641" s="1472" t="s">
        <v>2127</v>
      </c>
      <c r="M1641" s="1473">
        <v>2.2751E-2</v>
      </c>
      <c r="N1641" s="1474">
        <v>1.5444975435282267</v>
      </c>
      <c r="O1641" s="1474"/>
    </row>
    <row r="1642" spans="11:15">
      <c r="K1642" s="1471">
        <v>43699</v>
      </c>
      <c r="L1642" s="1472" t="s">
        <v>2127</v>
      </c>
      <c r="M1642" s="1473">
        <v>2.2751E-2</v>
      </c>
      <c r="N1642" s="1474">
        <v>1.5448489321643548</v>
      </c>
      <c r="O1642" s="1474"/>
    </row>
    <row r="1643" spans="11:15">
      <c r="K1643" s="1471">
        <v>43700</v>
      </c>
      <c r="L1643" s="1472" t="s">
        <v>2127</v>
      </c>
      <c r="M1643" s="1473">
        <v>2.2751E-2</v>
      </c>
      <c r="N1643" s="1474">
        <v>1.5452004007449116</v>
      </c>
      <c r="O1643" s="1474"/>
    </row>
    <row r="1644" spans="11:15">
      <c r="K1644" s="1471">
        <v>43701</v>
      </c>
      <c r="L1644" s="1472"/>
      <c r="M1644" s="1473">
        <v>0</v>
      </c>
      <c r="N1644" s="1474">
        <v>1.5452004007449116</v>
      </c>
      <c r="O1644" s="1474"/>
    </row>
    <row r="1645" spans="11:15">
      <c r="K1645" s="1471">
        <v>43702</v>
      </c>
      <c r="L1645" s="1472"/>
      <c r="M1645" s="1473">
        <v>0</v>
      </c>
      <c r="N1645" s="1474">
        <v>1.5452004007449116</v>
      </c>
      <c r="O1645" s="1474"/>
    </row>
    <row r="1646" spans="11:15">
      <c r="K1646" s="1471">
        <v>43703</v>
      </c>
      <c r="L1646" s="1472" t="s">
        <v>2127</v>
      </c>
      <c r="M1646" s="1473">
        <v>2.2751E-2</v>
      </c>
      <c r="N1646" s="1474">
        <v>1.5455519492880851</v>
      </c>
      <c r="O1646" s="1474"/>
    </row>
    <row r="1647" spans="11:15">
      <c r="K1647" s="1471">
        <v>43704</v>
      </c>
      <c r="L1647" s="1472" t="s">
        <v>2127</v>
      </c>
      <c r="M1647" s="1473">
        <v>2.2751E-2</v>
      </c>
      <c r="N1647" s="1474">
        <v>1.5459035778120676</v>
      </c>
      <c r="O1647" s="1474"/>
    </row>
    <row r="1648" spans="11:15">
      <c r="K1648" s="1471">
        <v>43705</v>
      </c>
      <c r="L1648" s="1472" t="s">
        <v>2127</v>
      </c>
      <c r="M1648" s="1473">
        <v>2.2751E-2</v>
      </c>
      <c r="N1648" s="1474">
        <v>1.5462552863350556</v>
      </c>
      <c r="O1648" s="1474"/>
    </row>
    <row r="1649" spans="11:15">
      <c r="K1649" s="1471">
        <v>43706</v>
      </c>
      <c r="L1649" s="1472" t="s">
        <v>2127</v>
      </c>
      <c r="M1649" s="1473">
        <v>2.2751E-2</v>
      </c>
      <c r="N1649" s="1474">
        <v>1.5466070748752496</v>
      </c>
      <c r="O1649" s="1474"/>
    </row>
    <row r="1650" spans="11:15">
      <c r="K1650" s="1471">
        <v>43707</v>
      </c>
      <c r="L1650" s="1472" t="s">
        <v>2127</v>
      </c>
      <c r="M1650" s="1473">
        <v>2.2751E-2</v>
      </c>
      <c r="N1650" s="1474">
        <v>1.5469589434508544</v>
      </c>
      <c r="O1650" s="1474"/>
    </row>
    <row r="1651" spans="11:15">
      <c r="K1651" s="1471">
        <v>43708</v>
      </c>
      <c r="L1651" s="1472"/>
      <c r="M1651" s="1473">
        <v>0</v>
      </c>
      <c r="N1651" s="1474">
        <v>1.5469589434508544</v>
      </c>
      <c r="O1651" s="1474"/>
    </row>
    <row r="1652" spans="11:15">
      <c r="K1652" s="1471">
        <v>43709</v>
      </c>
      <c r="L1652" s="1472"/>
      <c r="M1652" s="1473">
        <v>0</v>
      </c>
      <c r="N1652" s="1474">
        <v>1.5469589434508544</v>
      </c>
      <c r="O1652" s="1474"/>
    </row>
    <row r="1653" spans="11:15">
      <c r="K1653" s="1471">
        <v>43710</v>
      </c>
      <c r="L1653" s="1472" t="s">
        <v>2127</v>
      </c>
      <c r="M1653" s="1473">
        <v>2.2751E-2</v>
      </c>
      <c r="N1653" s="1474">
        <v>1.5473108920800789</v>
      </c>
      <c r="O1653" s="1474"/>
    </row>
    <row r="1654" spans="11:15">
      <c r="K1654" s="1471">
        <v>43711</v>
      </c>
      <c r="L1654" s="1472" t="s">
        <v>2127</v>
      </c>
      <c r="M1654" s="1473">
        <v>2.2751E-2</v>
      </c>
      <c r="N1654" s="1474">
        <v>1.5476629207811361</v>
      </c>
      <c r="O1654" s="1474"/>
    </row>
    <row r="1655" spans="11:15">
      <c r="K1655" s="1471">
        <v>43712</v>
      </c>
      <c r="L1655" s="1472" t="s">
        <v>2127</v>
      </c>
      <c r="M1655" s="1473">
        <v>2.2751E-2</v>
      </c>
      <c r="N1655" s="1474">
        <v>1.548015029572243</v>
      </c>
      <c r="O1655" s="1474"/>
    </row>
    <row r="1656" spans="11:15">
      <c r="K1656" s="1471">
        <v>43713</v>
      </c>
      <c r="L1656" s="1472" t="s">
        <v>2127</v>
      </c>
      <c r="M1656" s="1473">
        <v>2.2751E-2</v>
      </c>
      <c r="N1656" s="1474">
        <v>1.5483672184716211</v>
      </c>
      <c r="O1656" s="1474"/>
    </row>
    <row r="1657" spans="11:15">
      <c r="K1657" s="1471">
        <v>43714</v>
      </c>
      <c r="L1657" s="1472" t="s">
        <v>2127</v>
      </c>
      <c r="M1657" s="1473">
        <v>2.2751E-2</v>
      </c>
      <c r="N1657" s="1474">
        <v>1.5487194874974954</v>
      </c>
      <c r="O1657" s="1474"/>
    </row>
    <row r="1658" spans="11:15">
      <c r="K1658" s="1471">
        <v>43715</v>
      </c>
      <c r="L1658" s="1472"/>
      <c r="M1658" s="1473">
        <v>0</v>
      </c>
      <c r="N1658" s="1474">
        <v>1.5487194874974954</v>
      </c>
      <c r="O1658" s="1474"/>
    </row>
    <row r="1659" spans="11:15">
      <c r="K1659" s="1471">
        <v>43716</v>
      </c>
      <c r="L1659" s="1472"/>
      <c r="M1659" s="1473">
        <v>0</v>
      </c>
      <c r="N1659" s="1474">
        <v>1.5487194874974954</v>
      </c>
      <c r="O1659" s="1474"/>
    </row>
    <row r="1660" spans="11:15">
      <c r="K1660" s="1471">
        <v>43717</v>
      </c>
      <c r="L1660" s="1472" t="s">
        <v>2127</v>
      </c>
      <c r="M1660" s="1473">
        <v>2.2751E-2</v>
      </c>
      <c r="N1660" s="1474">
        <v>1.549071836668096</v>
      </c>
      <c r="O1660" s="1474"/>
    </row>
    <row r="1661" spans="11:15">
      <c r="K1661" s="1471">
        <v>43718</v>
      </c>
      <c r="L1661" s="1472" t="s">
        <v>2127</v>
      </c>
      <c r="M1661" s="1473">
        <v>2.2751E-2</v>
      </c>
      <c r="N1661" s="1474">
        <v>1.5494242660016564</v>
      </c>
      <c r="O1661" s="1474"/>
    </row>
    <row r="1662" spans="11:15">
      <c r="K1662" s="1471">
        <v>43719</v>
      </c>
      <c r="L1662" s="1472" t="s">
        <v>2127</v>
      </c>
      <c r="M1662" s="1473">
        <v>2.2751E-2</v>
      </c>
      <c r="N1662" s="1474">
        <v>1.5497767755164145</v>
      </c>
      <c r="O1662" s="1474"/>
    </row>
    <row r="1663" spans="11:15">
      <c r="K1663" s="1471">
        <v>43720</v>
      </c>
      <c r="L1663" s="1472" t="s">
        <v>2127</v>
      </c>
      <c r="M1663" s="1473">
        <v>2.2751E-2</v>
      </c>
      <c r="N1663" s="1474">
        <v>1.5501293652306123</v>
      </c>
      <c r="O1663" s="1474"/>
    </row>
    <row r="1664" spans="11:15">
      <c r="K1664" s="1471">
        <v>43721</v>
      </c>
      <c r="L1664" s="1472" t="s">
        <v>2127</v>
      </c>
      <c r="M1664" s="1473">
        <v>2.2751E-2</v>
      </c>
      <c r="N1664" s="1474">
        <v>1.5504820351624959</v>
      </c>
      <c r="O1664" s="1474"/>
    </row>
    <row r="1665" spans="11:15">
      <c r="K1665" s="1471">
        <v>43722</v>
      </c>
      <c r="L1665" s="1472"/>
      <c r="M1665" s="1473">
        <v>0</v>
      </c>
      <c r="N1665" s="1474">
        <v>1.5504820351624959</v>
      </c>
      <c r="O1665" s="1474"/>
    </row>
    <row r="1666" spans="11:15">
      <c r="K1666" s="1471">
        <v>43723</v>
      </c>
      <c r="L1666" s="1472"/>
      <c r="M1666" s="1473">
        <v>0</v>
      </c>
      <c r="N1666" s="1474">
        <v>1.5504820351624959</v>
      </c>
      <c r="O1666" s="1474"/>
    </row>
    <row r="1667" spans="11:15">
      <c r="K1667" s="1471">
        <v>43724</v>
      </c>
      <c r="L1667" s="1472" t="s">
        <v>2127</v>
      </c>
      <c r="M1667" s="1473">
        <v>2.2751E-2</v>
      </c>
      <c r="N1667" s="1474">
        <v>1.5508347853303157</v>
      </c>
      <c r="O1667" s="1474"/>
    </row>
    <row r="1668" spans="11:15">
      <c r="K1668" s="1471">
        <v>43725</v>
      </c>
      <c r="L1668" s="1472" t="s">
        <v>2127</v>
      </c>
      <c r="M1668" s="1473">
        <v>2.2751E-2</v>
      </c>
      <c r="N1668" s="1474">
        <v>1.5511876157523261</v>
      </c>
      <c r="O1668" s="1474"/>
    </row>
    <row r="1669" spans="11:15">
      <c r="K1669" s="1471">
        <v>43726</v>
      </c>
      <c r="L1669" s="1472" t="s">
        <v>2127</v>
      </c>
      <c r="M1669" s="1473">
        <v>2.2751E-2</v>
      </c>
      <c r="N1669" s="1474">
        <v>1.5515405264467859</v>
      </c>
      <c r="O1669" s="1474"/>
    </row>
    <row r="1670" spans="11:15">
      <c r="K1670" s="1471">
        <v>43727</v>
      </c>
      <c r="L1670" s="1472" t="s">
        <v>2127</v>
      </c>
      <c r="M1670" s="1473">
        <v>2.0872000000000002E-2</v>
      </c>
      <c r="N1670" s="1474">
        <v>1.5518643639854659</v>
      </c>
      <c r="O1670" s="1474"/>
    </row>
    <row r="1671" spans="11:15">
      <c r="K1671" s="1471">
        <v>43728</v>
      </c>
      <c r="L1671" s="1472" t="s">
        <v>2127</v>
      </c>
      <c r="M1671" s="1473">
        <v>2.0872000000000002E-2</v>
      </c>
      <c r="N1671" s="1474">
        <v>1.5521882691155171</v>
      </c>
      <c r="O1671" s="1474"/>
    </row>
    <row r="1672" spans="11:15">
      <c r="K1672" s="1471">
        <v>43729</v>
      </c>
      <c r="L1672" s="1472"/>
      <c r="M1672" s="1473">
        <v>0</v>
      </c>
      <c r="N1672" s="1474">
        <v>1.5521882691155171</v>
      </c>
      <c r="O1672" s="1474"/>
    </row>
    <row r="1673" spans="11:15">
      <c r="K1673" s="1471">
        <v>43730</v>
      </c>
      <c r="L1673" s="1472"/>
      <c r="M1673" s="1473">
        <v>0</v>
      </c>
      <c r="N1673" s="1474">
        <v>1.5521882691155171</v>
      </c>
      <c r="O1673" s="1474"/>
    </row>
    <row r="1674" spans="11:15">
      <c r="K1674" s="1471">
        <v>43731</v>
      </c>
      <c r="L1674" s="1472" t="s">
        <v>2127</v>
      </c>
      <c r="M1674" s="1473">
        <v>2.0872000000000002E-2</v>
      </c>
      <c r="N1674" s="1474">
        <v>1.5525122418510471</v>
      </c>
      <c r="O1674" s="1474"/>
    </row>
    <row r="1675" spans="11:15">
      <c r="K1675" s="1471">
        <v>43732</v>
      </c>
      <c r="L1675" s="1472" t="s">
        <v>2127</v>
      </c>
      <c r="M1675" s="1473">
        <v>2.0872000000000002E-2</v>
      </c>
      <c r="N1675" s="1474">
        <v>1.5528362822061663</v>
      </c>
      <c r="O1675" s="1474"/>
    </row>
    <row r="1676" spans="11:15">
      <c r="K1676" s="1471">
        <v>43733</v>
      </c>
      <c r="L1676" s="1472" t="s">
        <v>2127</v>
      </c>
      <c r="M1676" s="1473">
        <v>2.0872000000000002E-2</v>
      </c>
      <c r="N1676" s="1474">
        <v>1.5531603901949884</v>
      </c>
      <c r="O1676" s="1474"/>
    </row>
    <row r="1677" spans="11:15">
      <c r="K1677" s="1471">
        <v>43734</v>
      </c>
      <c r="L1677" s="1472" t="s">
        <v>2127</v>
      </c>
      <c r="M1677" s="1473">
        <v>2.0872000000000002E-2</v>
      </c>
      <c r="N1677" s="1474">
        <v>1.5534845658316301</v>
      </c>
      <c r="O1677" s="1474"/>
    </row>
    <row r="1678" spans="11:15">
      <c r="K1678" s="1471">
        <v>43735</v>
      </c>
      <c r="L1678" s="1472" t="s">
        <v>2127</v>
      </c>
      <c r="M1678" s="1473">
        <v>2.0872000000000002E-2</v>
      </c>
      <c r="N1678" s="1474">
        <v>1.5538088091302105</v>
      </c>
      <c r="O1678" s="1474"/>
    </row>
    <row r="1679" spans="11:15">
      <c r="K1679" s="1471">
        <v>43736</v>
      </c>
      <c r="L1679" s="1472"/>
      <c r="M1679" s="1473">
        <v>0</v>
      </c>
      <c r="N1679" s="1474">
        <v>1.5538088091302105</v>
      </c>
      <c r="O1679" s="1474"/>
    </row>
    <row r="1680" spans="11:15">
      <c r="K1680" s="1471">
        <v>43737</v>
      </c>
      <c r="L1680" s="1472"/>
      <c r="M1680" s="1473">
        <v>0</v>
      </c>
      <c r="N1680" s="1474">
        <v>1.5538088091302105</v>
      </c>
      <c r="O1680" s="1474"/>
    </row>
    <row r="1681" spans="11:15">
      <c r="K1681" s="1471">
        <v>43738</v>
      </c>
      <c r="L1681" s="1472" t="s">
        <v>2127</v>
      </c>
      <c r="M1681" s="1473">
        <v>2.0872000000000002E-2</v>
      </c>
      <c r="N1681" s="1474">
        <v>1.5541331201048523</v>
      </c>
      <c r="O1681" s="1474"/>
    </row>
    <row r="1682" spans="11:15">
      <c r="K1682" s="1471">
        <v>43739</v>
      </c>
      <c r="L1682" s="1472" t="s">
        <v>2127</v>
      </c>
      <c r="M1682" s="1473">
        <v>2.0872000000000002E-2</v>
      </c>
      <c r="N1682" s="1474">
        <v>1.5544574987696806</v>
      </c>
      <c r="O1682" s="1474"/>
    </row>
    <row r="1683" spans="11:15">
      <c r="K1683" s="1471">
        <v>43740</v>
      </c>
      <c r="L1683" s="1472" t="s">
        <v>2127</v>
      </c>
      <c r="M1683" s="1473">
        <v>2.0872000000000002E-2</v>
      </c>
      <c r="N1683" s="1474">
        <v>1.5547819451388238</v>
      </c>
      <c r="O1683" s="1474"/>
    </row>
    <row r="1684" spans="11:15">
      <c r="K1684" s="1471">
        <v>43741</v>
      </c>
      <c r="L1684" s="1472" t="s">
        <v>2127</v>
      </c>
      <c r="M1684" s="1473">
        <v>2.0872000000000002E-2</v>
      </c>
      <c r="N1684" s="1474">
        <v>1.5551064592264132</v>
      </c>
      <c r="O1684" s="1474"/>
    </row>
    <row r="1685" spans="11:15">
      <c r="K1685" s="1471">
        <v>43742</v>
      </c>
      <c r="L1685" s="1472" t="s">
        <v>2127</v>
      </c>
      <c r="M1685" s="1473">
        <v>2.0872000000000002E-2</v>
      </c>
      <c r="N1685" s="1474">
        <v>1.555431041046583</v>
      </c>
      <c r="O1685" s="1474"/>
    </row>
    <row r="1686" spans="11:15">
      <c r="K1686" s="1471">
        <v>43743</v>
      </c>
      <c r="L1686" s="1472"/>
      <c r="M1686" s="1473">
        <v>0</v>
      </c>
      <c r="N1686" s="1474">
        <v>1.555431041046583</v>
      </c>
      <c r="O1686" s="1474"/>
    </row>
    <row r="1687" spans="11:15">
      <c r="K1687" s="1471">
        <v>43744</v>
      </c>
      <c r="L1687" s="1472"/>
      <c r="M1687" s="1473">
        <v>0</v>
      </c>
      <c r="N1687" s="1474">
        <v>1.555431041046583</v>
      </c>
      <c r="O1687" s="1474"/>
    </row>
    <row r="1688" spans="11:15">
      <c r="K1688" s="1471">
        <v>43745</v>
      </c>
      <c r="L1688" s="1472" t="s">
        <v>2127</v>
      </c>
      <c r="M1688" s="1473">
        <v>2.0872000000000002E-2</v>
      </c>
      <c r="N1688" s="1474">
        <v>1.5557556906134704</v>
      </c>
      <c r="O1688" s="1474"/>
    </row>
    <row r="1689" spans="11:15">
      <c r="K1689" s="1471">
        <v>43746</v>
      </c>
      <c r="L1689" s="1472" t="s">
        <v>2127</v>
      </c>
      <c r="M1689" s="1473">
        <v>2.0872000000000002E-2</v>
      </c>
      <c r="N1689" s="1474">
        <v>1.5560804079412154</v>
      </c>
      <c r="O1689" s="1474"/>
    </row>
    <row r="1690" spans="11:15">
      <c r="K1690" s="1471">
        <v>43747</v>
      </c>
      <c r="L1690" s="1472" t="s">
        <v>2127</v>
      </c>
      <c r="M1690" s="1473">
        <v>2.0872000000000002E-2</v>
      </c>
      <c r="N1690" s="1474">
        <v>1.5564051930439609</v>
      </c>
      <c r="O1690" s="1474"/>
    </row>
    <row r="1691" spans="11:15">
      <c r="K1691" s="1471">
        <v>43748</v>
      </c>
      <c r="L1691" s="1472" t="s">
        <v>2127</v>
      </c>
      <c r="M1691" s="1473">
        <v>2.0872000000000002E-2</v>
      </c>
      <c r="N1691" s="1474">
        <v>1.5567300459358531</v>
      </c>
      <c r="O1691" s="1474"/>
    </row>
    <row r="1692" spans="11:15">
      <c r="K1692" s="1471">
        <v>43749</v>
      </c>
      <c r="L1692" s="1472" t="s">
        <v>2127</v>
      </c>
      <c r="M1692" s="1473">
        <v>2.0872000000000002E-2</v>
      </c>
      <c r="N1692" s="1474">
        <v>1.5570549666310409</v>
      </c>
      <c r="O1692" s="1474"/>
    </row>
    <row r="1693" spans="11:15">
      <c r="K1693" s="1471">
        <v>43750</v>
      </c>
      <c r="L1693" s="1472"/>
      <c r="M1693" s="1473">
        <v>0</v>
      </c>
      <c r="N1693" s="1474">
        <v>1.5570549666310409</v>
      </c>
      <c r="O1693" s="1474"/>
    </row>
    <row r="1694" spans="11:15">
      <c r="K1694" s="1471">
        <v>43751</v>
      </c>
      <c r="L1694" s="1472"/>
      <c r="M1694" s="1473">
        <v>0</v>
      </c>
      <c r="N1694" s="1474">
        <v>1.5570549666310409</v>
      </c>
      <c r="O1694" s="1474"/>
    </row>
    <row r="1695" spans="11:15">
      <c r="K1695" s="1471">
        <v>43752</v>
      </c>
      <c r="L1695" s="1472" t="s">
        <v>2127</v>
      </c>
      <c r="M1695" s="1473">
        <v>2.0872000000000002E-2</v>
      </c>
      <c r="N1695" s="1474">
        <v>1.5573799551436762</v>
      </c>
      <c r="O1695" s="1474"/>
    </row>
    <row r="1696" spans="11:15">
      <c r="K1696" s="1471">
        <v>43753</v>
      </c>
      <c r="L1696" s="1472" t="s">
        <v>2127</v>
      </c>
      <c r="M1696" s="1473">
        <v>2.0872000000000002E-2</v>
      </c>
      <c r="N1696" s="1474">
        <v>1.5577050114879138</v>
      </c>
      <c r="O1696" s="1474"/>
    </row>
    <row r="1697" spans="11:15">
      <c r="K1697" s="1471">
        <v>43754</v>
      </c>
      <c r="L1697" s="1472" t="s">
        <v>2127</v>
      </c>
      <c r="M1697" s="1473">
        <v>2.0872000000000002E-2</v>
      </c>
      <c r="N1697" s="1474">
        <v>1.5580301356779116</v>
      </c>
      <c r="O1697" s="1474"/>
    </row>
    <row r="1698" spans="11:15">
      <c r="K1698" s="1471">
        <v>43755</v>
      </c>
      <c r="L1698" s="1472" t="s">
        <v>2127</v>
      </c>
      <c r="M1698" s="1473">
        <v>2.0872000000000002E-2</v>
      </c>
      <c r="N1698" s="1474">
        <v>1.5583553277278304</v>
      </c>
      <c r="O1698" s="1474"/>
    </row>
    <row r="1699" spans="11:15">
      <c r="K1699" s="1471">
        <v>43756</v>
      </c>
      <c r="L1699" s="1472" t="s">
        <v>2127</v>
      </c>
      <c r="M1699" s="1473">
        <v>2.0872000000000002E-2</v>
      </c>
      <c r="N1699" s="1474">
        <v>1.5586805876518337</v>
      </c>
      <c r="O1699" s="1474"/>
    </row>
    <row r="1700" spans="11:15">
      <c r="K1700" s="1471">
        <v>43757</v>
      </c>
      <c r="L1700" s="1472"/>
      <c r="M1700" s="1473">
        <v>0</v>
      </c>
      <c r="N1700" s="1474">
        <v>1.5586805876518337</v>
      </c>
      <c r="O1700" s="1474"/>
    </row>
    <row r="1701" spans="11:15">
      <c r="K1701" s="1471">
        <v>43758</v>
      </c>
      <c r="L1701" s="1472"/>
      <c r="M1701" s="1473">
        <v>0</v>
      </c>
      <c r="N1701" s="1474">
        <v>1.5586805876518337</v>
      </c>
      <c r="O1701" s="1474"/>
    </row>
    <row r="1702" spans="11:15">
      <c r="K1702" s="1471">
        <v>43759</v>
      </c>
      <c r="L1702" s="1472" t="s">
        <v>2127</v>
      </c>
      <c r="M1702" s="1473">
        <v>2.0872000000000002E-2</v>
      </c>
      <c r="N1702" s="1474">
        <v>1.5590059154640885</v>
      </c>
      <c r="O1702" s="1474"/>
    </row>
    <row r="1703" spans="11:15">
      <c r="K1703" s="1471">
        <v>43760</v>
      </c>
      <c r="L1703" s="1472" t="s">
        <v>2127</v>
      </c>
      <c r="M1703" s="1473">
        <v>2.0872000000000002E-2</v>
      </c>
      <c r="N1703" s="1474">
        <v>1.5593313111787643</v>
      </c>
      <c r="O1703" s="1474"/>
    </row>
    <row r="1704" spans="11:15">
      <c r="K1704" s="1471">
        <v>43761</v>
      </c>
      <c r="L1704" s="1472" t="s">
        <v>2127</v>
      </c>
      <c r="M1704" s="1473">
        <v>2.0872000000000002E-2</v>
      </c>
      <c r="N1704" s="1474">
        <v>1.5596567748100336</v>
      </c>
      <c r="O1704" s="1474"/>
    </row>
    <row r="1705" spans="11:15">
      <c r="K1705" s="1471">
        <v>43762</v>
      </c>
      <c r="L1705" s="1472" t="s">
        <v>2127</v>
      </c>
      <c r="M1705" s="1473">
        <v>2.0872000000000002E-2</v>
      </c>
      <c r="N1705" s="1474">
        <v>1.5599823063720721</v>
      </c>
      <c r="O1705" s="1474"/>
    </row>
    <row r="1706" spans="11:15">
      <c r="K1706" s="1471">
        <v>43763</v>
      </c>
      <c r="L1706" s="1472" t="s">
        <v>2127</v>
      </c>
      <c r="M1706" s="1473">
        <v>2.0872000000000002E-2</v>
      </c>
      <c r="N1706" s="1474">
        <v>1.5603079058790581</v>
      </c>
      <c r="O1706" s="1474"/>
    </row>
    <row r="1707" spans="11:15">
      <c r="K1707" s="1471">
        <v>43764</v>
      </c>
      <c r="L1707" s="1472"/>
      <c r="M1707" s="1473">
        <v>0</v>
      </c>
      <c r="N1707" s="1474">
        <v>1.5603079058790581</v>
      </c>
      <c r="O1707" s="1474"/>
    </row>
    <row r="1708" spans="11:15">
      <c r="K1708" s="1471">
        <v>43765</v>
      </c>
      <c r="L1708" s="1472"/>
      <c r="M1708" s="1473">
        <v>0</v>
      </c>
      <c r="N1708" s="1474">
        <v>1.5603079058790581</v>
      </c>
      <c r="O1708" s="1474"/>
    </row>
    <row r="1709" spans="11:15">
      <c r="K1709" s="1471">
        <v>43766</v>
      </c>
      <c r="L1709" s="1472" t="s">
        <v>2127</v>
      </c>
      <c r="M1709" s="1473">
        <v>2.0872000000000002E-2</v>
      </c>
      <c r="N1709" s="1474">
        <v>1.5606335733451733</v>
      </c>
      <c r="O1709" s="1474"/>
    </row>
    <row r="1710" spans="11:15">
      <c r="K1710" s="1471">
        <v>43767</v>
      </c>
      <c r="L1710" s="1472" t="s">
        <v>2127</v>
      </c>
      <c r="M1710" s="1473">
        <v>2.0872000000000002E-2</v>
      </c>
      <c r="N1710" s="1474">
        <v>1.5609593087846019</v>
      </c>
      <c r="O1710" s="1474"/>
    </row>
    <row r="1711" spans="11:15">
      <c r="K1711" s="1471">
        <v>43768</v>
      </c>
      <c r="L1711" s="1472" t="s">
        <v>2127</v>
      </c>
      <c r="M1711" s="1473">
        <v>2.0872000000000002E-2</v>
      </c>
      <c r="N1711" s="1474">
        <v>1.5612851122115314</v>
      </c>
      <c r="O1711" s="1474"/>
    </row>
    <row r="1712" spans="11:15">
      <c r="K1712" s="1471">
        <v>43769</v>
      </c>
      <c r="L1712" s="1472" t="s">
        <v>2127</v>
      </c>
      <c r="M1712" s="1473">
        <v>1.8984999999999998E-2</v>
      </c>
      <c r="N1712" s="1474">
        <v>1.5615815221900846</v>
      </c>
      <c r="O1712" s="1474"/>
    </row>
    <row r="1713" spans="11:15">
      <c r="K1713" s="1471">
        <v>43770</v>
      </c>
      <c r="L1713" s="1472" t="s">
        <v>2127</v>
      </c>
      <c r="M1713" s="1473">
        <v>1.8984999999999998E-2</v>
      </c>
      <c r="N1713" s="1474">
        <v>1.5618779884420724</v>
      </c>
      <c r="O1713" s="1474"/>
    </row>
    <row r="1714" spans="11:15">
      <c r="K1714" s="1471">
        <v>43771</v>
      </c>
      <c r="L1714" s="1472"/>
      <c r="M1714" s="1473">
        <v>0</v>
      </c>
      <c r="N1714" s="1474">
        <v>1.5618779884420724</v>
      </c>
      <c r="O1714" s="1474"/>
    </row>
    <row r="1715" spans="11:15">
      <c r="K1715" s="1471">
        <v>43772</v>
      </c>
      <c r="L1715" s="1472"/>
      <c r="M1715" s="1473">
        <v>0</v>
      </c>
      <c r="N1715" s="1474">
        <v>1.5618779884420724</v>
      </c>
      <c r="O1715" s="1474"/>
    </row>
    <row r="1716" spans="11:15">
      <c r="K1716" s="1471">
        <v>43773</v>
      </c>
      <c r="L1716" s="1472" t="s">
        <v>2127</v>
      </c>
      <c r="M1716" s="1473">
        <v>1.8984999999999998E-2</v>
      </c>
      <c r="N1716" s="1474">
        <v>1.5621745109781779</v>
      </c>
      <c r="O1716" s="1474"/>
    </row>
    <row r="1717" spans="11:15">
      <c r="K1717" s="1471">
        <v>43774</v>
      </c>
      <c r="L1717" s="1472" t="s">
        <v>2127</v>
      </c>
      <c r="M1717" s="1473">
        <v>1.8984999999999998E-2</v>
      </c>
      <c r="N1717" s="1474">
        <v>1.562471089809087</v>
      </c>
      <c r="O1717" s="1474"/>
    </row>
    <row r="1718" spans="11:15">
      <c r="K1718" s="1471">
        <v>43775</v>
      </c>
      <c r="L1718" s="1472" t="s">
        <v>2127</v>
      </c>
      <c r="M1718" s="1473">
        <v>1.8984999999999998E-2</v>
      </c>
      <c r="N1718" s="1474">
        <v>1.5627677249454872</v>
      </c>
      <c r="O1718" s="1474"/>
    </row>
    <row r="1719" spans="11:15">
      <c r="K1719" s="1471">
        <v>43776</v>
      </c>
      <c r="L1719" s="1472" t="s">
        <v>2127</v>
      </c>
      <c r="M1719" s="1473">
        <v>1.8984999999999998E-2</v>
      </c>
      <c r="N1719" s="1474">
        <v>1.563064416398068</v>
      </c>
      <c r="O1719" s="1474"/>
    </row>
    <row r="1720" spans="11:15">
      <c r="K1720" s="1471">
        <v>43777</v>
      </c>
      <c r="L1720" s="1472" t="s">
        <v>2127</v>
      </c>
      <c r="M1720" s="1473">
        <v>1.8984999999999998E-2</v>
      </c>
      <c r="N1720" s="1474">
        <v>1.5633611641775211</v>
      </c>
      <c r="O1720" s="1474"/>
    </row>
    <row r="1721" spans="11:15">
      <c r="K1721" s="1471">
        <v>43778</v>
      </c>
      <c r="L1721" s="1472"/>
      <c r="M1721" s="1473">
        <v>0</v>
      </c>
      <c r="N1721" s="1474">
        <v>1.5633611641775211</v>
      </c>
      <c r="O1721" s="1474"/>
    </row>
    <row r="1722" spans="11:15">
      <c r="K1722" s="1471">
        <v>43779</v>
      </c>
      <c r="L1722" s="1472"/>
      <c r="M1722" s="1473">
        <v>0</v>
      </c>
      <c r="N1722" s="1474">
        <v>1.5633611641775211</v>
      </c>
      <c r="O1722" s="1474"/>
    </row>
    <row r="1723" spans="11:15">
      <c r="K1723" s="1471">
        <v>43780</v>
      </c>
      <c r="L1723" s="1472" t="s">
        <v>2127</v>
      </c>
      <c r="M1723" s="1473">
        <v>1.8984999999999998E-2</v>
      </c>
      <c r="N1723" s="1474">
        <v>1.5636579682945402</v>
      </c>
      <c r="O1723" s="1474"/>
    </row>
    <row r="1724" spans="11:15">
      <c r="K1724" s="1471">
        <v>43781</v>
      </c>
      <c r="L1724" s="1472" t="s">
        <v>2127</v>
      </c>
      <c r="M1724" s="1473">
        <v>1.8984999999999998E-2</v>
      </c>
      <c r="N1724" s="1474">
        <v>1.5639548287598208</v>
      </c>
      <c r="O1724" s="1474"/>
    </row>
    <row r="1725" spans="11:15">
      <c r="K1725" s="1471">
        <v>43782</v>
      </c>
      <c r="L1725" s="1472" t="s">
        <v>2127</v>
      </c>
      <c r="M1725" s="1473">
        <v>1.8984999999999998E-2</v>
      </c>
      <c r="N1725" s="1474">
        <v>1.5642517455840608</v>
      </c>
      <c r="O1725" s="1474"/>
    </row>
    <row r="1726" spans="11:15">
      <c r="K1726" s="1471">
        <v>43783</v>
      </c>
      <c r="L1726" s="1472" t="s">
        <v>2127</v>
      </c>
      <c r="M1726" s="1473">
        <v>1.8984999999999998E-2</v>
      </c>
      <c r="N1726" s="1474">
        <v>1.5645487187779599</v>
      </c>
      <c r="O1726" s="1474"/>
    </row>
    <row r="1727" spans="11:15">
      <c r="K1727" s="1471">
        <v>43784</v>
      </c>
      <c r="L1727" s="1472"/>
      <c r="M1727" s="1473">
        <v>0</v>
      </c>
      <c r="N1727" s="1474">
        <v>1.5645487187779599</v>
      </c>
      <c r="O1727" s="1474"/>
    </row>
    <row r="1728" spans="11:15">
      <c r="K1728" s="1471">
        <v>43785</v>
      </c>
      <c r="L1728" s="1472"/>
      <c r="M1728" s="1473">
        <v>0</v>
      </c>
      <c r="N1728" s="1474">
        <v>1.5645487187779599</v>
      </c>
      <c r="O1728" s="1474"/>
    </row>
    <row r="1729" spans="11:15">
      <c r="K1729" s="1471">
        <v>43786</v>
      </c>
      <c r="L1729" s="1472"/>
      <c r="M1729" s="1473">
        <v>0</v>
      </c>
      <c r="N1729" s="1474">
        <v>1.5645487187779599</v>
      </c>
      <c r="O1729" s="1474"/>
    </row>
    <row r="1730" spans="11:15">
      <c r="K1730" s="1471">
        <v>43787</v>
      </c>
      <c r="L1730" s="1472" t="s">
        <v>2127</v>
      </c>
      <c r="M1730" s="1473">
        <v>1.8984999999999998E-2</v>
      </c>
      <c r="N1730" s="1474">
        <v>1.5648457483522198</v>
      </c>
      <c r="O1730" s="1474"/>
    </row>
    <row r="1731" spans="11:15">
      <c r="K1731" s="1471">
        <v>43788</v>
      </c>
      <c r="L1731" s="1472" t="s">
        <v>2127</v>
      </c>
      <c r="M1731" s="1473">
        <v>1.8984999999999998E-2</v>
      </c>
      <c r="N1731" s="1474">
        <v>1.5651428343175444</v>
      </c>
      <c r="O1731" s="1474"/>
    </row>
    <row r="1732" spans="11:15">
      <c r="K1732" s="1471">
        <v>43789</v>
      </c>
      <c r="L1732" s="1472" t="s">
        <v>2127</v>
      </c>
      <c r="M1732" s="1473">
        <v>1.8984999999999998E-2</v>
      </c>
      <c r="N1732" s="1474">
        <v>1.5654399766846394</v>
      </c>
      <c r="O1732" s="1474"/>
    </row>
    <row r="1733" spans="11:15">
      <c r="K1733" s="1471">
        <v>43790</v>
      </c>
      <c r="L1733" s="1472" t="s">
        <v>2127</v>
      </c>
      <c r="M1733" s="1473">
        <v>1.8984999999999998E-2</v>
      </c>
      <c r="N1733" s="1474">
        <v>1.5657371754642129</v>
      </c>
      <c r="O1733" s="1474"/>
    </row>
    <row r="1734" spans="11:15">
      <c r="K1734" s="1471">
        <v>43791</v>
      </c>
      <c r="L1734" s="1472" t="s">
        <v>2127</v>
      </c>
      <c r="M1734" s="1473">
        <v>1.8984999999999998E-2</v>
      </c>
      <c r="N1734" s="1474">
        <v>1.5660344306669747</v>
      </c>
      <c r="O1734" s="1474"/>
    </row>
    <row r="1735" spans="11:15">
      <c r="K1735" s="1471">
        <v>43792</v>
      </c>
      <c r="L1735" s="1472"/>
      <c r="M1735" s="1473">
        <v>0</v>
      </c>
      <c r="N1735" s="1474">
        <v>1.5660344306669747</v>
      </c>
      <c r="O1735" s="1474"/>
    </row>
    <row r="1736" spans="11:15">
      <c r="K1736" s="1471">
        <v>43793</v>
      </c>
      <c r="L1736" s="1472"/>
      <c r="M1736" s="1473">
        <v>0</v>
      </c>
      <c r="N1736" s="1474">
        <v>1.5660344306669747</v>
      </c>
      <c r="O1736" s="1474"/>
    </row>
    <row r="1737" spans="11:15">
      <c r="K1737" s="1471">
        <v>43794</v>
      </c>
      <c r="L1737" s="1472" t="s">
        <v>2127</v>
      </c>
      <c r="M1737" s="1473">
        <v>1.8984999999999998E-2</v>
      </c>
      <c r="N1737" s="1474">
        <v>1.5663317423036367</v>
      </c>
      <c r="O1737" s="1474"/>
    </row>
    <row r="1738" spans="11:15">
      <c r="K1738" s="1471">
        <v>43795</v>
      </c>
      <c r="L1738" s="1472" t="s">
        <v>2127</v>
      </c>
      <c r="M1738" s="1473">
        <v>1.8984999999999998E-2</v>
      </c>
      <c r="N1738" s="1474">
        <v>1.566629110384913</v>
      </c>
      <c r="O1738" s="1474"/>
    </row>
    <row r="1739" spans="11:15">
      <c r="K1739" s="1471">
        <v>43796</v>
      </c>
      <c r="L1739" s="1472" t="s">
        <v>2127</v>
      </c>
      <c r="M1739" s="1473">
        <v>1.8984999999999998E-2</v>
      </c>
      <c r="N1739" s="1474">
        <v>1.5669265349215196</v>
      </c>
      <c r="O1739" s="1474"/>
    </row>
    <row r="1740" spans="11:15">
      <c r="K1740" s="1471">
        <v>43797</v>
      </c>
      <c r="L1740" s="1472" t="s">
        <v>2127</v>
      </c>
      <c r="M1740" s="1473">
        <v>1.8984999999999998E-2</v>
      </c>
      <c r="N1740" s="1474">
        <v>1.5672240159241744</v>
      </c>
      <c r="O1740" s="1474"/>
    </row>
    <row r="1741" spans="11:15">
      <c r="K1741" s="1471">
        <v>43798</v>
      </c>
      <c r="L1741" s="1472" t="s">
        <v>2127</v>
      </c>
      <c r="M1741" s="1473">
        <v>1.8984999999999998E-2</v>
      </c>
      <c r="N1741" s="1474">
        <v>1.5675215534035976</v>
      </c>
      <c r="O1741" s="1474"/>
    </row>
    <row r="1742" spans="11:15">
      <c r="K1742" s="1471">
        <v>43799</v>
      </c>
      <c r="L1742" s="1472"/>
      <c r="M1742" s="1473">
        <v>0</v>
      </c>
      <c r="N1742" s="1474">
        <v>1.5675215534035976</v>
      </c>
      <c r="O1742" s="1474"/>
    </row>
    <row r="1743" spans="11:15">
      <c r="K1743" s="1471">
        <v>43800</v>
      </c>
      <c r="L1743" s="1472"/>
      <c r="M1743" s="1473">
        <v>0</v>
      </c>
      <c r="N1743" s="1474">
        <v>1.5675215534035976</v>
      </c>
      <c r="O1743" s="1474"/>
    </row>
    <row r="1744" spans="11:15">
      <c r="K1744" s="1471">
        <v>43801</v>
      </c>
      <c r="L1744" s="1472" t="s">
        <v>2127</v>
      </c>
      <c r="M1744" s="1473">
        <v>1.8984999999999998E-2</v>
      </c>
      <c r="N1744" s="1474">
        <v>1.5678191473705112</v>
      </c>
      <c r="O1744" s="1474"/>
    </row>
    <row r="1745" spans="11:15">
      <c r="K1745" s="1471">
        <v>43802</v>
      </c>
      <c r="L1745" s="1472" t="s">
        <v>2127</v>
      </c>
      <c r="M1745" s="1473">
        <v>1.8984999999999998E-2</v>
      </c>
      <c r="N1745" s="1474">
        <v>1.5681167978356394</v>
      </c>
      <c r="O1745" s="1474"/>
    </row>
    <row r="1746" spans="11:15">
      <c r="K1746" s="1471">
        <v>43803</v>
      </c>
      <c r="L1746" s="1472" t="s">
        <v>2127</v>
      </c>
      <c r="M1746" s="1473">
        <v>1.8984999999999998E-2</v>
      </c>
      <c r="N1746" s="1474">
        <v>1.5684145048097085</v>
      </c>
      <c r="O1746" s="1474"/>
    </row>
    <row r="1747" spans="11:15">
      <c r="K1747" s="1471">
        <v>43804</v>
      </c>
      <c r="L1747" s="1472" t="s">
        <v>2127</v>
      </c>
      <c r="M1747" s="1473">
        <v>1.8984999999999998E-2</v>
      </c>
      <c r="N1747" s="1474">
        <v>1.5687122683034465</v>
      </c>
      <c r="O1747" s="1474"/>
    </row>
    <row r="1748" spans="11:15">
      <c r="K1748" s="1471">
        <v>43805</v>
      </c>
      <c r="L1748" s="1472" t="s">
        <v>2127</v>
      </c>
      <c r="M1748" s="1473">
        <v>1.8984999999999998E-2</v>
      </c>
      <c r="N1748" s="1474">
        <v>1.5690100883275837</v>
      </c>
      <c r="O1748" s="1474"/>
    </row>
    <row r="1749" spans="11:15">
      <c r="K1749" s="1471">
        <v>43806</v>
      </c>
      <c r="L1749" s="1472"/>
      <c r="M1749" s="1473">
        <v>0</v>
      </c>
      <c r="N1749" s="1474">
        <v>1.5690100883275837</v>
      </c>
      <c r="O1749" s="1474"/>
    </row>
    <row r="1750" spans="11:15">
      <c r="K1750" s="1471">
        <v>43807</v>
      </c>
      <c r="L1750" s="1472"/>
      <c r="M1750" s="1473">
        <v>0</v>
      </c>
      <c r="N1750" s="1474">
        <v>1.5690100883275837</v>
      </c>
      <c r="O1750" s="1474"/>
    </row>
    <row r="1751" spans="11:15">
      <c r="K1751" s="1471">
        <v>43808</v>
      </c>
      <c r="L1751" s="1472" t="s">
        <v>2127</v>
      </c>
      <c r="M1751" s="1473">
        <v>1.8984999999999998E-2</v>
      </c>
      <c r="N1751" s="1474">
        <v>1.5693079648928525</v>
      </c>
      <c r="O1751" s="1474"/>
    </row>
    <row r="1752" spans="11:15">
      <c r="K1752" s="1471">
        <v>43809</v>
      </c>
      <c r="L1752" s="1472" t="s">
        <v>2127</v>
      </c>
      <c r="M1752" s="1473">
        <v>1.8984999999999998E-2</v>
      </c>
      <c r="N1752" s="1474">
        <v>1.5696058980099874</v>
      </c>
      <c r="O1752" s="1474"/>
    </row>
    <row r="1753" spans="11:15">
      <c r="K1753" s="1471">
        <v>43810</v>
      </c>
      <c r="L1753" s="1472" t="s">
        <v>2127</v>
      </c>
      <c r="M1753" s="1473">
        <v>1.8984999999999998E-2</v>
      </c>
      <c r="N1753" s="1474">
        <v>1.5699038876897244</v>
      </c>
      <c r="O1753" s="1474"/>
    </row>
    <row r="1754" spans="11:15">
      <c r="K1754" s="1471">
        <v>43811</v>
      </c>
      <c r="L1754" s="1472" t="s">
        <v>2127</v>
      </c>
      <c r="M1754" s="1473">
        <v>1.7089E-2</v>
      </c>
      <c r="N1754" s="1474">
        <v>1.5701721685650916</v>
      </c>
      <c r="O1754" s="1474"/>
    </row>
    <row r="1755" spans="11:15">
      <c r="K1755" s="1471">
        <v>43812</v>
      </c>
      <c r="L1755" s="1472" t="s">
        <v>2127</v>
      </c>
      <c r="M1755" s="1473">
        <v>1.7089E-2</v>
      </c>
      <c r="N1755" s="1474">
        <v>1.5704404952869775</v>
      </c>
      <c r="O1755" s="1474"/>
    </row>
    <row r="1756" spans="11:15">
      <c r="K1756" s="1471">
        <v>43813</v>
      </c>
      <c r="L1756" s="1472"/>
      <c r="M1756" s="1473">
        <v>0</v>
      </c>
      <c r="N1756" s="1474">
        <v>1.5704404952869775</v>
      </c>
      <c r="O1756" s="1474"/>
    </row>
    <row r="1757" spans="11:15">
      <c r="K1757" s="1471">
        <v>43814</v>
      </c>
      <c r="L1757" s="1472"/>
      <c r="M1757" s="1473">
        <v>0</v>
      </c>
      <c r="N1757" s="1474">
        <v>1.5704404952869775</v>
      </c>
      <c r="O1757" s="1474"/>
    </row>
    <row r="1758" spans="11:15">
      <c r="K1758" s="1471">
        <v>43815</v>
      </c>
      <c r="L1758" s="1472" t="s">
        <v>2127</v>
      </c>
      <c r="M1758" s="1473">
        <v>1.7089E-2</v>
      </c>
      <c r="N1758" s="1474">
        <v>1.5707088678632171</v>
      </c>
      <c r="O1758" s="1474"/>
    </row>
    <row r="1759" spans="11:15">
      <c r="K1759" s="1471">
        <v>43816</v>
      </c>
      <c r="L1759" s="1472" t="s">
        <v>2127</v>
      </c>
      <c r="M1759" s="1473">
        <v>1.7089E-2</v>
      </c>
      <c r="N1759" s="1474">
        <v>1.570977286301646</v>
      </c>
      <c r="O1759" s="1474"/>
    </row>
    <row r="1760" spans="11:15">
      <c r="K1760" s="1471">
        <v>43817</v>
      </c>
      <c r="L1760" s="1472" t="s">
        <v>2127</v>
      </c>
      <c r="M1760" s="1473">
        <v>1.7089E-2</v>
      </c>
      <c r="N1760" s="1474">
        <v>1.5712457506101021</v>
      </c>
      <c r="O1760" s="1474"/>
    </row>
    <row r="1761" spans="11:15">
      <c r="K1761" s="1471">
        <v>43818</v>
      </c>
      <c r="L1761" s="1472" t="s">
        <v>2127</v>
      </c>
      <c r="M1761" s="1473">
        <v>1.7089E-2</v>
      </c>
      <c r="N1761" s="1474">
        <v>1.5715142607964236</v>
      </c>
      <c r="O1761" s="1474"/>
    </row>
    <row r="1762" spans="11:15">
      <c r="K1762" s="1471">
        <v>43819</v>
      </c>
      <c r="L1762" s="1472" t="s">
        <v>2127</v>
      </c>
      <c r="M1762" s="1473">
        <v>1.7089E-2</v>
      </c>
      <c r="N1762" s="1474">
        <v>1.5717828168684511</v>
      </c>
      <c r="O1762" s="1474"/>
    </row>
    <row r="1763" spans="11:15">
      <c r="K1763" s="1471">
        <v>43820</v>
      </c>
      <c r="L1763" s="1472"/>
      <c r="M1763" s="1473">
        <v>0</v>
      </c>
      <c r="N1763" s="1474">
        <v>1.5717828168684511</v>
      </c>
      <c r="O1763" s="1474"/>
    </row>
    <row r="1764" spans="11:15">
      <c r="K1764" s="1471">
        <v>43821</v>
      </c>
      <c r="L1764" s="1472"/>
      <c r="M1764" s="1473">
        <v>0</v>
      </c>
      <c r="N1764" s="1474">
        <v>1.5717828168684511</v>
      </c>
      <c r="O1764" s="1474"/>
    </row>
    <row r="1765" spans="11:15">
      <c r="K1765" s="1471">
        <v>43822</v>
      </c>
      <c r="L1765" s="1472" t="s">
        <v>2127</v>
      </c>
      <c r="M1765" s="1473">
        <v>1.7089E-2</v>
      </c>
      <c r="N1765" s="1474">
        <v>1.5720514188340255</v>
      </c>
      <c r="O1765" s="1474"/>
    </row>
    <row r="1766" spans="11:15">
      <c r="K1766" s="1471">
        <v>43823</v>
      </c>
      <c r="L1766" s="1472" t="s">
        <v>2127</v>
      </c>
      <c r="M1766" s="1473">
        <v>1.7089E-2</v>
      </c>
      <c r="N1766" s="1474">
        <v>1.57232006670099</v>
      </c>
      <c r="O1766" s="1474"/>
    </row>
    <row r="1767" spans="11:15">
      <c r="K1767" s="1471">
        <v>43824</v>
      </c>
      <c r="L1767" s="1472"/>
      <c r="M1767" s="1473">
        <v>0</v>
      </c>
      <c r="N1767" s="1474">
        <v>1.57232006670099</v>
      </c>
      <c r="O1767" s="1474"/>
    </row>
    <row r="1768" spans="11:15">
      <c r="K1768" s="1471">
        <v>43825</v>
      </c>
      <c r="L1768" s="1472" t="s">
        <v>2127</v>
      </c>
      <c r="M1768" s="1473">
        <v>1.7089E-2</v>
      </c>
      <c r="N1768" s="1474">
        <v>1.5725887604771884</v>
      </c>
      <c r="O1768" s="1474"/>
    </row>
    <row r="1769" spans="11:15">
      <c r="K1769" s="1471">
        <v>43826</v>
      </c>
      <c r="L1769" s="1472" t="s">
        <v>2127</v>
      </c>
      <c r="M1769" s="1473">
        <v>1.7089E-2</v>
      </c>
      <c r="N1769" s="1474">
        <v>1.5728575001704663</v>
      </c>
      <c r="O1769" s="1474"/>
    </row>
    <row r="1770" spans="11:15">
      <c r="K1770" s="1471">
        <v>43827</v>
      </c>
      <c r="L1770" s="1472"/>
      <c r="M1770" s="1473">
        <v>0</v>
      </c>
      <c r="N1770" s="1474">
        <v>1.5728575001704663</v>
      </c>
      <c r="O1770" s="1474"/>
    </row>
    <row r="1771" spans="11:15">
      <c r="K1771" s="1471">
        <v>43828</v>
      </c>
      <c r="L1771" s="1472"/>
      <c r="M1771" s="1473">
        <v>0</v>
      </c>
      <c r="N1771" s="1474">
        <v>1.5728575001704663</v>
      </c>
      <c r="O1771" s="1474"/>
    </row>
    <row r="1772" spans="11:15">
      <c r="K1772" s="1471">
        <v>43829</v>
      </c>
      <c r="L1772" s="1472" t="s">
        <v>2127</v>
      </c>
      <c r="M1772" s="1473">
        <v>1.7089E-2</v>
      </c>
      <c r="N1772" s="1474">
        <v>1.5731262857886703</v>
      </c>
      <c r="O1772" s="1474"/>
    </row>
    <row r="1773" spans="11:15">
      <c r="K1773" s="1471">
        <v>43830</v>
      </c>
      <c r="L1773" s="1472" t="s">
        <v>2127</v>
      </c>
      <c r="M1773" s="1473">
        <v>1.7089E-2</v>
      </c>
      <c r="N1773" s="1474">
        <v>1.5733951173396485</v>
      </c>
      <c r="O1773" s="1474"/>
    </row>
    <row r="1774" spans="11:15">
      <c r="K1774" s="1471">
        <v>43831</v>
      </c>
      <c r="L1774" s="1472"/>
      <c r="M1774" s="1473">
        <v>0</v>
      </c>
      <c r="N1774" s="1474">
        <v>1.5733951173396485</v>
      </c>
      <c r="O1774" s="1474"/>
    </row>
    <row r="1775" spans="11:15">
      <c r="K1775" s="1471">
        <v>43832</v>
      </c>
      <c r="L1775" s="1472" t="s">
        <v>2127</v>
      </c>
      <c r="M1775" s="1473">
        <v>1.7089E-2</v>
      </c>
      <c r="N1775" s="1474">
        <v>1.5736639948312505</v>
      </c>
      <c r="O1775" s="1474"/>
    </row>
    <row r="1776" spans="11:15">
      <c r="K1776" s="1471">
        <v>43833</v>
      </c>
      <c r="L1776" s="1472" t="s">
        <v>2127</v>
      </c>
      <c r="M1776" s="1473">
        <v>1.7089E-2</v>
      </c>
      <c r="N1776" s="1474">
        <v>1.5739329182713271</v>
      </c>
      <c r="O1776" s="1474"/>
    </row>
    <row r="1777" spans="11:15">
      <c r="K1777" s="1471">
        <v>43834</v>
      </c>
      <c r="L1777" s="1472"/>
      <c r="M1777" s="1473">
        <v>0</v>
      </c>
      <c r="N1777" s="1474">
        <v>1.5739329182713271</v>
      </c>
      <c r="O1777" s="1474"/>
    </row>
    <row r="1778" spans="11:15">
      <c r="K1778" s="1471">
        <v>43835</v>
      </c>
      <c r="L1778" s="1472"/>
      <c r="M1778" s="1473">
        <v>0</v>
      </c>
      <c r="N1778" s="1474">
        <v>1.5739329182713271</v>
      </c>
      <c r="O1778" s="1474"/>
    </row>
    <row r="1779" spans="11:15">
      <c r="K1779" s="1471">
        <v>43836</v>
      </c>
      <c r="L1779" s="1472" t="s">
        <v>2127</v>
      </c>
      <c r="M1779" s="1473">
        <v>1.7089E-2</v>
      </c>
      <c r="N1779" s="1474">
        <v>1.5742018876677304</v>
      </c>
      <c r="O1779" s="1474"/>
    </row>
    <row r="1780" spans="11:15">
      <c r="K1780" s="1471">
        <v>43837</v>
      </c>
      <c r="L1780" s="1472" t="s">
        <v>2127</v>
      </c>
      <c r="M1780" s="1473">
        <v>1.7089E-2</v>
      </c>
      <c r="N1780" s="1474">
        <v>1.5744709030283137</v>
      </c>
      <c r="O1780" s="1474"/>
    </row>
    <row r="1781" spans="11:15">
      <c r="K1781" s="1471">
        <v>43838</v>
      </c>
      <c r="L1781" s="1472" t="s">
        <v>2127</v>
      </c>
      <c r="M1781" s="1473">
        <v>1.7089E-2</v>
      </c>
      <c r="N1781" s="1474">
        <v>1.5747399643609321</v>
      </c>
      <c r="O1781" s="1474"/>
    </row>
    <row r="1782" spans="11:15">
      <c r="K1782" s="1471">
        <v>43839</v>
      </c>
      <c r="L1782" s="1472" t="s">
        <v>2127</v>
      </c>
      <c r="M1782" s="1473">
        <v>1.7089E-2</v>
      </c>
      <c r="N1782" s="1474">
        <v>1.5750090716734417</v>
      </c>
      <c r="O1782" s="1474"/>
    </row>
    <row r="1783" spans="11:15">
      <c r="K1783" s="1471">
        <v>43840</v>
      </c>
      <c r="L1783" s="1472" t="s">
        <v>2127</v>
      </c>
      <c r="M1783" s="1473">
        <v>1.7089E-2</v>
      </c>
      <c r="N1783" s="1474">
        <v>1.5752782249736998</v>
      </c>
      <c r="O1783" s="1474"/>
    </row>
    <row r="1784" spans="11:15">
      <c r="K1784" s="1471">
        <v>43841</v>
      </c>
      <c r="L1784" s="1472"/>
      <c r="M1784" s="1473">
        <v>0</v>
      </c>
      <c r="N1784" s="1474">
        <v>1.5752782249736998</v>
      </c>
      <c r="O1784" s="1474"/>
    </row>
    <row r="1785" spans="11:15">
      <c r="K1785" s="1471">
        <v>43842</v>
      </c>
      <c r="L1785" s="1472"/>
      <c r="M1785" s="1473">
        <v>0</v>
      </c>
      <c r="N1785" s="1474">
        <v>1.5752782249736998</v>
      </c>
      <c r="O1785" s="1474"/>
    </row>
    <row r="1786" spans="11:15">
      <c r="K1786" s="1471">
        <v>43843</v>
      </c>
      <c r="L1786" s="1472" t="s">
        <v>2127</v>
      </c>
      <c r="M1786" s="1473">
        <v>1.7089E-2</v>
      </c>
      <c r="N1786" s="1474">
        <v>1.5755474242695655</v>
      </c>
      <c r="O1786" s="1474"/>
    </row>
    <row r="1787" spans="11:15">
      <c r="K1787" s="1471">
        <v>43844</v>
      </c>
      <c r="L1787" s="1472" t="s">
        <v>2127</v>
      </c>
      <c r="M1787" s="1473">
        <v>1.7089E-2</v>
      </c>
      <c r="N1787" s="1474">
        <v>1.5758166695688989</v>
      </c>
      <c r="O1787" s="1474"/>
    </row>
    <row r="1788" spans="11:15">
      <c r="K1788" s="1471">
        <v>43845</v>
      </c>
      <c r="L1788" s="1472" t="s">
        <v>2127</v>
      </c>
      <c r="M1788" s="1473">
        <v>1.7089E-2</v>
      </c>
      <c r="N1788" s="1474">
        <v>1.5760859608795614</v>
      </c>
      <c r="O1788" s="1474"/>
    </row>
    <row r="1789" spans="11:15">
      <c r="K1789" s="1471">
        <v>43846</v>
      </c>
      <c r="L1789" s="1472" t="s">
        <v>2127</v>
      </c>
      <c r="M1789" s="1473">
        <v>1.7089E-2</v>
      </c>
      <c r="N1789" s="1474">
        <v>1.576355298209416</v>
      </c>
      <c r="O1789" s="1474"/>
    </row>
    <row r="1790" spans="11:15">
      <c r="K1790" s="1471">
        <v>43847</v>
      </c>
      <c r="L1790" s="1472" t="s">
        <v>2127</v>
      </c>
      <c r="M1790" s="1473">
        <v>1.7089E-2</v>
      </c>
      <c r="N1790" s="1474">
        <v>1.576624681566327</v>
      </c>
      <c r="O1790" s="1474"/>
    </row>
    <row r="1791" spans="11:15">
      <c r="K1791" s="1471">
        <v>43848</v>
      </c>
      <c r="L1791" s="1472"/>
      <c r="M1791" s="1473">
        <v>0</v>
      </c>
      <c r="N1791" s="1474">
        <v>1.576624681566327</v>
      </c>
      <c r="O1791" s="1474"/>
    </row>
    <row r="1792" spans="11:15">
      <c r="K1792" s="1471">
        <v>43849</v>
      </c>
      <c r="L1792" s="1472"/>
      <c r="M1792" s="1473">
        <v>0</v>
      </c>
      <c r="N1792" s="1474">
        <v>1.576624681566327</v>
      </c>
      <c r="O1792" s="1474"/>
    </row>
    <row r="1793" spans="11:15">
      <c r="K1793" s="1471">
        <v>43850</v>
      </c>
      <c r="L1793" s="1472" t="s">
        <v>2127</v>
      </c>
      <c r="M1793" s="1473">
        <v>1.7089E-2</v>
      </c>
      <c r="N1793" s="1474">
        <v>1.5768941109581598</v>
      </c>
      <c r="O1793" s="1474"/>
    </row>
    <row r="1794" spans="11:15">
      <c r="K1794" s="1471">
        <v>43851</v>
      </c>
      <c r="L1794" s="1472" t="s">
        <v>2127</v>
      </c>
      <c r="M1794" s="1473">
        <v>1.7089E-2</v>
      </c>
      <c r="N1794" s="1474">
        <v>1.5771635863927813</v>
      </c>
      <c r="O1794" s="1474"/>
    </row>
    <row r="1795" spans="11:15">
      <c r="K1795" s="1471">
        <v>43852</v>
      </c>
      <c r="L1795" s="1472" t="s">
        <v>2127</v>
      </c>
      <c r="M1795" s="1473">
        <v>1.7089E-2</v>
      </c>
      <c r="N1795" s="1474">
        <v>1.5774331078780599</v>
      </c>
      <c r="O1795" s="1474"/>
    </row>
    <row r="1796" spans="11:15">
      <c r="K1796" s="1471">
        <v>43853</v>
      </c>
      <c r="L1796" s="1472" t="s">
        <v>2127</v>
      </c>
      <c r="M1796" s="1473">
        <v>1.7089E-2</v>
      </c>
      <c r="N1796" s="1474">
        <v>1.577702675421865</v>
      </c>
      <c r="O1796" s="1474"/>
    </row>
    <row r="1797" spans="11:15">
      <c r="K1797" s="1471">
        <v>43854</v>
      </c>
      <c r="L1797" s="1472" t="s">
        <v>2127</v>
      </c>
      <c r="M1797" s="1473">
        <v>1.7089E-2</v>
      </c>
      <c r="N1797" s="1474">
        <v>1.5779722890320678</v>
      </c>
      <c r="O1797" s="1474"/>
    </row>
    <row r="1798" spans="11:15">
      <c r="K1798" s="1471">
        <v>43855</v>
      </c>
      <c r="L1798" s="1472"/>
      <c r="M1798" s="1473">
        <v>0</v>
      </c>
      <c r="N1798" s="1474">
        <v>1.5779722890320678</v>
      </c>
      <c r="O1798" s="1474"/>
    </row>
    <row r="1799" spans="11:15">
      <c r="K1799" s="1471">
        <v>43856</v>
      </c>
      <c r="L1799" s="1472"/>
      <c r="M1799" s="1473">
        <v>0</v>
      </c>
      <c r="N1799" s="1474">
        <v>1.5779722890320678</v>
      </c>
      <c r="O1799" s="1474"/>
    </row>
    <row r="1800" spans="11:15">
      <c r="K1800" s="1471">
        <v>43857</v>
      </c>
      <c r="L1800" s="1472" t="s">
        <v>2127</v>
      </c>
      <c r="M1800" s="1473">
        <v>1.7089E-2</v>
      </c>
      <c r="N1800" s="1474">
        <v>1.5782419487165404</v>
      </c>
      <c r="O1800" s="1474"/>
    </row>
    <row r="1801" spans="11:15">
      <c r="K1801" s="1471">
        <v>43858</v>
      </c>
      <c r="L1801" s="1472" t="s">
        <v>2127</v>
      </c>
      <c r="M1801" s="1473">
        <v>1.7089E-2</v>
      </c>
      <c r="N1801" s="1474">
        <v>1.5785116544831566</v>
      </c>
      <c r="O1801" s="1474"/>
    </row>
    <row r="1802" spans="11:15">
      <c r="K1802" s="1471">
        <v>43859</v>
      </c>
      <c r="L1802" s="1472" t="s">
        <v>2127</v>
      </c>
      <c r="M1802" s="1473">
        <v>1.7089E-2</v>
      </c>
      <c r="N1802" s="1474">
        <v>1.5787814063397911</v>
      </c>
      <c r="O1802" s="1474"/>
    </row>
    <row r="1803" spans="11:15">
      <c r="K1803" s="1471">
        <v>43860</v>
      </c>
      <c r="L1803" s="1472" t="s">
        <v>2127</v>
      </c>
      <c r="M1803" s="1473">
        <v>1.7089E-2</v>
      </c>
      <c r="N1803" s="1474">
        <v>1.5790512042943203</v>
      </c>
      <c r="O1803" s="1474"/>
    </row>
    <row r="1804" spans="11:15">
      <c r="K1804" s="1471">
        <v>43861</v>
      </c>
      <c r="L1804" s="1472" t="s">
        <v>2127</v>
      </c>
      <c r="M1804" s="1473">
        <v>1.7089E-2</v>
      </c>
      <c r="N1804" s="1474">
        <v>1.5793210483546221</v>
      </c>
      <c r="O1804" s="1474"/>
    </row>
    <row r="1805" spans="11:15">
      <c r="K1805" s="1471">
        <v>43862</v>
      </c>
      <c r="L1805" s="1472"/>
      <c r="M1805" s="1473">
        <v>0</v>
      </c>
      <c r="N1805" s="1474">
        <v>1.5793210483546221</v>
      </c>
      <c r="O1805" s="1474"/>
    </row>
    <row r="1806" spans="11:15">
      <c r="K1806" s="1471">
        <v>43863</v>
      </c>
      <c r="L1806" s="1472"/>
      <c r="M1806" s="1473">
        <v>0</v>
      </c>
      <c r="N1806" s="1474">
        <v>1.5793210483546221</v>
      </c>
      <c r="O1806" s="1474"/>
    </row>
    <row r="1807" spans="11:15">
      <c r="K1807" s="1471">
        <v>43864</v>
      </c>
      <c r="L1807" s="1472" t="s">
        <v>2127</v>
      </c>
      <c r="M1807" s="1473">
        <v>1.7089E-2</v>
      </c>
      <c r="N1807" s="1474">
        <v>1.5795909385285754</v>
      </c>
      <c r="O1807" s="1474"/>
    </row>
    <row r="1808" spans="11:15">
      <c r="K1808" s="1471">
        <v>43865</v>
      </c>
      <c r="L1808" s="1472" t="s">
        <v>2127</v>
      </c>
      <c r="M1808" s="1473">
        <v>1.7089E-2</v>
      </c>
      <c r="N1808" s="1474">
        <v>1.5798608748240603</v>
      </c>
      <c r="O1808" s="1474"/>
    </row>
    <row r="1809" spans="11:15">
      <c r="K1809" s="1471">
        <v>43866</v>
      </c>
      <c r="L1809" s="1472" t="s">
        <v>2127</v>
      </c>
      <c r="M1809" s="1473">
        <v>1.7089E-2</v>
      </c>
      <c r="N1809" s="1474">
        <v>1.580130857248959</v>
      </c>
      <c r="O1809" s="1474"/>
    </row>
    <row r="1810" spans="11:15">
      <c r="K1810" s="1471">
        <v>43867</v>
      </c>
      <c r="L1810" s="1472" t="s">
        <v>2127</v>
      </c>
      <c r="M1810" s="1473">
        <v>1.6136999999999999E-2</v>
      </c>
      <c r="N1810" s="1474">
        <v>1.5803858429653934</v>
      </c>
      <c r="O1810" s="1474"/>
    </row>
    <row r="1811" spans="11:15">
      <c r="K1811" s="1471">
        <v>43868</v>
      </c>
      <c r="L1811" s="1472" t="s">
        <v>2127</v>
      </c>
      <c r="M1811" s="1473">
        <v>1.6136999999999999E-2</v>
      </c>
      <c r="N1811" s="1474">
        <v>1.5806408698288728</v>
      </c>
      <c r="O1811" s="1474"/>
    </row>
    <row r="1812" spans="11:15">
      <c r="K1812" s="1471">
        <v>43869</v>
      </c>
      <c r="L1812" s="1472"/>
      <c r="M1812" s="1473">
        <v>0</v>
      </c>
      <c r="N1812" s="1474">
        <v>1.5806408698288728</v>
      </c>
      <c r="O1812" s="1474"/>
    </row>
    <row r="1813" spans="11:15">
      <c r="K1813" s="1471">
        <v>43870</v>
      </c>
      <c r="L1813" s="1472"/>
      <c r="M1813" s="1473">
        <v>0</v>
      </c>
      <c r="N1813" s="1474">
        <v>1.5806408698288728</v>
      </c>
      <c r="O1813" s="1474"/>
    </row>
    <row r="1814" spans="11:15">
      <c r="K1814" s="1471">
        <v>43871</v>
      </c>
      <c r="L1814" s="1472" t="s">
        <v>2127</v>
      </c>
      <c r="M1814" s="1473">
        <v>1.6136999999999999E-2</v>
      </c>
      <c r="N1814" s="1474">
        <v>1.5808959378460372</v>
      </c>
      <c r="O1814" s="1474"/>
    </row>
    <row r="1815" spans="11:15">
      <c r="K1815" s="1471">
        <v>43872</v>
      </c>
      <c r="L1815" s="1472" t="s">
        <v>2127</v>
      </c>
      <c r="M1815" s="1473">
        <v>1.6136999999999999E-2</v>
      </c>
      <c r="N1815" s="1474">
        <v>1.5811510470235275</v>
      </c>
      <c r="O1815" s="1474"/>
    </row>
    <row r="1816" spans="11:15">
      <c r="K1816" s="1471">
        <v>43873</v>
      </c>
      <c r="L1816" s="1472" t="s">
        <v>2127</v>
      </c>
      <c r="M1816" s="1473">
        <v>1.6136999999999999E-2</v>
      </c>
      <c r="N1816" s="1474">
        <v>1.5814061973679858</v>
      </c>
      <c r="O1816" s="1474"/>
    </row>
    <row r="1817" spans="11:15">
      <c r="K1817" s="1471">
        <v>43874</v>
      </c>
      <c r="L1817" s="1472" t="s">
        <v>2127</v>
      </c>
      <c r="M1817" s="1473">
        <v>1.6136999999999999E-2</v>
      </c>
      <c r="N1817" s="1474">
        <v>1.5816613888860551</v>
      </c>
      <c r="O1817" s="1474"/>
    </row>
    <row r="1818" spans="11:15">
      <c r="K1818" s="1471">
        <v>43875</v>
      </c>
      <c r="L1818" s="1472" t="s">
        <v>2127</v>
      </c>
      <c r="M1818" s="1473">
        <v>1.6136999999999999E-2</v>
      </c>
      <c r="N1818" s="1474">
        <v>1.5819166215843798</v>
      </c>
      <c r="O1818" s="1474"/>
    </row>
    <row r="1819" spans="11:15">
      <c r="K1819" s="1471">
        <v>43876</v>
      </c>
      <c r="L1819" s="1472"/>
      <c r="M1819" s="1473">
        <v>0</v>
      </c>
      <c r="N1819" s="1474">
        <v>1.5819166215843798</v>
      </c>
      <c r="O1819" s="1474"/>
    </row>
    <row r="1820" spans="11:15">
      <c r="K1820" s="1471">
        <v>43877</v>
      </c>
      <c r="L1820" s="1472"/>
      <c r="M1820" s="1473">
        <v>0</v>
      </c>
      <c r="N1820" s="1474">
        <v>1.5819166215843798</v>
      </c>
      <c r="O1820" s="1474"/>
    </row>
    <row r="1821" spans="11:15">
      <c r="K1821" s="1471">
        <v>43878</v>
      </c>
      <c r="L1821" s="1472" t="s">
        <v>2127</v>
      </c>
      <c r="M1821" s="1473">
        <v>1.6136999999999999E-2</v>
      </c>
      <c r="N1821" s="1474">
        <v>1.5821718954696049</v>
      </c>
      <c r="O1821" s="1474"/>
    </row>
    <row r="1822" spans="11:15">
      <c r="K1822" s="1471">
        <v>43879</v>
      </c>
      <c r="L1822" s="1472" t="s">
        <v>2127</v>
      </c>
      <c r="M1822" s="1473">
        <v>1.6136999999999999E-2</v>
      </c>
      <c r="N1822" s="1474">
        <v>1.582427210548377</v>
      </c>
      <c r="O1822" s="1474"/>
    </row>
    <row r="1823" spans="11:15">
      <c r="K1823" s="1471">
        <v>43880</v>
      </c>
      <c r="L1823" s="1472" t="s">
        <v>2127</v>
      </c>
      <c r="M1823" s="1473">
        <v>1.6136999999999999E-2</v>
      </c>
      <c r="N1823" s="1474">
        <v>1.5826825668273432</v>
      </c>
      <c r="O1823" s="1474"/>
    </row>
    <row r="1824" spans="11:15">
      <c r="K1824" s="1471">
        <v>43881</v>
      </c>
      <c r="L1824" s="1472" t="s">
        <v>2127</v>
      </c>
      <c r="M1824" s="1473">
        <v>1.6136999999999999E-2</v>
      </c>
      <c r="N1824" s="1474">
        <v>1.5829379643131523</v>
      </c>
      <c r="O1824" s="1474"/>
    </row>
    <row r="1825" spans="11:15">
      <c r="K1825" s="1471">
        <v>43882</v>
      </c>
      <c r="L1825" s="1472" t="s">
        <v>2127</v>
      </c>
      <c r="M1825" s="1473">
        <v>1.6136999999999999E-2</v>
      </c>
      <c r="N1825" s="1474">
        <v>1.5831934030124535</v>
      </c>
      <c r="O1825" s="1474"/>
    </row>
    <row r="1826" spans="11:15">
      <c r="K1826" s="1471">
        <v>43883</v>
      </c>
      <c r="L1826" s="1472"/>
      <c r="M1826" s="1473">
        <v>0</v>
      </c>
      <c r="N1826" s="1474">
        <v>1.5831934030124535</v>
      </c>
      <c r="O1826" s="1474"/>
    </row>
    <row r="1827" spans="11:15">
      <c r="K1827" s="1471">
        <v>43884</v>
      </c>
      <c r="L1827" s="1472"/>
      <c r="M1827" s="1473">
        <v>0</v>
      </c>
      <c r="N1827" s="1474">
        <v>1.5831934030124535</v>
      </c>
      <c r="O1827" s="1474"/>
    </row>
    <row r="1828" spans="11:15">
      <c r="K1828" s="1471">
        <v>43885</v>
      </c>
      <c r="L1828" s="1472"/>
      <c r="M1828" s="1473">
        <v>0</v>
      </c>
      <c r="N1828" s="1474">
        <v>1.5831934030124535</v>
      </c>
      <c r="O1828" s="1474"/>
    </row>
    <row r="1829" spans="11:15">
      <c r="K1829" s="1471">
        <v>43886</v>
      </c>
      <c r="L1829" s="1472"/>
      <c r="M1829" s="1473">
        <v>0</v>
      </c>
      <c r="N1829" s="1474">
        <v>1.5831934030124535</v>
      </c>
      <c r="O1829" s="1474"/>
    </row>
    <row r="1830" spans="11:15">
      <c r="K1830" s="1471">
        <v>43887</v>
      </c>
      <c r="L1830" s="1472" t="s">
        <v>2127</v>
      </c>
      <c r="M1830" s="1473">
        <v>1.6136999999999999E-2</v>
      </c>
      <c r="N1830" s="1474">
        <v>1.5834488829318978</v>
      </c>
      <c r="O1830" s="1474"/>
    </row>
    <row r="1831" spans="11:15">
      <c r="K1831" s="1471">
        <v>43888</v>
      </c>
      <c r="L1831" s="1472" t="s">
        <v>2127</v>
      </c>
      <c r="M1831" s="1473">
        <v>1.6136999999999999E-2</v>
      </c>
      <c r="N1831" s="1474">
        <v>1.5837044040781365</v>
      </c>
      <c r="O1831" s="1474"/>
    </row>
    <row r="1832" spans="11:15">
      <c r="K1832" s="1471">
        <v>43889</v>
      </c>
      <c r="L1832" s="1472" t="s">
        <v>2127</v>
      </c>
      <c r="M1832" s="1473">
        <v>1.6136999999999999E-2</v>
      </c>
      <c r="N1832" s="1474">
        <v>1.5839599664578228</v>
      </c>
      <c r="O1832" s="1474"/>
    </row>
    <row r="1833" spans="11:15">
      <c r="K1833" s="1471">
        <v>43890</v>
      </c>
      <c r="L1833" s="1472"/>
      <c r="M1833" s="1473">
        <v>0</v>
      </c>
      <c r="N1833" s="1474">
        <v>1.5839599664578228</v>
      </c>
      <c r="O1833" s="1474"/>
    </row>
    <row r="1834" spans="11:15">
      <c r="K1834" s="1471">
        <v>43891</v>
      </c>
      <c r="L1834" s="1472"/>
      <c r="M1834" s="1473">
        <v>0</v>
      </c>
      <c r="N1834" s="1474">
        <v>1.5839599664578228</v>
      </c>
      <c r="O1834" s="1474"/>
    </row>
    <row r="1835" spans="11:15">
      <c r="K1835" s="1471">
        <v>43892</v>
      </c>
      <c r="L1835" s="1472" t="s">
        <v>2127</v>
      </c>
      <c r="M1835" s="1473">
        <v>1.6136999999999999E-2</v>
      </c>
      <c r="N1835" s="1474">
        <v>1.5842155700776102</v>
      </c>
      <c r="O1835" s="1474"/>
    </row>
    <row r="1836" spans="11:15">
      <c r="K1836" s="1471">
        <v>43893</v>
      </c>
      <c r="L1836" s="1472" t="s">
        <v>2127</v>
      </c>
      <c r="M1836" s="1473">
        <v>1.6136999999999999E-2</v>
      </c>
      <c r="N1836" s="1474">
        <v>1.5844712149441535</v>
      </c>
      <c r="O1836" s="1474"/>
    </row>
    <row r="1837" spans="11:15">
      <c r="K1837" s="1471">
        <v>43894</v>
      </c>
      <c r="L1837" s="1472" t="s">
        <v>2127</v>
      </c>
      <c r="M1837" s="1473">
        <v>1.6136999999999999E-2</v>
      </c>
      <c r="N1837" s="1474">
        <v>1.5847269010641092</v>
      </c>
      <c r="O1837" s="1474"/>
    </row>
    <row r="1838" spans="11:15">
      <c r="K1838" s="1471">
        <v>43895</v>
      </c>
      <c r="L1838" s="1472" t="s">
        <v>2127</v>
      </c>
      <c r="M1838" s="1473">
        <v>1.6136999999999999E-2</v>
      </c>
      <c r="N1838" s="1474">
        <v>1.584982628444134</v>
      </c>
      <c r="O1838" s="1474"/>
    </row>
    <row r="1839" spans="11:15">
      <c r="K1839" s="1471">
        <v>43896</v>
      </c>
      <c r="L1839" s="1472" t="s">
        <v>2127</v>
      </c>
      <c r="M1839" s="1473">
        <v>1.6136999999999999E-2</v>
      </c>
      <c r="N1839" s="1474">
        <v>1.5852383970908861</v>
      </c>
      <c r="O1839" s="1474"/>
    </row>
    <row r="1840" spans="11:15">
      <c r="K1840" s="1471">
        <v>43897</v>
      </c>
      <c r="L1840" s="1472"/>
      <c r="M1840" s="1473">
        <v>0</v>
      </c>
      <c r="N1840" s="1474">
        <v>1.5852383970908861</v>
      </c>
      <c r="O1840" s="1474"/>
    </row>
    <row r="1841" spans="11:15">
      <c r="K1841" s="1471">
        <v>43898</v>
      </c>
      <c r="L1841" s="1472"/>
      <c r="M1841" s="1473">
        <v>0</v>
      </c>
      <c r="N1841" s="1474">
        <v>1.5852383970908861</v>
      </c>
      <c r="O1841" s="1474"/>
    </row>
    <row r="1842" spans="11:15">
      <c r="K1842" s="1471">
        <v>43899</v>
      </c>
      <c r="L1842" s="1472" t="s">
        <v>2127</v>
      </c>
      <c r="M1842" s="1473">
        <v>1.6136999999999999E-2</v>
      </c>
      <c r="N1842" s="1474">
        <v>1.5854942070110247</v>
      </c>
      <c r="O1842" s="1474"/>
    </row>
    <row r="1843" spans="11:15">
      <c r="K1843" s="1471">
        <v>43900</v>
      </c>
      <c r="L1843" s="1472" t="s">
        <v>2127</v>
      </c>
      <c r="M1843" s="1473">
        <v>1.6136999999999999E-2</v>
      </c>
      <c r="N1843" s="1474">
        <v>1.5857500582112101</v>
      </c>
      <c r="O1843" s="1474"/>
    </row>
    <row r="1844" spans="11:15">
      <c r="K1844" s="1471">
        <v>43901</v>
      </c>
      <c r="L1844" s="1472" t="s">
        <v>2127</v>
      </c>
      <c r="M1844" s="1473">
        <v>1.6136999999999999E-2</v>
      </c>
      <c r="N1844" s="1474">
        <v>1.5860059506981037</v>
      </c>
      <c r="O1844" s="1474"/>
    </row>
    <row r="1845" spans="11:15">
      <c r="K1845" s="1471">
        <v>43902</v>
      </c>
      <c r="L1845" s="1472" t="s">
        <v>2127</v>
      </c>
      <c r="M1845" s="1473">
        <v>1.6136999999999999E-2</v>
      </c>
      <c r="N1845" s="1474">
        <v>1.586261884478368</v>
      </c>
      <c r="O1845" s="1474"/>
    </row>
    <row r="1846" spans="11:15">
      <c r="K1846" s="1471">
        <v>43903</v>
      </c>
      <c r="L1846" s="1472" t="s">
        <v>2127</v>
      </c>
      <c r="M1846" s="1473">
        <v>1.6136999999999999E-2</v>
      </c>
      <c r="N1846" s="1474">
        <v>1.5865178595586664</v>
      </c>
      <c r="O1846" s="1474"/>
    </row>
    <row r="1847" spans="11:15">
      <c r="K1847" s="1471">
        <v>43904</v>
      </c>
      <c r="L1847" s="1472"/>
      <c r="M1847" s="1473">
        <v>0</v>
      </c>
      <c r="N1847" s="1474">
        <v>1.5865178595586664</v>
      </c>
      <c r="O1847" s="1474"/>
    </row>
    <row r="1848" spans="11:15">
      <c r="K1848" s="1471">
        <v>43905</v>
      </c>
      <c r="L1848" s="1472"/>
      <c r="M1848" s="1473">
        <v>0</v>
      </c>
      <c r="N1848" s="1474">
        <v>1.5865178595586664</v>
      </c>
      <c r="O1848" s="1474"/>
    </row>
    <row r="1849" spans="11:15">
      <c r="K1849" s="1471">
        <v>43906</v>
      </c>
      <c r="L1849" s="1472" t="s">
        <v>2127</v>
      </c>
      <c r="M1849" s="1473">
        <v>1.6136999999999999E-2</v>
      </c>
      <c r="N1849" s="1474">
        <v>1.5867738759456635</v>
      </c>
      <c r="O1849" s="1474"/>
    </row>
    <row r="1850" spans="11:15">
      <c r="K1850" s="1471">
        <v>43907</v>
      </c>
      <c r="L1850" s="1472" t="s">
        <v>2127</v>
      </c>
      <c r="M1850" s="1473">
        <v>1.6136999999999999E-2</v>
      </c>
      <c r="N1850" s="1474">
        <v>1.587029933646025</v>
      </c>
      <c r="O1850" s="1474"/>
    </row>
    <row r="1851" spans="11:15">
      <c r="K1851" s="1471">
        <v>43908</v>
      </c>
      <c r="L1851" s="1472" t="s">
        <v>2127</v>
      </c>
      <c r="M1851" s="1473">
        <v>1.6136999999999999E-2</v>
      </c>
      <c r="N1851" s="1474">
        <v>1.5872860326664175</v>
      </c>
      <c r="O1851" s="1474"/>
    </row>
    <row r="1852" spans="11:15">
      <c r="K1852" s="1471">
        <v>43909</v>
      </c>
      <c r="L1852" s="1472" t="s">
        <v>2127</v>
      </c>
      <c r="M1852" s="1473">
        <v>1.4227E-2</v>
      </c>
      <c r="N1852" s="1474">
        <v>1.587511855850285</v>
      </c>
      <c r="O1852" s="1474"/>
    </row>
    <row r="1853" spans="11:15">
      <c r="K1853" s="1471">
        <v>43910</v>
      </c>
      <c r="L1853" s="1472" t="s">
        <v>2127</v>
      </c>
      <c r="M1853" s="1473">
        <v>1.4227E-2</v>
      </c>
      <c r="N1853" s="1474">
        <v>1.5877377111620168</v>
      </c>
      <c r="O1853" s="1474"/>
    </row>
    <row r="1854" spans="11:15">
      <c r="K1854" s="1471">
        <v>43911</v>
      </c>
      <c r="L1854" s="1472"/>
      <c r="M1854" s="1473">
        <v>0</v>
      </c>
      <c r="N1854" s="1474">
        <v>1.5877377111620168</v>
      </c>
      <c r="O1854" s="1474"/>
    </row>
    <row r="1855" spans="11:15">
      <c r="K1855" s="1471">
        <v>43912</v>
      </c>
      <c r="L1855" s="1472"/>
      <c r="M1855" s="1473">
        <v>0</v>
      </c>
      <c r="N1855" s="1474">
        <v>1.5877377111620168</v>
      </c>
      <c r="O1855" s="1474"/>
    </row>
    <row r="1856" spans="11:15">
      <c r="K1856" s="1471">
        <v>43913</v>
      </c>
      <c r="L1856" s="1472" t="s">
        <v>2127</v>
      </c>
      <c r="M1856" s="1473">
        <v>1.4227E-2</v>
      </c>
      <c r="N1856" s="1474">
        <v>1.5879635986061837</v>
      </c>
      <c r="O1856" s="1474"/>
    </row>
    <row r="1857" spans="11:15">
      <c r="K1857" s="1471">
        <v>43914</v>
      </c>
      <c r="L1857" s="1472" t="s">
        <v>2127</v>
      </c>
      <c r="M1857" s="1473">
        <v>1.4227E-2</v>
      </c>
      <c r="N1857" s="1474">
        <v>1.5881895181873575</v>
      </c>
      <c r="O1857" s="1474"/>
    </row>
    <row r="1858" spans="11:15">
      <c r="K1858" s="1471">
        <v>43915</v>
      </c>
      <c r="L1858" s="1472" t="s">
        <v>2127</v>
      </c>
      <c r="M1858" s="1473">
        <v>1.4227E-2</v>
      </c>
      <c r="N1858" s="1474">
        <v>1.5884154699101101</v>
      </c>
      <c r="O1858" s="1474"/>
    </row>
    <row r="1859" spans="11:15">
      <c r="K1859" s="1471">
        <v>43916</v>
      </c>
      <c r="L1859" s="1472" t="s">
        <v>2127</v>
      </c>
      <c r="M1859" s="1473">
        <v>1.4227E-2</v>
      </c>
      <c r="N1859" s="1474">
        <v>1.5886414537790141</v>
      </c>
      <c r="O1859" s="1474"/>
    </row>
    <row r="1860" spans="11:15">
      <c r="K1860" s="1471">
        <v>43917</v>
      </c>
      <c r="L1860" s="1472" t="s">
        <v>2127</v>
      </c>
      <c r="M1860" s="1473">
        <v>1.4227E-2</v>
      </c>
      <c r="N1860" s="1474">
        <v>1.5888674697986434</v>
      </c>
      <c r="O1860" s="1474"/>
    </row>
    <row r="1861" spans="11:15">
      <c r="K1861" s="1471">
        <v>43918</v>
      </c>
      <c r="L1861" s="1472"/>
      <c r="M1861" s="1473">
        <v>0</v>
      </c>
      <c r="N1861" s="1474">
        <v>1.5888674697986434</v>
      </c>
      <c r="O1861" s="1474"/>
    </row>
    <row r="1862" spans="11:15">
      <c r="K1862" s="1471">
        <v>43919</v>
      </c>
      <c r="L1862" s="1472"/>
      <c r="M1862" s="1473">
        <v>0</v>
      </c>
      <c r="N1862" s="1474">
        <v>1.5888674697986434</v>
      </c>
      <c r="O1862" s="1474"/>
    </row>
    <row r="1863" spans="11:15">
      <c r="K1863" s="1471">
        <v>43920</v>
      </c>
      <c r="L1863" s="1472" t="s">
        <v>2127</v>
      </c>
      <c r="M1863" s="1473">
        <v>1.4227E-2</v>
      </c>
      <c r="N1863" s="1474">
        <v>1.5890935179735717</v>
      </c>
      <c r="O1863" s="1474"/>
    </row>
    <row r="1864" spans="11:15">
      <c r="K1864" s="1471">
        <v>43921</v>
      </c>
      <c r="L1864" s="1472" t="s">
        <v>2127</v>
      </c>
      <c r="M1864" s="1473">
        <v>1.4227E-2</v>
      </c>
      <c r="N1864" s="1474">
        <v>1.5893195983083739</v>
      </c>
      <c r="O1864" s="1474"/>
    </row>
    <row r="1865" spans="11:15">
      <c r="K1865" s="1471">
        <v>43922</v>
      </c>
      <c r="L1865" s="1472" t="s">
        <v>2127</v>
      </c>
      <c r="M1865" s="1473">
        <v>1.4227E-2</v>
      </c>
      <c r="N1865" s="1474">
        <v>1.5895457108076252</v>
      </c>
      <c r="O1865" s="1474"/>
    </row>
    <row r="1866" spans="11:15">
      <c r="K1866" s="1471">
        <v>43923</v>
      </c>
      <c r="L1866" s="1472" t="s">
        <v>2127</v>
      </c>
      <c r="M1866" s="1473">
        <v>1.4227E-2</v>
      </c>
      <c r="N1866" s="1474">
        <v>1.5897718554759017</v>
      </c>
      <c r="O1866" s="1474"/>
    </row>
    <row r="1867" spans="11:15">
      <c r="K1867" s="1471">
        <v>43924</v>
      </c>
      <c r="L1867" s="1472" t="s">
        <v>2127</v>
      </c>
      <c r="M1867" s="1473">
        <v>1.4227E-2</v>
      </c>
      <c r="N1867" s="1474">
        <v>1.5899980323177803</v>
      </c>
      <c r="O1867" s="1474"/>
    </row>
    <row r="1868" spans="11:15">
      <c r="K1868" s="1471">
        <v>43925</v>
      </c>
      <c r="L1868" s="1472"/>
      <c r="M1868" s="1473">
        <v>0</v>
      </c>
      <c r="N1868" s="1474">
        <v>1.5899980323177803</v>
      </c>
      <c r="O1868" s="1474"/>
    </row>
    <row r="1869" spans="11:15">
      <c r="K1869" s="1471">
        <v>43926</v>
      </c>
      <c r="L1869" s="1472"/>
      <c r="M1869" s="1473">
        <v>0</v>
      </c>
      <c r="N1869" s="1474">
        <v>1.5899980323177803</v>
      </c>
      <c r="O1869" s="1474"/>
    </row>
    <row r="1870" spans="11:15">
      <c r="K1870" s="1471">
        <v>43927</v>
      </c>
      <c r="L1870" s="1472" t="s">
        <v>2127</v>
      </c>
      <c r="M1870" s="1473">
        <v>1.4227E-2</v>
      </c>
      <c r="N1870" s="1474">
        <v>1.590224241337838</v>
      </c>
      <c r="O1870" s="1474"/>
    </row>
    <row r="1871" spans="11:15">
      <c r="K1871" s="1471">
        <v>43928</v>
      </c>
      <c r="L1871" s="1472" t="s">
        <v>2127</v>
      </c>
      <c r="M1871" s="1473">
        <v>1.4227E-2</v>
      </c>
      <c r="N1871" s="1474">
        <v>1.5904504825406531</v>
      </c>
      <c r="O1871" s="1474"/>
    </row>
    <row r="1872" spans="11:15">
      <c r="K1872" s="1471">
        <v>43929</v>
      </c>
      <c r="L1872" s="1472" t="s">
        <v>2127</v>
      </c>
      <c r="M1872" s="1473">
        <v>1.4227E-2</v>
      </c>
      <c r="N1872" s="1474">
        <v>1.5906767559308042</v>
      </c>
      <c r="O1872" s="1474"/>
    </row>
    <row r="1873" spans="11:15">
      <c r="K1873" s="1471">
        <v>43930</v>
      </c>
      <c r="L1873" s="1472" t="s">
        <v>2127</v>
      </c>
      <c r="M1873" s="1473">
        <v>1.4227E-2</v>
      </c>
      <c r="N1873" s="1474">
        <v>1.5909030615128705</v>
      </c>
      <c r="O1873" s="1474"/>
    </row>
    <row r="1874" spans="11:15">
      <c r="K1874" s="1471">
        <v>43931</v>
      </c>
      <c r="L1874" s="1472"/>
      <c r="M1874" s="1473">
        <v>0</v>
      </c>
      <c r="N1874" s="1474">
        <v>1.5909030615128705</v>
      </c>
      <c r="O1874" s="1474"/>
    </row>
    <row r="1875" spans="11:15">
      <c r="K1875" s="1471">
        <v>43932</v>
      </c>
      <c r="L1875" s="1472"/>
      <c r="M1875" s="1473">
        <v>0</v>
      </c>
      <c r="N1875" s="1474">
        <v>1.5909030615128705</v>
      </c>
      <c r="O1875" s="1474"/>
    </row>
    <row r="1876" spans="11:15">
      <c r="K1876" s="1471">
        <v>43933</v>
      </c>
      <c r="L1876" s="1472"/>
      <c r="M1876" s="1473">
        <v>0</v>
      </c>
      <c r="N1876" s="1474">
        <v>1.5909030615128705</v>
      </c>
      <c r="O1876" s="1474"/>
    </row>
    <row r="1877" spans="11:15">
      <c r="K1877" s="1471">
        <v>43934</v>
      </c>
      <c r="L1877" s="1472" t="s">
        <v>2127</v>
      </c>
      <c r="M1877" s="1473">
        <v>1.4227E-2</v>
      </c>
      <c r="N1877" s="1474">
        <v>1.5911293992914319</v>
      </c>
      <c r="O1877" s="1474"/>
    </row>
    <row r="1878" spans="11:15">
      <c r="K1878" s="1471">
        <v>43935</v>
      </c>
      <c r="L1878" s="1472" t="s">
        <v>2127</v>
      </c>
      <c r="M1878" s="1473">
        <v>1.4227E-2</v>
      </c>
      <c r="N1878" s="1474">
        <v>1.5913557692710691</v>
      </c>
      <c r="O1878" s="1474"/>
    </row>
    <row r="1879" spans="11:15">
      <c r="K1879" s="1471">
        <v>43936</v>
      </c>
      <c r="L1879" s="1472" t="s">
        <v>2127</v>
      </c>
      <c r="M1879" s="1473">
        <v>1.4227E-2</v>
      </c>
      <c r="N1879" s="1474">
        <v>1.5915821714563634</v>
      </c>
      <c r="O1879" s="1474"/>
    </row>
    <row r="1880" spans="11:15">
      <c r="K1880" s="1471">
        <v>43937</v>
      </c>
      <c r="L1880" s="1472" t="s">
        <v>2127</v>
      </c>
      <c r="M1880" s="1473">
        <v>1.4227E-2</v>
      </c>
      <c r="N1880" s="1474">
        <v>1.5918086058518965</v>
      </c>
      <c r="O1880" s="1474"/>
    </row>
    <row r="1881" spans="11:15">
      <c r="K1881" s="1471">
        <v>43938</v>
      </c>
      <c r="L1881" s="1472" t="s">
        <v>2127</v>
      </c>
      <c r="M1881" s="1473">
        <v>1.4227E-2</v>
      </c>
      <c r="N1881" s="1474">
        <v>1.5920350724622512</v>
      </c>
      <c r="O1881" s="1474"/>
    </row>
    <row r="1882" spans="11:15">
      <c r="K1882" s="1471">
        <v>43939</v>
      </c>
      <c r="L1882" s="1472"/>
      <c r="M1882" s="1473">
        <v>0</v>
      </c>
      <c r="N1882" s="1474">
        <v>1.5920350724622512</v>
      </c>
      <c r="O1882" s="1474"/>
    </row>
    <row r="1883" spans="11:15">
      <c r="K1883" s="1471">
        <v>43940</v>
      </c>
      <c r="L1883" s="1472"/>
      <c r="M1883" s="1473">
        <v>0</v>
      </c>
      <c r="N1883" s="1474">
        <v>1.5920350724622512</v>
      </c>
      <c r="O1883" s="1474"/>
    </row>
    <row r="1884" spans="11:15">
      <c r="K1884" s="1471">
        <v>43941</v>
      </c>
      <c r="L1884" s="1472" t="s">
        <v>2127</v>
      </c>
      <c r="M1884" s="1473">
        <v>1.4227E-2</v>
      </c>
      <c r="N1884" s="1474">
        <v>1.5922615712920103</v>
      </c>
      <c r="O1884" s="1474"/>
    </row>
    <row r="1885" spans="11:15">
      <c r="K1885" s="1471">
        <v>43942</v>
      </c>
      <c r="L1885" s="1472"/>
      <c r="M1885" s="1473">
        <v>0</v>
      </c>
      <c r="N1885" s="1474">
        <v>1.5922615712920103</v>
      </c>
      <c r="O1885" s="1474"/>
    </row>
    <row r="1886" spans="11:15">
      <c r="K1886" s="1471">
        <v>43943</v>
      </c>
      <c r="L1886" s="1472" t="s">
        <v>2127</v>
      </c>
      <c r="M1886" s="1473">
        <v>1.4227E-2</v>
      </c>
      <c r="N1886" s="1474">
        <v>1.592488102345758</v>
      </c>
      <c r="O1886" s="1474"/>
    </row>
    <row r="1887" spans="11:15">
      <c r="K1887" s="1471">
        <v>43944</v>
      </c>
      <c r="L1887" s="1472" t="s">
        <v>2127</v>
      </c>
      <c r="M1887" s="1473">
        <v>1.4227E-2</v>
      </c>
      <c r="N1887" s="1474">
        <v>1.5927146656280786</v>
      </c>
      <c r="O1887" s="1474"/>
    </row>
    <row r="1888" spans="11:15">
      <c r="K1888" s="1471">
        <v>43945</v>
      </c>
      <c r="L1888" s="1472" t="s">
        <v>2127</v>
      </c>
      <c r="M1888" s="1473">
        <v>1.4227E-2</v>
      </c>
      <c r="N1888" s="1474">
        <v>1.5929412611435576</v>
      </c>
      <c r="O1888" s="1474"/>
    </row>
    <row r="1889" spans="11:15">
      <c r="K1889" s="1471">
        <v>43946</v>
      </c>
      <c r="L1889" s="1472"/>
      <c r="M1889" s="1473">
        <v>0</v>
      </c>
      <c r="N1889" s="1474">
        <v>1.5929412611435576</v>
      </c>
      <c r="O1889" s="1474"/>
    </row>
    <row r="1890" spans="11:15">
      <c r="K1890" s="1471">
        <v>43947</v>
      </c>
      <c r="L1890" s="1472"/>
      <c r="M1890" s="1473">
        <v>0</v>
      </c>
      <c r="N1890" s="1474">
        <v>1.5929412611435576</v>
      </c>
      <c r="O1890" s="1474"/>
    </row>
    <row r="1891" spans="11:15">
      <c r="K1891" s="1471">
        <v>43948</v>
      </c>
      <c r="L1891" s="1472" t="s">
        <v>2127</v>
      </c>
      <c r="M1891" s="1473">
        <v>1.4227E-2</v>
      </c>
      <c r="N1891" s="1474">
        <v>1.5931678888967804</v>
      </c>
      <c r="O1891" s="1474"/>
    </row>
    <row r="1892" spans="11:15">
      <c r="K1892" s="1471">
        <v>43949</v>
      </c>
      <c r="L1892" s="1472" t="s">
        <v>2127</v>
      </c>
      <c r="M1892" s="1473">
        <v>1.4227E-2</v>
      </c>
      <c r="N1892" s="1474">
        <v>1.5933945488923338</v>
      </c>
      <c r="O1892" s="1474"/>
    </row>
    <row r="1893" spans="11:15">
      <c r="K1893" s="1471">
        <v>43950</v>
      </c>
      <c r="L1893" s="1472" t="s">
        <v>2127</v>
      </c>
      <c r="M1893" s="1473">
        <v>1.4227E-2</v>
      </c>
      <c r="N1893" s="1474">
        <v>1.5936212411348047</v>
      </c>
      <c r="O1893" s="1474"/>
    </row>
    <row r="1894" spans="11:15">
      <c r="K1894" s="1471">
        <v>43951</v>
      </c>
      <c r="L1894" s="1472" t="s">
        <v>2127</v>
      </c>
      <c r="M1894" s="1473">
        <v>1.4227E-2</v>
      </c>
      <c r="N1894" s="1474">
        <v>1.5938479656287809</v>
      </c>
      <c r="O1894" s="1474"/>
    </row>
    <row r="1895" spans="11:15">
      <c r="K1895" s="1471">
        <v>43952</v>
      </c>
      <c r="L1895" s="1472"/>
      <c r="M1895" s="1473">
        <v>0</v>
      </c>
      <c r="N1895" s="1474">
        <v>1.5938479656287809</v>
      </c>
      <c r="O1895" s="1474"/>
    </row>
    <row r="1896" spans="11:15">
      <c r="K1896" s="1471">
        <v>43953</v>
      </c>
      <c r="L1896" s="1472"/>
      <c r="M1896" s="1473">
        <v>0</v>
      </c>
      <c r="N1896" s="1474">
        <v>1.5938479656287809</v>
      </c>
      <c r="O1896" s="1474"/>
    </row>
    <row r="1897" spans="11:15">
      <c r="K1897" s="1471">
        <v>43954</v>
      </c>
      <c r="L1897" s="1472"/>
      <c r="M1897" s="1473">
        <v>0</v>
      </c>
      <c r="N1897" s="1474">
        <v>1.5938479656287809</v>
      </c>
      <c r="O1897" s="1474"/>
    </row>
    <row r="1898" spans="11:15">
      <c r="K1898" s="1471">
        <v>43955</v>
      </c>
      <c r="L1898" s="1472" t="s">
        <v>2127</v>
      </c>
      <c r="M1898" s="1473">
        <v>1.4227E-2</v>
      </c>
      <c r="N1898" s="1474">
        <v>1.594074722378851</v>
      </c>
      <c r="O1898" s="1474"/>
    </row>
    <row r="1899" spans="11:15">
      <c r="K1899" s="1471">
        <v>43956</v>
      </c>
      <c r="L1899" s="1472" t="s">
        <v>2127</v>
      </c>
      <c r="M1899" s="1473">
        <v>1.4227E-2</v>
      </c>
      <c r="N1899" s="1474">
        <v>1.5943015113896037</v>
      </c>
      <c r="O1899" s="1474"/>
    </row>
    <row r="1900" spans="11:15">
      <c r="K1900" s="1471">
        <v>43957</v>
      </c>
      <c r="L1900" s="1472" t="s">
        <v>2127</v>
      </c>
      <c r="M1900" s="1473">
        <v>1.4227E-2</v>
      </c>
      <c r="N1900" s="1474">
        <v>1.5945283326656292</v>
      </c>
      <c r="O1900" s="1474"/>
    </row>
    <row r="1901" spans="11:15">
      <c r="K1901" s="1471">
        <v>43958</v>
      </c>
      <c r="L1901" s="1472" t="s">
        <v>2127</v>
      </c>
      <c r="M1901" s="1473">
        <v>1.1344999999999999E-2</v>
      </c>
      <c r="N1901" s="1474">
        <v>1.59470923190497</v>
      </c>
      <c r="O1901" s="1474"/>
    </row>
    <row r="1902" spans="11:15">
      <c r="K1902" s="1471">
        <v>43959</v>
      </c>
      <c r="L1902" s="1472" t="s">
        <v>2127</v>
      </c>
      <c r="M1902" s="1473">
        <v>1.1344999999999999E-2</v>
      </c>
      <c r="N1902" s="1474">
        <v>1.5948901516673295</v>
      </c>
      <c r="O1902" s="1474"/>
    </row>
    <row r="1903" spans="11:15">
      <c r="K1903" s="1471">
        <v>43960</v>
      </c>
      <c r="L1903" s="1472"/>
      <c r="M1903" s="1473">
        <v>0</v>
      </c>
      <c r="N1903" s="1474">
        <v>1.5948901516673295</v>
      </c>
      <c r="O1903" s="1474"/>
    </row>
    <row r="1904" spans="11:15">
      <c r="K1904" s="1471">
        <v>43961</v>
      </c>
      <c r="L1904" s="1472"/>
      <c r="M1904" s="1473">
        <v>0</v>
      </c>
      <c r="N1904" s="1474">
        <v>1.5948901516673295</v>
      </c>
      <c r="O1904" s="1474"/>
    </row>
    <row r="1905" spans="11:15">
      <c r="K1905" s="1471">
        <v>43962</v>
      </c>
      <c r="L1905" s="1472" t="s">
        <v>2127</v>
      </c>
      <c r="M1905" s="1473">
        <v>1.1344999999999999E-2</v>
      </c>
      <c r="N1905" s="1474">
        <v>1.5950710919550362</v>
      </c>
      <c r="O1905" s="1474"/>
    </row>
    <row r="1906" spans="11:15">
      <c r="K1906" s="1471">
        <v>43963</v>
      </c>
      <c r="L1906" s="1472" t="s">
        <v>2127</v>
      </c>
      <c r="M1906" s="1473">
        <v>1.1344999999999999E-2</v>
      </c>
      <c r="N1906" s="1474">
        <v>1.5952520527704184</v>
      </c>
      <c r="O1906" s="1474"/>
    </row>
    <row r="1907" spans="11:15">
      <c r="K1907" s="1471">
        <v>43964</v>
      </c>
      <c r="L1907" s="1472" t="s">
        <v>2127</v>
      </c>
      <c r="M1907" s="1473">
        <v>1.1344999999999999E-2</v>
      </c>
      <c r="N1907" s="1474">
        <v>1.5954330341158052</v>
      </c>
      <c r="O1907" s="1474"/>
    </row>
    <row r="1908" spans="11:15">
      <c r="K1908" s="1471">
        <v>43965</v>
      </c>
      <c r="L1908" s="1472" t="s">
        <v>2127</v>
      </c>
      <c r="M1908" s="1473">
        <v>1.1344999999999999E-2</v>
      </c>
      <c r="N1908" s="1474">
        <v>1.5956140359935256</v>
      </c>
      <c r="O1908" s="1474"/>
    </row>
    <row r="1909" spans="11:15">
      <c r="K1909" s="1471">
        <v>43966</v>
      </c>
      <c r="L1909" s="1472" t="s">
        <v>2127</v>
      </c>
      <c r="M1909" s="1473">
        <v>1.1344999999999999E-2</v>
      </c>
      <c r="N1909" s="1474">
        <v>1.5957950584059091</v>
      </c>
      <c r="O1909" s="1474"/>
    </row>
    <row r="1910" spans="11:15">
      <c r="K1910" s="1471">
        <v>43967</v>
      </c>
      <c r="L1910" s="1472"/>
      <c r="M1910" s="1473">
        <v>0</v>
      </c>
      <c r="N1910" s="1474">
        <v>1.5957950584059091</v>
      </c>
      <c r="O1910" s="1474"/>
    </row>
    <row r="1911" spans="11:15">
      <c r="K1911" s="1471">
        <v>43968</v>
      </c>
      <c r="L1911" s="1472"/>
      <c r="M1911" s="1473">
        <v>0</v>
      </c>
      <c r="N1911" s="1474">
        <v>1.5957950584059091</v>
      </c>
      <c r="O1911" s="1474"/>
    </row>
    <row r="1912" spans="11:15">
      <c r="K1912" s="1471">
        <v>43969</v>
      </c>
      <c r="L1912" s="1472" t="s">
        <v>2127</v>
      </c>
      <c r="M1912" s="1473">
        <v>1.1344999999999999E-2</v>
      </c>
      <c r="N1912" s="1474">
        <v>1.5959761013552851</v>
      </c>
      <c r="O1912" s="1474"/>
    </row>
    <row r="1913" spans="11:15">
      <c r="K1913" s="1471">
        <v>43970</v>
      </c>
      <c r="L1913" s="1472" t="s">
        <v>2127</v>
      </c>
      <c r="M1913" s="1473">
        <v>1.1344999999999999E-2</v>
      </c>
      <c r="N1913" s="1474">
        <v>1.5961571648439838</v>
      </c>
      <c r="O1913" s="1474"/>
    </row>
    <row r="1914" spans="11:15">
      <c r="K1914" s="1471">
        <v>43971</v>
      </c>
      <c r="L1914" s="1472" t="s">
        <v>2127</v>
      </c>
      <c r="M1914" s="1473">
        <v>1.1344999999999999E-2</v>
      </c>
      <c r="N1914" s="1474">
        <v>1.5963382488743354</v>
      </c>
      <c r="O1914" s="1474"/>
    </row>
    <row r="1915" spans="11:15">
      <c r="K1915" s="1471">
        <v>43972</v>
      </c>
      <c r="L1915" s="1472" t="s">
        <v>2127</v>
      </c>
      <c r="M1915" s="1473">
        <v>1.1344999999999999E-2</v>
      </c>
      <c r="N1915" s="1474">
        <v>1.5965193534486701</v>
      </c>
      <c r="O1915" s="1474"/>
    </row>
    <row r="1916" spans="11:15">
      <c r="K1916" s="1471">
        <v>43973</v>
      </c>
      <c r="L1916" s="1472" t="s">
        <v>2127</v>
      </c>
      <c r="M1916" s="1473">
        <v>1.1344999999999999E-2</v>
      </c>
      <c r="N1916" s="1474">
        <v>1.5967004785693188</v>
      </c>
      <c r="O1916" s="1474"/>
    </row>
    <row r="1917" spans="11:15">
      <c r="K1917" s="1471">
        <v>43974</v>
      </c>
      <c r="L1917" s="1472"/>
      <c r="M1917" s="1473">
        <v>0</v>
      </c>
      <c r="N1917" s="1474">
        <v>1.5967004785693188</v>
      </c>
      <c r="O1917" s="1474"/>
    </row>
    <row r="1918" spans="11:15">
      <c r="K1918" s="1471">
        <v>43975</v>
      </c>
      <c r="L1918" s="1472"/>
      <c r="M1918" s="1473">
        <v>0</v>
      </c>
      <c r="N1918" s="1474">
        <v>1.5967004785693188</v>
      </c>
      <c r="O1918" s="1474"/>
    </row>
    <row r="1919" spans="11:15">
      <c r="K1919" s="1471">
        <v>43976</v>
      </c>
      <c r="L1919" s="1472" t="s">
        <v>2127</v>
      </c>
      <c r="M1919" s="1473">
        <v>1.1344999999999999E-2</v>
      </c>
      <c r="N1919" s="1474">
        <v>1.5968816242386126</v>
      </c>
      <c r="O1919" s="1474"/>
    </row>
    <row r="1920" spans="11:15">
      <c r="K1920" s="1471">
        <v>43977</v>
      </c>
      <c r="L1920" s="1472" t="s">
        <v>2127</v>
      </c>
      <c r="M1920" s="1473">
        <v>1.1344999999999999E-2</v>
      </c>
      <c r="N1920" s="1474">
        <v>1.5970627904588823</v>
      </c>
      <c r="O1920" s="1474"/>
    </row>
    <row r="1921" spans="11:15">
      <c r="K1921" s="1471">
        <v>43978</v>
      </c>
      <c r="L1921" s="1472" t="s">
        <v>2127</v>
      </c>
      <c r="M1921" s="1473">
        <v>1.1344999999999999E-2</v>
      </c>
      <c r="N1921" s="1474">
        <v>1.5972439772324598</v>
      </c>
      <c r="O1921" s="1474"/>
    </row>
    <row r="1922" spans="11:15">
      <c r="K1922" s="1471">
        <v>43979</v>
      </c>
      <c r="L1922" s="1472" t="s">
        <v>2127</v>
      </c>
      <c r="M1922" s="1473">
        <v>1.1344999999999999E-2</v>
      </c>
      <c r="N1922" s="1474">
        <v>1.5974251845616767</v>
      </c>
      <c r="O1922" s="1474"/>
    </row>
    <row r="1923" spans="11:15">
      <c r="K1923" s="1471">
        <v>43980</v>
      </c>
      <c r="L1923" s="1472" t="s">
        <v>2127</v>
      </c>
      <c r="M1923" s="1473">
        <v>1.1344999999999999E-2</v>
      </c>
      <c r="N1923" s="1474">
        <v>1.5976064124488651</v>
      </c>
      <c r="O1923" s="1474"/>
    </row>
    <row r="1924" spans="11:15">
      <c r="K1924" s="1471">
        <v>43981</v>
      </c>
      <c r="L1924" s="1472"/>
      <c r="M1924" s="1473">
        <v>0</v>
      </c>
      <c r="N1924" s="1474">
        <v>1.5976064124488651</v>
      </c>
      <c r="O1924" s="1474"/>
    </row>
    <row r="1925" spans="11:15">
      <c r="K1925" s="1471">
        <v>43982</v>
      </c>
      <c r="L1925" s="1472"/>
      <c r="M1925" s="1473">
        <v>0</v>
      </c>
      <c r="N1925" s="1474">
        <v>1.5976064124488651</v>
      </c>
      <c r="O1925" s="1474"/>
    </row>
    <row r="1926" spans="11:15">
      <c r="K1926" s="1471">
        <v>43983</v>
      </c>
      <c r="L1926" s="1472" t="s">
        <v>2127</v>
      </c>
      <c r="M1926" s="1473">
        <v>1.1344999999999999E-2</v>
      </c>
      <c r="N1926" s="1474">
        <v>1.5977876608963575</v>
      </c>
      <c r="O1926" s="1474"/>
    </row>
    <row r="1927" spans="11:15">
      <c r="K1927" s="1471">
        <v>43984</v>
      </c>
      <c r="L1927" s="1472" t="s">
        <v>2127</v>
      </c>
      <c r="M1927" s="1473">
        <v>1.1344999999999999E-2</v>
      </c>
      <c r="N1927" s="1474">
        <v>1.5979689299064861</v>
      </c>
      <c r="O1927" s="1474"/>
    </row>
    <row r="1928" spans="11:15">
      <c r="K1928" s="1471">
        <v>43985</v>
      </c>
      <c r="L1928" s="1472" t="s">
        <v>2127</v>
      </c>
      <c r="M1928" s="1473">
        <v>1.1344999999999999E-2</v>
      </c>
      <c r="N1928" s="1474">
        <v>1.598150219481584</v>
      </c>
      <c r="O1928" s="1474"/>
    </row>
    <row r="1929" spans="11:15">
      <c r="K1929" s="1471">
        <v>43986</v>
      </c>
      <c r="L1929" s="1472" t="s">
        <v>2127</v>
      </c>
      <c r="M1929" s="1473">
        <v>1.1344999999999999E-2</v>
      </c>
      <c r="N1929" s="1474">
        <v>1.5983315296239842</v>
      </c>
      <c r="O1929" s="1474"/>
    </row>
    <row r="1930" spans="11:15">
      <c r="K1930" s="1471">
        <v>43987</v>
      </c>
      <c r="L1930" s="1472" t="s">
        <v>2127</v>
      </c>
      <c r="M1930" s="1473">
        <v>1.1344999999999999E-2</v>
      </c>
      <c r="N1930" s="1474">
        <v>1.5985128603360199</v>
      </c>
      <c r="O1930" s="1474"/>
    </row>
    <row r="1931" spans="11:15">
      <c r="K1931" s="1471">
        <v>43988</v>
      </c>
      <c r="L1931" s="1472"/>
      <c r="M1931" s="1473">
        <v>0</v>
      </c>
      <c r="N1931" s="1474">
        <v>1.5985128603360199</v>
      </c>
      <c r="O1931" s="1474"/>
    </row>
    <row r="1932" spans="11:15">
      <c r="K1932" s="1471">
        <v>43989</v>
      </c>
      <c r="L1932" s="1472"/>
      <c r="M1932" s="1473">
        <v>0</v>
      </c>
      <c r="N1932" s="1474">
        <v>1.5985128603360199</v>
      </c>
      <c r="O1932" s="1474"/>
    </row>
    <row r="1933" spans="11:15">
      <c r="K1933" s="1471">
        <v>43990</v>
      </c>
      <c r="L1933" s="1472" t="s">
        <v>2127</v>
      </c>
      <c r="M1933" s="1473">
        <v>1.1344999999999999E-2</v>
      </c>
      <c r="N1933" s="1474">
        <v>1.5986942116200249</v>
      </c>
      <c r="O1933" s="1474"/>
    </row>
    <row r="1934" spans="11:15">
      <c r="K1934" s="1471">
        <v>43991</v>
      </c>
      <c r="L1934" s="1472" t="s">
        <v>2127</v>
      </c>
      <c r="M1934" s="1473">
        <v>1.1344999999999999E-2</v>
      </c>
      <c r="N1934" s="1474">
        <v>1.598875583478333</v>
      </c>
      <c r="O1934" s="1474"/>
    </row>
    <row r="1935" spans="11:15">
      <c r="K1935" s="1471">
        <v>43992</v>
      </c>
      <c r="L1935" s="1472" t="s">
        <v>2127</v>
      </c>
      <c r="M1935" s="1473">
        <v>1.1344999999999999E-2</v>
      </c>
      <c r="N1935" s="1474">
        <v>1.5990569759132787</v>
      </c>
      <c r="O1935" s="1474"/>
    </row>
    <row r="1936" spans="11:15">
      <c r="K1936" s="1471">
        <v>43993</v>
      </c>
      <c r="L1936" s="1472"/>
      <c r="M1936" s="1473">
        <v>0</v>
      </c>
      <c r="N1936" s="1474">
        <v>1.5990569759132787</v>
      </c>
      <c r="O1936" s="1474"/>
    </row>
    <row r="1937" spans="11:15">
      <c r="K1937" s="1471">
        <v>43994</v>
      </c>
      <c r="L1937" s="1472" t="s">
        <v>2127</v>
      </c>
      <c r="M1937" s="1473">
        <v>1.1344999999999999E-2</v>
      </c>
      <c r="N1937" s="1474">
        <v>1.5992383889271959</v>
      </c>
      <c r="O1937" s="1474"/>
    </row>
    <row r="1938" spans="11:15">
      <c r="K1938" s="1471">
        <v>43995</v>
      </c>
      <c r="L1938" s="1472"/>
      <c r="M1938" s="1473">
        <v>0</v>
      </c>
      <c r="N1938" s="1474">
        <v>1.5992383889271959</v>
      </c>
      <c r="O1938" s="1474"/>
    </row>
    <row r="1939" spans="11:15">
      <c r="K1939" s="1471">
        <v>43996</v>
      </c>
      <c r="L1939" s="1472"/>
      <c r="M1939" s="1473">
        <v>0</v>
      </c>
      <c r="N1939" s="1474">
        <v>1.5992383889271959</v>
      </c>
      <c r="O1939" s="1474"/>
    </row>
    <row r="1940" spans="11:15">
      <c r="K1940" s="1471">
        <v>43997</v>
      </c>
      <c r="L1940" s="1472" t="s">
        <v>2127</v>
      </c>
      <c r="M1940" s="1473">
        <v>1.1344999999999999E-2</v>
      </c>
      <c r="N1940" s="1474">
        <v>1.5994198225224197</v>
      </c>
      <c r="O1940" s="1474"/>
    </row>
    <row r="1941" spans="11:15">
      <c r="K1941" s="1471">
        <v>43998</v>
      </c>
      <c r="L1941" s="1472" t="s">
        <v>2127</v>
      </c>
      <c r="M1941" s="1473">
        <v>1.1344999999999999E-2</v>
      </c>
      <c r="N1941" s="1474">
        <v>1.5996012767012848</v>
      </c>
      <c r="O1941" s="1474"/>
    </row>
    <row r="1942" spans="11:15">
      <c r="K1942" s="1471">
        <v>43999</v>
      </c>
      <c r="L1942" s="1472" t="s">
        <v>2127</v>
      </c>
      <c r="M1942" s="1473">
        <v>1.1344999999999999E-2</v>
      </c>
      <c r="N1942" s="1474">
        <v>1.5997827514661265</v>
      </c>
      <c r="O1942" s="1474"/>
    </row>
    <row r="1943" spans="11:15">
      <c r="K1943" s="1471">
        <v>44000</v>
      </c>
      <c r="L1943" s="1472" t="s">
        <v>2127</v>
      </c>
      <c r="M1943" s="1473">
        <v>8.4419999999999999E-3</v>
      </c>
      <c r="N1943" s="1474">
        <v>1.5999178051260055</v>
      </c>
      <c r="O1943" s="1474"/>
    </row>
    <row r="1944" spans="11:15">
      <c r="K1944" s="1471">
        <v>44001</v>
      </c>
      <c r="L1944" s="1472" t="s">
        <v>2127</v>
      </c>
      <c r="M1944" s="1473">
        <v>8.4419999999999999E-3</v>
      </c>
      <c r="N1944" s="1474">
        <v>1.6000528701871144</v>
      </c>
      <c r="O1944" s="1474"/>
    </row>
    <row r="1945" spans="11:15">
      <c r="K1945" s="1471">
        <v>44002</v>
      </c>
      <c r="L1945" s="1472"/>
      <c r="M1945" s="1473">
        <v>0</v>
      </c>
      <c r="N1945" s="1474">
        <v>1.6000528701871144</v>
      </c>
      <c r="O1945" s="1474"/>
    </row>
    <row r="1946" spans="11:15">
      <c r="K1946" s="1471">
        <v>44003</v>
      </c>
      <c r="L1946" s="1472"/>
      <c r="M1946" s="1473">
        <v>0</v>
      </c>
      <c r="N1946" s="1474">
        <v>1.6000528701871144</v>
      </c>
      <c r="O1946" s="1474"/>
    </row>
    <row r="1947" spans="11:15">
      <c r="K1947" s="1471">
        <v>44004</v>
      </c>
      <c r="L1947" s="1472" t="s">
        <v>2127</v>
      </c>
      <c r="M1947" s="1473">
        <v>8.4419999999999999E-3</v>
      </c>
      <c r="N1947" s="1474">
        <v>1.6001879466504156</v>
      </c>
      <c r="O1947" s="1474"/>
    </row>
    <row r="1948" spans="11:15">
      <c r="K1948" s="1471">
        <v>44005</v>
      </c>
      <c r="L1948" s="1472" t="s">
        <v>2127</v>
      </c>
      <c r="M1948" s="1473">
        <v>8.4419999999999999E-3</v>
      </c>
      <c r="N1948" s="1474">
        <v>1.600323034516872</v>
      </c>
      <c r="O1948" s="1474"/>
    </row>
    <row r="1949" spans="11:15">
      <c r="K1949" s="1471">
        <v>44006</v>
      </c>
      <c r="L1949" s="1472" t="s">
        <v>2127</v>
      </c>
      <c r="M1949" s="1473">
        <v>8.4419999999999999E-3</v>
      </c>
      <c r="N1949" s="1474">
        <v>1.6004581337874459</v>
      </c>
      <c r="O1949" s="1474"/>
    </row>
    <row r="1950" spans="11:15">
      <c r="K1950" s="1471">
        <v>44007</v>
      </c>
      <c r="L1950" s="1472" t="s">
        <v>2127</v>
      </c>
      <c r="M1950" s="1473">
        <v>8.4419999999999999E-3</v>
      </c>
      <c r="N1950" s="1474">
        <v>1.6005932444631004</v>
      </c>
      <c r="O1950" s="1474"/>
    </row>
    <row r="1951" spans="11:15">
      <c r="K1951" s="1471">
        <v>44008</v>
      </c>
      <c r="L1951" s="1472" t="s">
        <v>2127</v>
      </c>
      <c r="M1951" s="1473">
        <v>8.4419999999999999E-3</v>
      </c>
      <c r="N1951" s="1474">
        <v>1.600728366544798</v>
      </c>
      <c r="O1951" s="1474"/>
    </row>
    <row r="1952" spans="11:15">
      <c r="K1952" s="1471">
        <v>44009</v>
      </c>
      <c r="L1952" s="1472"/>
      <c r="M1952" s="1473">
        <v>0</v>
      </c>
      <c r="N1952" s="1474">
        <v>1.600728366544798</v>
      </c>
      <c r="O1952" s="1474"/>
    </row>
    <row r="1953" spans="11:15">
      <c r="K1953" s="1471">
        <v>44010</v>
      </c>
      <c r="L1953" s="1472"/>
      <c r="M1953" s="1473">
        <v>0</v>
      </c>
      <c r="N1953" s="1474">
        <v>1.600728366544798</v>
      </c>
      <c r="O1953" s="1474"/>
    </row>
    <row r="1954" spans="11:15">
      <c r="K1954" s="1471">
        <v>44011</v>
      </c>
      <c r="L1954" s="1472" t="s">
        <v>2127</v>
      </c>
      <c r="M1954" s="1473">
        <v>8.4419999999999999E-3</v>
      </c>
      <c r="N1954" s="1474">
        <v>1.6008635000335019</v>
      </c>
      <c r="O1954" s="1474"/>
    </row>
    <row r="1955" spans="11:15">
      <c r="K1955" s="1471">
        <v>44012</v>
      </c>
      <c r="L1955" s="1472" t="s">
        <v>2127</v>
      </c>
      <c r="M1955" s="1473">
        <v>8.4419999999999999E-3</v>
      </c>
      <c r="N1955" s="1474">
        <v>1.6009986449301747</v>
      </c>
      <c r="O1955" s="1474"/>
    </row>
    <row r="1956" spans="11:15">
      <c r="K1956" s="1471">
        <v>44013</v>
      </c>
      <c r="L1956" s="1472" t="s">
        <v>2127</v>
      </c>
      <c r="M1956" s="1473">
        <v>8.4419999999999999E-3</v>
      </c>
      <c r="N1956" s="1474">
        <v>1.6011338012357799</v>
      </c>
      <c r="O1956" s="1474"/>
    </row>
    <row r="1957" spans="11:15">
      <c r="K1957" s="1471">
        <v>44014</v>
      </c>
      <c r="L1957" s="1472" t="s">
        <v>2127</v>
      </c>
      <c r="M1957" s="1473">
        <v>8.4419999999999999E-3</v>
      </c>
      <c r="N1957" s="1474">
        <v>1.6012689689512802</v>
      </c>
      <c r="O1957" s="1474"/>
    </row>
    <row r="1958" spans="11:15">
      <c r="K1958" s="1471">
        <v>44015</v>
      </c>
      <c r="L1958" s="1472" t="s">
        <v>2127</v>
      </c>
      <c r="M1958" s="1473">
        <v>8.4419999999999999E-3</v>
      </c>
      <c r="N1958" s="1474">
        <v>1.6014041480776393</v>
      </c>
      <c r="O1958" s="1474"/>
    </row>
    <row r="1959" spans="11:15">
      <c r="K1959" s="1471">
        <v>44016</v>
      </c>
      <c r="L1959" s="1472"/>
      <c r="M1959" s="1473">
        <v>0</v>
      </c>
      <c r="N1959" s="1474">
        <v>1.6014041480776393</v>
      </c>
      <c r="O1959" s="1474"/>
    </row>
    <row r="1960" spans="11:15">
      <c r="K1960" s="1471">
        <v>44017</v>
      </c>
      <c r="L1960" s="1472"/>
      <c r="M1960" s="1473">
        <v>0</v>
      </c>
      <c r="N1960" s="1474">
        <v>1.6014041480776393</v>
      </c>
      <c r="O1960" s="1474"/>
    </row>
    <row r="1961" spans="11:15">
      <c r="K1961" s="1471">
        <v>44018</v>
      </c>
      <c r="L1961" s="1472" t="s">
        <v>2127</v>
      </c>
      <c r="M1961" s="1473">
        <v>8.4419999999999999E-3</v>
      </c>
      <c r="N1961" s="1474">
        <v>1.6015393386158201</v>
      </c>
      <c r="O1961" s="1474"/>
    </row>
    <row r="1962" spans="11:15">
      <c r="K1962" s="1471">
        <v>44019</v>
      </c>
      <c r="L1962" s="1472" t="s">
        <v>2127</v>
      </c>
      <c r="M1962" s="1473">
        <v>8.4419999999999999E-3</v>
      </c>
      <c r="N1962" s="1474">
        <v>1.6016745405667863</v>
      </c>
      <c r="O1962" s="1474"/>
    </row>
    <row r="1963" spans="11:15">
      <c r="K1963" s="1471">
        <v>44020</v>
      </c>
      <c r="L1963" s="1472" t="s">
        <v>2127</v>
      </c>
      <c r="M1963" s="1473">
        <v>8.4419999999999999E-3</v>
      </c>
      <c r="N1963" s="1474">
        <v>1.601809753931501</v>
      </c>
      <c r="O1963" s="1474"/>
    </row>
    <row r="1964" spans="11:15">
      <c r="K1964" s="1471">
        <v>44021</v>
      </c>
      <c r="L1964" s="1472" t="s">
        <v>2127</v>
      </c>
      <c r="M1964" s="1473">
        <v>8.4419999999999999E-3</v>
      </c>
      <c r="N1964" s="1474">
        <v>1.6019449787109281</v>
      </c>
      <c r="O1964" s="1474"/>
    </row>
    <row r="1965" spans="11:15">
      <c r="K1965" s="1471">
        <v>44022</v>
      </c>
      <c r="L1965" s="1472" t="s">
        <v>2127</v>
      </c>
      <c r="M1965" s="1473">
        <v>8.4419999999999999E-3</v>
      </c>
      <c r="N1965" s="1474">
        <v>1.6020802149060309</v>
      </c>
      <c r="O1965" s="1474"/>
    </row>
    <row r="1966" spans="11:15">
      <c r="K1966" s="1471">
        <v>44023</v>
      </c>
      <c r="L1966" s="1472"/>
      <c r="M1966" s="1473">
        <v>0</v>
      </c>
      <c r="N1966" s="1474">
        <v>1.6020802149060309</v>
      </c>
      <c r="O1966" s="1474"/>
    </row>
    <row r="1967" spans="11:15">
      <c r="K1967" s="1471">
        <v>44024</v>
      </c>
      <c r="L1967" s="1472"/>
      <c r="M1967" s="1473">
        <v>0</v>
      </c>
      <c r="N1967" s="1474">
        <v>1.6020802149060309</v>
      </c>
      <c r="O1967" s="1474"/>
    </row>
    <row r="1968" spans="11:15">
      <c r="K1968" s="1471">
        <v>44025</v>
      </c>
      <c r="L1968" s="1472" t="s">
        <v>2127</v>
      </c>
      <c r="M1968" s="1473">
        <v>8.4419999999999999E-3</v>
      </c>
      <c r="N1968" s="1474">
        <v>1.6022154625177734</v>
      </c>
      <c r="O1968" s="1474"/>
    </row>
    <row r="1969" spans="11:15">
      <c r="K1969" s="1471">
        <v>44026</v>
      </c>
      <c r="L1969" s="1472" t="s">
        <v>2127</v>
      </c>
      <c r="M1969" s="1473">
        <v>8.4419999999999999E-3</v>
      </c>
      <c r="N1969" s="1474">
        <v>1.6023507215471193</v>
      </c>
      <c r="O1969" s="1474"/>
    </row>
    <row r="1970" spans="11:15">
      <c r="K1970" s="1471">
        <v>44027</v>
      </c>
      <c r="L1970" s="1472" t="s">
        <v>2127</v>
      </c>
      <c r="M1970" s="1473">
        <v>8.4419999999999999E-3</v>
      </c>
      <c r="N1970" s="1474">
        <v>1.6024859919950325</v>
      </c>
      <c r="O1970" s="1474"/>
    </row>
    <row r="1971" spans="11:15">
      <c r="K1971" s="1471">
        <v>44028</v>
      </c>
      <c r="L1971" s="1472" t="s">
        <v>2127</v>
      </c>
      <c r="M1971" s="1473">
        <v>8.4419999999999999E-3</v>
      </c>
      <c r="N1971" s="1474">
        <v>1.6026212738624768</v>
      </c>
      <c r="O1971" s="1474"/>
    </row>
    <row r="1972" spans="11:15">
      <c r="K1972" s="1471">
        <v>44029</v>
      </c>
      <c r="L1972" s="1472" t="s">
        <v>2127</v>
      </c>
      <c r="M1972" s="1473">
        <v>8.4419999999999999E-3</v>
      </c>
      <c r="N1972" s="1474">
        <v>1.6027565671504165</v>
      </c>
      <c r="O1972" s="1474"/>
    </row>
    <row r="1973" spans="11:15">
      <c r="K1973" s="1471">
        <v>44030</v>
      </c>
      <c r="L1973" s="1472"/>
      <c r="M1973" s="1473">
        <v>0</v>
      </c>
      <c r="N1973" s="1474">
        <v>1.6027565671504165</v>
      </c>
      <c r="O1973" s="1474"/>
    </row>
    <row r="1974" spans="11:15">
      <c r="K1974" s="1471">
        <v>44031</v>
      </c>
      <c r="L1974" s="1472"/>
      <c r="M1974" s="1473">
        <v>0</v>
      </c>
      <c r="N1974" s="1474">
        <v>1.6027565671504165</v>
      </c>
      <c r="O1974" s="1474"/>
    </row>
    <row r="1975" spans="11:15">
      <c r="K1975" s="1471">
        <v>44032</v>
      </c>
      <c r="L1975" s="1472" t="s">
        <v>2127</v>
      </c>
      <c r="M1975" s="1473">
        <v>8.4419999999999999E-3</v>
      </c>
      <c r="N1975" s="1474">
        <v>1.6028918718598155</v>
      </c>
      <c r="O1975" s="1474"/>
    </row>
    <row r="1976" spans="11:15">
      <c r="K1976" s="1471">
        <v>44033</v>
      </c>
      <c r="L1976" s="1472" t="s">
        <v>2127</v>
      </c>
      <c r="M1976" s="1473">
        <v>8.4419999999999999E-3</v>
      </c>
      <c r="N1976" s="1474">
        <v>1.603027187991638</v>
      </c>
      <c r="O1976" s="1474"/>
    </row>
    <row r="1977" spans="11:15">
      <c r="K1977" s="1471">
        <v>44034</v>
      </c>
      <c r="L1977" s="1472" t="s">
        <v>2127</v>
      </c>
      <c r="M1977" s="1473">
        <v>8.4419999999999999E-3</v>
      </c>
      <c r="N1977" s="1474">
        <v>1.6031625155468483</v>
      </c>
      <c r="O1977" s="1474"/>
    </row>
    <row r="1978" spans="11:15">
      <c r="K1978" s="1471">
        <v>44035</v>
      </c>
      <c r="L1978" s="1472" t="s">
        <v>2127</v>
      </c>
      <c r="M1978" s="1473">
        <v>8.4419999999999999E-3</v>
      </c>
      <c r="N1978" s="1474">
        <v>1.6032978545264109</v>
      </c>
      <c r="O1978" s="1474"/>
    </row>
    <row r="1979" spans="11:15">
      <c r="K1979" s="1471">
        <v>44036</v>
      </c>
      <c r="L1979" s="1472" t="s">
        <v>2127</v>
      </c>
      <c r="M1979" s="1473">
        <v>8.4419999999999999E-3</v>
      </c>
      <c r="N1979" s="1474">
        <v>1.6034332049312903</v>
      </c>
      <c r="O1979" s="1474"/>
    </row>
    <row r="1980" spans="11:15">
      <c r="K1980" s="1471">
        <v>44037</v>
      </c>
      <c r="L1980" s="1472"/>
      <c r="M1980" s="1473">
        <v>0</v>
      </c>
      <c r="N1980" s="1474">
        <v>1.6034332049312903</v>
      </c>
      <c r="O1980" s="1474"/>
    </row>
    <row r="1981" spans="11:15">
      <c r="K1981" s="1471">
        <v>44038</v>
      </c>
      <c r="L1981" s="1472"/>
      <c r="M1981" s="1473">
        <v>0</v>
      </c>
      <c r="N1981" s="1474">
        <v>1.6034332049312903</v>
      </c>
      <c r="O1981" s="1474"/>
    </row>
    <row r="1982" spans="11:15">
      <c r="K1982" s="1471">
        <v>44039</v>
      </c>
      <c r="L1982" s="1472" t="s">
        <v>2127</v>
      </c>
      <c r="M1982" s="1473">
        <v>8.4419999999999999E-3</v>
      </c>
      <c r="N1982" s="1474">
        <v>1.6035685667624506</v>
      </c>
      <c r="O1982" s="1474"/>
    </row>
    <row r="1983" spans="11:15">
      <c r="K1983" s="1471">
        <v>44040</v>
      </c>
      <c r="L1983" s="1472" t="s">
        <v>2127</v>
      </c>
      <c r="M1983" s="1473">
        <v>8.4419999999999999E-3</v>
      </c>
      <c r="N1983" s="1474">
        <v>1.6037039400208568</v>
      </c>
      <c r="O1983" s="1474"/>
    </row>
    <row r="1984" spans="11:15">
      <c r="K1984" s="1471">
        <v>44041</v>
      </c>
      <c r="L1984" s="1472" t="s">
        <v>2127</v>
      </c>
      <c r="M1984" s="1473">
        <v>8.4419999999999999E-3</v>
      </c>
      <c r="N1984" s="1474">
        <v>1.6038393247074736</v>
      </c>
      <c r="O1984" s="1474"/>
    </row>
    <row r="1985" spans="11:15">
      <c r="K1985" s="1471">
        <v>44042</v>
      </c>
      <c r="L1985" s="1472" t="s">
        <v>2127</v>
      </c>
      <c r="M1985" s="1473">
        <v>8.4419999999999999E-3</v>
      </c>
      <c r="N1985" s="1474">
        <v>1.6039747208232655</v>
      </c>
      <c r="O1985" s="1474"/>
    </row>
    <row r="1986" spans="11:15">
      <c r="K1986" s="1471">
        <v>44043</v>
      </c>
      <c r="L1986" s="1472" t="s">
        <v>2127</v>
      </c>
      <c r="M1986" s="1473">
        <v>8.4419999999999999E-3</v>
      </c>
      <c r="N1986" s="1474">
        <v>1.6041101283691976</v>
      </c>
      <c r="O1986" s="1474"/>
    </row>
    <row r="1987" spans="11:15">
      <c r="K1987" s="1471">
        <v>44044</v>
      </c>
      <c r="L1987" s="1472"/>
      <c r="M1987" s="1473">
        <v>0</v>
      </c>
      <c r="N1987" s="1474">
        <v>1.6041101283691976</v>
      </c>
      <c r="O1987" s="1474"/>
    </row>
    <row r="1988" spans="11:15">
      <c r="K1988" s="1471">
        <v>44045</v>
      </c>
      <c r="L1988" s="1472"/>
      <c r="M1988" s="1473">
        <v>0</v>
      </c>
      <c r="N1988" s="1474">
        <v>1.6041101283691976</v>
      </c>
      <c r="O1988" s="1474"/>
    </row>
    <row r="1989" spans="11:15">
      <c r="K1989" s="1471">
        <v>44046</v>
      </c>
      <c r="L1989" s="1472" t="s">
        <v>2127</v>
      </c>
      <c r="M1989" s="1473">
        <v>8.4419999999999999E-3</v>
      </c>
      <c r="N1989" s="1474">
        <v>1.6042455473462347</v>
      </c>
      <c r="O1989" s="1474"/>
    </row>
    <row r="1990" spans="11:15">
      <c r="K1990" s="1471">
        <v>44047</v>
      </c>
      <c r="L1990" s="1472" t="s">
        <v>2127</v>
      </c>
      <c r="M1990" s="1473">
        <v>8.4419999999999999E-3</v>
      </c>
      <c r="N1990" s="1474">
        <v>1.6043809777553417</v>
      </c>
      <c r="O1990" s="1474"/>
    </row>
    <row r="1991" spans="11:15">
      <c r="K1991" s="1471">
        <v>44048</v>
      </c>
      <c r="L1991" s="1472" t="s">
        <v>2127</v>
      </c>
      <c r="M1991" s="1473">
        <v>8.4419999999999999E-3</v>
      </c>
      <c r="N1991" s="1474">
        <v>1.6045164195974839</v>
      </c>
      <c r="O1991" s="1474"/>
    </row>
    <row r="1992" spans="11:15">
      <c r="K1992" s="1471">
        <v>44049</v>
      </c>
      <c r="L1992" s="1472" t="s">
        <v>2127</v>
      </c>
      <c r="M1992" s="1473">
        <v>7.4689999999999999E-3</v>
      </c>
      <c r="N1992" s="1474">
        <v>1.6046362609288636</v>
      </c>
      <c r="O1992" s="1474"/>
    </row>
    <row r="1993" spans="11:15">
      <c r="K1993" s="1471">
        <v>44050</v>
      </c>
      <c r="L1993" s="1472" t="s">
        <v>2127</v>
      </c>
      <c r="M1993" s="1473">
        <v>7.4689999999999999E-3</v>
      </c>
      <c r="N1993" s="1474">
        <v>1.6047561112111923</v>
      </c>
      <c r="O1993" s="1474"/>
    </row>
    <row r="1994" spans="11:15">
      <c r="K1994" s="1471">
        <v>44051</v>
      </c>
      <c r="L1994" s="1472"/>
      <c r="M1994" s="1473">
        <v>0</v>
      </c>
      <c r="N1994" s="1474">
        <v>1.6047561112111923</v>
      </c>
      <c r="O1994" s="1474"/>
    </row>
    <row r="1995" spans="11:15">
      <c r="K1995" s="1471">
        <v>44052</v>
      </c>
      <c r="L1995" s="1472"/>
      <c r="M1995" s="1473">
        <v>0</v>
      </c>
      <c r="N1995" s="1474">
        <v>1.6047561112111923</v>
      </c>
      <c r="O1995" s="1474"/>
    </row>
    <row r="1996" spans="11:15">
      <c r="K1996" s="1471">
        <v>44053</v>
      </c>
      <c r="L1996" s="1472" t="s">
        <v>2127</v>
      </c>
      <c r="M1996" s="1473">
        <v>7.4689999999999999E-3</v>
      </c>
      <c r="N1996" s="1474">
        <v>1.6048759704451385</v>
      </c>
      <c r="O1996" s="1474"/>
    </row>
    <row r="1997" spans="11:15">
      <c r="K1997" s="1471">
        <v>44054</v>
      </c>
      <c r="L1997" s="1472" t="s">
        <v>2127</v>
      </c>
      <c r="M1997" s="1473">
        <v>7.4689999999999999E-3</v>
      </c>
      <c r="N1997" s="1474">
        <v>1.604995838631371</v>
      </c>
      <c r="O1997" s="1474"/>
    </row>
    <row r="1998" spans="11:15">
      <c r="K1998" s="1471">
        <v>44055</v>
      </c>
      <c r="L1998" s="1472" t="s">
        <v>2127</v>
      </c>
      <c r="M1998" s="1473">
        <v>7.4689999999999999E-3</v>
      </c>
      <c r="N1998" s="1474">
        <v>1.6051157157705582</v>
      </c>
      <c r="O1998" s="1474"/>
    </row>
    <row r="1999" spans="11:15">
      <c r="K1999" s="1471">
        <v>44056</v>
      </c>
      <c r="L1999" s="1472" t="s">
        <v>2127</v>
      </c>
      <c r="M1999" s="1473">
        <v>7.4689999999999999E-3</v>
      </c>
      <c r="N1999" s="1474">
        <v>1.6052356018633691</v>
      </c>
      <c r="O1999" s="1474"/>
    </row>
    <row r="2000" spans="11:15">
      <c r="K2000" s="1471">
        <v>44057</v>
      </c>
      <c r="L2000" s="1472" t="s">
        <v>2127</v>
      </c>
      <c r="M2000" s="1473">
        <v>7.4689999999999999E-3</v>
      </c>
      <c r="N2000" s="1474">
        <v>1.6053554969104722</v>
      </c>
      <c r="O2000" s="1474"/>
    </row>
    <row r="2001" spans="11:15">
      <c r="K2001" s="1471">
        <v>44058</v>
      </c>
      <c r="L2001" s="1472"/>
      <c r="M2001" s="1473">
        <v>0</v>
      </c>
      <c r="N2001" s="1474">
        <v>1.6053554969104722</v>
      </c>
      <c r="O2001" s="1474"/>
    </row>
    <row r="2002" spans="11:15">
      <c r="K2002" s="1471">
        <v>44059</v>
      </c>
      <c r="L2002" s="1472"/>
      <c r="M2002" s="1473">
        <v>0</v>
      </c>
      <c r="N2002" s="1474">
        <v>1.6053554969104722</v>
      </c>
      <c r="O2002" s="1474"/>
    </row>
    <row r="2003" spans="11:15">
      <c r="K2003" s="1471">
        <v>44060</v>
      </c>
      <c r="L2003" s="1472" t="s">
        <v>2127</v>
      </c>
      <c r="M2003" s="1473">
        <v>7.4689999999999999E-3</v>
      </c>
      <c r="N2003" s="1474">
        <v>1.6054754009125363</v>
      </c>
      <c r="O2003" s="1474"/>
    </row>
    <row r="2004" spans="11:15">
      <c r="K2004" s="1471">
        <v>44061</v>
      </c>
      <c r="L2004" s="1472" t="s">
        <v>2127</v>
      </c>
      <c r="M2004" s="1473">
        <v>7.4689999999999999E-3</v>
      </c>
      <c r="N2004" s="1474">
        <v>1.6055953138702304</v>
      </c>
      <c r="O2004" s="1474"/>
    </row>
    <row r="2005" spans="11:15">
      <c r="K2005" s="1471">
        <v>44062</v>
      </c>
      <c r="L2005" s="1472" t="s">
        <v>2127</v>
      </c>
      <c r="M2005" s="1473">
        <v>7.4689999999999999E-3</v>
      </c>
      <c r="N2005" s="1474">
        <v>1.6057152357842233</v>
      </c>
      <c r="O2005" s="1474"/>
    </row>
    <row r="2006" spans="11:15">
      <c r="K2006" s="1471">
        <v>44063</v>
      </c>
      <c r="L2006" s="1472" t="s">
        <v>2127</v>
      </c>
      <c r="M2006" s="1473">
        <v>7.4689999999999999E-3</v>
      </c>
      <c r="N2006" s="1474">
        <v>1.6058351666551838</v>
      </c>
      <c r="O2006" s="1474"/>
    </row>
    <row r="2007" spans="11:15">
      <c r="K2007" s="1471">
        <v>44064</v>
      </c>
      <c r="L2007" s="1472" t="s">
        <v>2127</v>
      </c>
      <c r="M2007" s="1473">
        <v>7.4689999999999999E-3</v>
      </c>
      <c r="N2007" s="1474">
        <v>1.6059551064837811</v>
      </c>
      <c r="O2007" s="1474"/>
    </row>
    <row r="2008" spans="11:15">
      <c r="K2008" s="1471">
        <v>44065</v>
      </c>
      <c r="L2008" s="1472"/>
      <c r="M2008" s="1473">
        <v>0</v>
      </c>
      <c r="N2008" s="1474">
        <v>1.6059551064837811</v>
      </c>
      <c r="O2008" s="1474"/>
    </row>
    <row r="2009" spans="11:15">
      <c r="K2009" s="1471">
        <v>44066</v>
      </c>
      <c r="L2009" s="1472"/>
      <c r="M2009" s="1473">
        <v>0</v>
      </c>
      <c r="N2009" s="1474">
        <v>1.6059551064837811</v>
      </c>
      <c r="O2009" s="1474"/>
    </row>
    <row r="2010" spans="11:15">
      <c r="K2010" s="1471">
        <v>44067</v>
      </c>
      <c r="L2010" s="1472" t="s">
        <v>2127</v>
      </c>
      <c r="M2010" s="1473">
        <v>7.4689999999999999E-3</v>
      </c>
      <c r="N2010" s="1474">
        <v>1.6060750552706844</v>
      </c>
      <c r="O2010" s="1474"/>
    </row>
    <row r="2011" spans="11:15">
      <c r="K2011" s="1471">
        <v>44068</v>
      </c>
      <c r="L2011" s="1472" t="s">
        <v>2127</v>
      </c>
      <c r="M2011" s="1473">
        <v>7.4689999999999999E-3</v>
      </c>
      <c r="N2011" s="1474">
        <v>1.6061950130165625</v>
      </c>
      <c r="O2011" s="1474"/>
    </row>
    <row r="2012" spans="11:15">
      <c r="K2012" s="1471">
        <v>44069</v>
      </c>
      <c r="L2012" s="1472" t="s">
        <v>2127</v>
      </c>
      <c r="M2012" s="1473">
        <v>7.4689999999999999E-3</v>
      </c>
      <c r="N2012" s="1474">
        <v>1.6063149797220846</v>
      </c>
      <c r="O2012" s="1474"/>
    </row>
    <row r="2013" spans="11:15">
      <c r="K2013" s="1471">
        <v>44070</v>
      </c>
      <c r="L2013" s="1472" t="s">
        <v>2127</v>
      </c>
      <c r="M2013" s="1473">
        <v>7.4689999999999999E-3</v>
      </c>
      <c r="N2013" s="1474">
        <v>1.60643495538792</v>
      </c>
      <c r="O2013" s="1474"/>
    </row>
    <row r="2014" spans="11:15">
      <c r="K2014" s="1471">
        <v>44071</v>
      </c>
      <c r="L2014" s="1472" t="s">
        <v>2127</v>
      </c>
      <c r="M2014" s="1473">
        <v>7.4689999999999999E-3</v>
      </c>
      <c r="N2014" s="1474">
        <v>1.6065549400147379</v>
      </c>
      <c r="O2014" s="1474"/>
    </row>
    <row r="2015" spans="11:15">
      <c r="K2015" s="1471">
        <v>44072</v>
      </c>
      <c r="L2015" s="1472"/>
      <c r="M2015" s="1473">
        <v>0</v>
      </c>
      <c r="N2015" s="1474">
        <v>1.6065549400147379</v>
      </c>
      <c r="O2015" s="1474"/>
    </row>
    <row r="2016" spans="11:15">
      <c r="K2016" s="1471">
        <v>44073</v>
      </c>
      <c r="L2016" s="1472"/>
      <c r="M2016" s="1473">
        <v>0</v>
      </c>
      <c r="N2016" s="1474">
        <v>1.6065549400147379</v>
      </c>
      <c r="O2016" s="1474"/>
    </row>
    <row r="2017" spans="11:15">
      <c r="K2017" s="1471">
        <v>44074</v>
      </c>
      <c r="L2017" s="1472" t="s">
        <v>2127</v>
      </c>
      <c r="M2017" s="1473">
        <v>7.4689999999999999E-3</v>
      </c>
      <c r="N2017" s="1474">
        <v>1.6066749336032076</v>
      </c>
      <c r="O2017" s="1474"/>
    </row>
    <row r="2018" spans="11:15">
      <c r="K2018" s="1471">
        <v>44075</v>
      </c>
      <c r="L2018" s="1472" t="s">
        <v>2127</v>
      </c>
      <c r="M2018" s="1473">
        <v>7.4689999999999999E-3</v>
      </c>
      <c r="N2018" s="1474">
        <v>1.6067949361539984</v>
      </c>
      <c r="O2018" s="1474"/>
    </row>
    <row r="2019" spans="11:15">
      <c r="K2019" s="1471">
        <v>44076</v>
      </c>
      <c r="L2019" s="1472" t="s">
        <v>2127</v>
      </c>
      <c r="M2019" s="1473">
        <v>7.4689999999999999E-3</v>
      </c>
      <c r="N2019" s="1474">
        <v>1.6069149476677795</v>
      </c>
      <c r="O2019" s="1474"/>
    </row>
    <row r="2020" spans="11:15">
      <c r="K2020" s="1471">
        <v>44077</v>
      </c>
      <c r="L2020" s="1472" t="s">
        <v>2127</v>
      </c>
      <c r="M2020" s="1473">
        <v>7.4689999999999999E-3</v>
      </c>
      <c r="N2020" s="1474">
        <v>1.6070349681452207</v>
      </c>
      <c r="O2020" s="1474"/>
    </row>
    <row r="2021" spans="11:15">
      <c r="K2021" s="1471">
        <v>44078</v>
      </c>
      <c r="L2021" s="1472" t="s">
        <v>2127</v>
      </c>
      <c r="M2021" s="1473">
        <v>7.4689999999999999E-3</v>
      </c>
      <c r="N2021" s="1474">
        <v>1.6071549975869914</v>
      </c>
      <c r="O2021" s="1474"/>
    </row>
    <row r="2022" spans="11:15">
      <c r="K2022" s="1471">
        <v>44079</v>
      </c>
      <c r="L2022" s="1472"/>
      <c r="M2022" s="1473">
        <v>0</v>
      </c>
      <c r="N2022" s="1474">
        <v>1.6071549975869914</v>
      </c>
      <c r="O2022" s="1474"/>
    </row>
    <row r="2023" spans="11:15">
      <c r="K2023" s="1471">
        <v>44080</v>
      </c>
      <c r="L2023" s="1472"/>
      <c r="M2023" s="1473">
        <v>0</v>
      </c>
      <c r="N2023" s="1474">
        <v>1.6071549975869914</v>
      </c>
      <c r="O2023" s="1474"/>
    </row>
    <row r="2024" spans="11:15">
      <c r="K2024" s="1471">
        <v>44081</v>
      </c>
      <c r="L2024" s="1472"/>
      <c r="M2024" s="1473">
        <v>0</v>
      </c>
      <c r="N2024" s="1474">
        <v>1.6071549975869914</v>
      </c>
      <c r="O2024" s="1474"/>
    </row>
    <row r="2025" spans="11:15">
      <c r="K2025" s="1471">
        <v>44082</v>
      </c>
      <c r="L2025" s="1472" t="s">
        <v>2127</v>
      </c>
      <c r="M2025" s="1473">
        <v>7.4689999999999999E-3</v>
      </c>
      <c r="N2025" s="1474">
        <v>1.6072750359937611</v>
      </c>
      <c r="O2025" s="1474"/>
    </row>
    <row r="2026" spans="11:15">
      <c r="K2026" s="1471">
        <v>44083</v>
      </c>
      <c r="L2026" s="1472" t="s">
        <v>2127</v>
      </c>
      <c r="M2026" s="1473">
        <v>7.4689999999999999E-3</v>
      </c>
      <c r="N2026" s="1474">
        <v>1.6073950833661994</v>
      </c>
      <c r="O2026" s="1474"/>
    </row>
    <row r="2027" spans="11:15">
      <c r="K2027" s="1471">
        <v>44084</v>
      </c>
      <c r="L2027" s="1472" t="s">
        <v>2127</v>
      </c>
      <c r="M2027" s="1473">
        <v>7.4689999999999999E-3</v>
      </c>
      <c r="N2027" s="1474">
        <v>1.6075151397049758</v>
      </c>
      <c r="O2027" s="1474"/>
    </row>
    <row r="2028" spans="11:15">
      <c r="K2028" s="1471">
        <v>44085</v>
      </c>
      <c r="L2028" s="1472" t="s">
        <v>2127</v>
      </c>
      <c r="M2028" s="1473">
        <v>7.4689999999999999E-3</v>
      </c>
      <c r="N2028" s="1474">
        <v>1.6076352050107603</v>
      </c>
      <c r="O2028" s="1474"/>
    </row>
    <row r="2029" spans="11:15">
      <c r="K2029" s="1471">
        <v>44086</v>
      </c>
      <c r="L2029" s="1472"/>
      <c r="M2029" s="1473">
        <v>0</v>
      </c>
      <c r="N2029" s="1474">
        <v>1.6076352050107603</v>
      </c>
      <c r="O2029" s="1474"/>
    </row>
    <row r="2030" spans="11:15">
      <c r="K2030" s="1471">
        <v>44087</v>
      </c>
      <c r="L2030" s="1472"/>
      <c r="M2030" s="1473">
        <v>0</v>
      </c>
      <c r="N2030" s="1474">
        <v>1.6076352050107603</v>
      </c>
      <c r="O2030" s="1474"/>
    </row>
    <row r="2031" spans="11:15">
      <c r="K2031" s="1471">
        <v>44088</v>
      </c>
      <c r="L2031" s="1472" t="s">
        <v>2127</v>
      </c>
      <c r="M2031" s="1473">
        <v>7.4689999999999999E-3</v>
      </c>
      <c r="N2031" s="1474">
        <v>1.6077552792842225</v>
      </c>
      <c r="O2031" s="1474"/>
    </row>
    <row r="2032" spans="11:15">
      <c r="K2032" s="1471">
        <v>44089</v>
      </c>
      <c r="L2032" s="1472" t="s">
        <v>2127</v>
      </c>
      <c r="M2032" s="1473">
        <v>7.4689999999999999E-3</v>
      </c>
      <c r="N2032" s="1474">
        <v>1.607875362526032</v>
      </c>
      <c r="O2032" s="1474"/>
    </row>
    <row r="2033" spans="11:15">
      <c r="K2033" s="1471">
        <v>44090</v>
      </c>
      <c r="L2033" s="1472" t="s">
        <v>2127</v>
      </c>
      <c r="M2033" s="1473">
        <v>7.4689999999999999E-3</v>
      </c>
      <c r="N2033" s="1474">
        <v>1.6079954547368589</v>
      </c>
      <c r="O2033" s="1474"/>
    </row>
    <row r="2034" spans="11:15">
      <c r="K2034" s="1471">
        <v>44091</v>
      </c>
      <c r="L2034" s="1472" t="s">
        <v>2127</v>
      </c>
      <c r="M2034" s="1473">
        <v>7.4689999999999999E-3</v>
      </c>
      <c r="N2034" s="1474">
        <v>1.608115555917373</v>
      </c>
      <c r="O2034" s="1474"/>
    </row>
    <row r="2035" spans="11:15">
      <c r="K2035" s="1471">
        <v>44092</v>
      </c>
      <c r="L2035" s="1472" t="s">
        <v>2127</v>
      </c>
      <c r="M2035" s="1473">
        <v>7.4689999999999999E-3</v>
      </c>
      <c r="N2035" s="1474">
        <v>1.6082356660682444</v>
      </c>
      <c r="O2035" s="1474"/>
    </row>
    <row r="2036" spans="11:15">
      <c r="K2036" s="1471">
        <v>44093</v>
      </c>
      <c r="L2036" s="1472"/>
      <c r="M2036" s="1473">
        <v>0</v>
      </c>
      <c r="N2036" s="1474">
        <v>1.6082356660682444</v>
      </c>
      <c r="O2036" s="1474"/>
    </row>
    <row r="2037" spans="11:15">
      <c r="K2037" s="1471">
        <v>44094</v>
      </c>
      <c r="L2037" s="1472"/>
      <c r="M2037" s="1473">
        <v>0</v>
      </c>
      <c r="N2037" s="1474">
        <v>1.6082356660682444</v>
      </c>
      <c r="O2037" s="1474"/>
    </row>
    <row r="2038" spans="11:15">
      <c r="K2038" s="1471">
        <v>44095</v>
      </c>
      <c r="L2038" s="1472" t="s">
        <v>2127</v>
      </c>
      <c r="M2038" s="1473">
        <v>7.4689999999999999E-3</v>
      </c>
      <c r="N2038" s="1474">
        <v>1.6083557851901429</v>
      </c>
      <c r="O2038" s="1474"/>
    </row>
    <row r="2039" spans="11:15">
      <c r="K2039" s="1471">
        <v>44096</v>
      </c>
      <c r="L2039" s="1472" t="s">
        <v>2127</v>
      </c>
      <c r="M2039" s="1473">
        <v>7.4689999999999999E-3</v>
      </c>
      <c r="N2039" s="1474">
        <v>1.6084759132837387</v>
      </c>
      <c r="O2039" s="1474"/>
    </row>
    <row r="2040" spans="11:15">
      <c r="K2040" s="1471">
        <v>44097</v>
      </c>
      <c r="L2040" s="1472" t="s">
        <v>2127</v>
      </c>
      <c r="M2040" s="1473">
        <v>7.4689999999999999E-3</v>
      </c>
      <c r="N2040" s="1474">
        <v>1.6085960503497019</v>
      </c>
      <c r="O2040" s="1474"/>
    </row>
    <row r="2041" spans="11:15">
      <c r="K2041" s="1471">
        <v>44098</v>
      </c>
      <c r="L2041" s="1472" t="s">
        <v>2127</v>
      </c>
      <c r="M2041" s="1473">
        <v>7.4689999999999999E-3</v>
      </c>
      <c r="N2041" s="1474">
        <v>1.6087161963887024</v>
      </c>
      <c r="O2041" s="1474"/>
    </row>
    <row r="2042" spans="11:15">
      <c r="K2042" s="1471">
        <v>44099</v>
      </c>
      <c r="L2042" s="1472" t="s">
        <v>2127</v>
      </c>
      <c r="M2042" s="1473">
        <v>7.4689999999999999E-3</v>
      </c>
      <c r="N2042" s="1474">
        <v>1.6088363514014106</v>
      </c>
      <c r="O2042" s="1474"/>
    </row>
    <row r="2043" spans="11:15">
      <c r="K2043" s="1471">
        <v>44100</v>
      </c>
      <c r="L2043" s="1472"/>
      <c r="M2043" s="1473">
        <v>0</v>
      </c>
      <c r="N2043" s="1474">
        <v>1.6088363514014106</v>
      </c>
      <c r="O2043" s="1474"/>
    </row>
    <row r="2044" spans="11:15">
      <c r="K2044" s="1471">
        <v>44101</v>
      </c>
      <c r="L2044" s="1472"/>
      <c r="M2044" s="1473">
        <v>0</v>
      </c>
      <c r="N2044" s="1474">
        <v>1.6088363514014106</v>
      </c>
      <c r="O2044" s="1474"/>
    </row>
    <row r="2045" spans="11:15">
      <c r="K2045" s="1471">
        <v>44102</v>
      </c>
      <c r="L2045" s="1472" t="s">
        <v>2127</v>
      </c>
      <c r="M2045" s="1473">
        <v>7.4689999999999999E-3</v>
      </c>
      <c r="N2045" s="1474">
        <v>1.6089565153884966</v>
      </c>
      <c r="O2045" s="1474"/>
    </row>
    <row r="2046" spans="11:15">
      <c r="K2046" s="1471">
        <v>44103</v>
      </c>
      <c r="L2046" s="1472" t="s">
        <v>2127</v>
      </c>
      <c r="M2046" s="1473">
        <v>7.4689999999999999E-3</v>
      </c>
      <c r="N2046" s="1474">
        <v>1.6090766883506309</v>
      </c>
      <c r="O2046" s="1474"/>
    </row>
    <row r="2047" spans="11:15">
      <c r="K2047" s="1471">
        <v>44104</v>
      </c>
      <c r="L2047" s="1472" t="s">
        <v>2127</v>
      </c>
      <c r="M2047" s="1473">
        <v>7.4689999999999999E-3</v>
      </c>
      <c r="N2047" s="1474">
        <v>1.6091968702884838</v>
      </c>
      <c r="O2047" s="1474"/>
    </row>
    <row r="2048" spans="11:15">
      <c r="K2048" s="1471">
        <v>44105</v>
      </c>
      <c r="L2048" s="1472" t="s">
        <v>2127</v>
      </c>
      <c r="M2048" s="1473">
        <v>7.4689999999999999E-3</v>
      </c>
      <c r="N2048" s="1474">
        <v>1.6093170612027254</v>
      </c>
      <c r="O2048" s="1474"/>
    </row>
    <row r="2049" spans="11:15">
      <c r="K2049" s="1471">
        <v>44106</v>
      </c>
      <c r="L2049" s="1472" t="s">
        <v>2127</v>
      </c>
      <c r="M2049" s="1473">
        <v>7.4689999999999999E-3</v>
      </c>
      <c r="N2049" s="1474">
        <v>1.6094372610940266</v>
      </c>
      <c r="O2049" s="1474"/>
    </row>
    <row r="2050" spans="11:15">
      <c r="K2050" s="1471">
        <v>44107</v>
      </c>
      <c r="L2050" s="1472"/>
      <c r="M2050" s="1473">
        <v>0</v>
      </c>
      <c r="N2050" s="1474">
        <v>1.6094372610940266</v>
      </c>
      <c r="O2050" s="1474"/>
    </row>
    <row r="2051" spans="11:15">
      <c r="K2051" s="1471">
        <v>44108</v>
      </c>
      <c r="L2051" s="1472"/>
      <c r="M2051" s="1473">
        <v>0</v>
      </c>
      <c r="N2051" s="1474">
        <v>1.6094372610940266</v>
      </c>
      <c r="O2051" s="1474"/>
    </row>
    <row r="2052" spans="11:15">
      <c r="K2052" s="1471">
        <v>44109</v>
      </c>
      <c r="L2052" s="1472" t="s">
        <v>2127</v>
      </c>
      <c r="M2052" s="1473">
        <v>7.4689999999999999E-3</v>
      </c>
      <c r="N2052" s="1474">
        <v>1.6095574699630577</v>
      </c>
      <c r="O2052" s="1474"/>
    </row>
    <row r="2053" spans="11:15">
      <c r="K2053" s="1471">
        <v>44110</v>
      </c>
      <c r="L2053" s="1472" t="s">
        <v>2127</v>
      </c>
      <c r="M2053" s="1473">
        <v>7.4689999999999999E-3</v>
      </c>
      <c r="N2053" s="1474">
        <v>1.609677687810489</v>
      </c>
      <c r="O2053" s="1474"/>
    </row>
    <row r="2054" spans="11:15">
      <c r="K2054" s="1471">
        <v>44111</v>
      </c>
      <c r="L2054" s="1472" t="s">
        <v>2127</v>
      </c>
      <c r="M2054" s="1473">
        <v>7.4689999999999999E-3</v>
      </c>
      <c r="N2054" s="1474">
        <v>1.6097979146369914</v>
      </c>
      <c r="O2054" s="1474"/>
    </row>
    <row r="2055" spans="11:15">
      <c r="K2055" s="1471">
        <v>44112</v>
      </c>
      <c r="L2055" s="1472" t="s">
        <v>2127</v>
      </c>
      <c r="M2055" s="1473">
        <v>7.4689999999999999E-3</v>
      </c>
      <c r="N2055" s="1474">
        <v>1.6099181504432356</v>
      </c>
      <c r="O2055" s="1474"/>
    </row>
    <row r="2056" spans="11:15">
      <c r="K2056" s="1471">
        <v>44113</v>
      </c>
      <c r="L2056" s="1472" t="s">
        <v>2127</v>
      </c>
      <c r="M2056" s="1473">
        <v>7.4689999999999999E-3</v>
      </c>
      <c r="N2056" s="1474">
        <v>1.610038395229892</v>
      </c>
      <c r="O2056" s="1474"/>
    </row>
    <row r="2057" spans="11:15">
      <c r="K2057" s="1471">
        <v>44114</v>
      </c>
      <c r="L2057" s="1472"/>
      <c r="M2057" s="1473">
        <v>0</v>
      </c>
      <c r="N2057" s="1474">
        <v>1.610038395229892</v>
      </c>
      <c r="O2057" s="1474"/>
    </row>
    <row r="2058" spans="11:15">
      <c r="K2058" s="1471">
        <v>44115</v>
      </c>
      <c r="L2058" s="1472"/>
      <c r="M2058" s="1473">
        <v>0</v>
      </c>
      <c r="N2058" s="1474">
        <v>1.610038395229892</v>
      </c>
      <c r="O2058" s="1474"/>
    </row>
    <row r="2059" spans="11:15">
      <c r="K2059" s="1471">
        <v>44116</v>
      </c>
      <c r="L2059" s="1472"/>
      <c r="M2059" s="1473">
        <v>0</v>
      </c>
      <c r="N2059" s="1474">
        <v>1.610038395229892</v>
      </c>
      <c r="O2059" s="1474"/>
    </row>
    <row r="2060" spans="11:15">
      <c r="K2060" s="1471">
        <v>44117</v>
      </c>
      <c r="L2060" s="1472" t="s">
        <v>2127</v>
      </c>
      <c r="M2060" s="1473">
        <v>7.4689999999999999E-3</v>
      </c>
      <c r="N2060" s="1474">
        <v>1.6101586489976316</v>
      </c>
      <c r="O2060" s="1474"/>
    </row>
    <row r="2061" spans="11:15">
      <c r="K2061" s="1471">
        <v>44118</v>
      </c>
      <c r="L2061" s="1472" t="s">
        <v>2127</v>
      </c>
      <c r="M2061" s="1473">
        <v>7.4689999999999999E-3</v>
      </c>
      <c r="N2061" s="1474">
        <v>1.6102789117471252</v>
      </c>
      <c r="O2061" s="1474"/>
    </row>
    <row r="2062" spans="11:15">
      <c r="K2062" s="1471">
        <v>44119</v>
      </c>
      <c r="L2062" s="1472" t="s">
        <v>2127</v>
      </c>
      <c r="M2062" s="1473">
        <v>7.4689999999999999E-3</v>
      </c>
      <c r="N2062" s="1474">
        <v>1.6103991834790434</v>
      </c>
      <c r="O2062" s="1474"/>
    </row>
    <row r="2063" spans="11:15">
      <c r="K2063" s="1471">
        <v>44120</v>
      </c>
      <c r="L2063" s="1472" t="s">
        <v>2127</v>
      </c>
      <c r="M2063" s="1473">
        <v>7.4689999999999999E-3</v>
      </c>
      <c r="N2063" s="1474">
        <v>1.6105194641940574</v>
      </c>
      <c r="O2063" s="1474"/>
    </row>
    <row r="2064" spans="11:15">
      <c r="K2064" s="1471">
        <v>44121</v>
      </c>
      <c r="L2064" s="1472"/>
      <c r="M2064" s="1473">
        <v>0</v>
      </c>
      <c r="N2064" s="1474">
        <v>1.6105194641940574</v>
      </c>
      <c r="O2064" s="1474"/>
    </row>
    <row r="2065" spans="11:15">
      <c r="K2065" s="1471">
        <v>44122</v>
      </c>
      <c r="L2065" s="1472"/>
      <c r="M2065" s="1473">
        <v>0</v>
      </c>
      <c r="N2065" s="1474">
        <v>1.6105194641940574</v>
      </c>
      <c r="O2065" s="1474"/>
    </row>
    <row r="2066" spans="11:15">
      <c r="K2066" s="1471">
        <v>44123</v>
      </c>
      <c r="L2066" s="1472" t="s">
        <v>2127</v>
      </c>
      <c r="M2066" s="1473">
        <v>7.4689999999999999E-3</v>
      </c>
      <c r="N2066" s="1474">
        <v>1.6106397538928381</v>
      </c>
      <c r="O2066" s="1474"/>
    </row>
    <row r="2067" spans="11:15">
      <c r="K2067" s="1471">
        <v>44124</v>
      </c>
      <c r="L2067" s="1472" t="s">
        <v>2127</v>
      </c>
      <c r="M2067" s="1473">
        <v>7.4689999999999999E-3</v>
      </c>
      <c r="N2067" s="1474">
        <v>1.6107600525760561</v>
      </c>
      <c r="O2067" s="1474"/>
    </row>
    <row r="2068" spans="11:15">
      <c r="K2068" s="1471">
        <v>44125</v>
      </c>
      <c r="L2068" s="1472" t="s">
        <v>2127</v>
      </c>
      <c r="M2068" s="1473">
        <v>7.4689999999999999E-3</v>
      </c>
      <c r="N2068" s="1474">
        <v>1.6108803602443829</v>
      </c>
      <c r="O2068" s="1474"/>
    </row>
    <row r="2069" spans="11:15">
      <c r="K2069" s="1471">
        <v>44126</v>
      </c>
      <c r="L2069" s="1472" t="s">
        <v>2127</v>
      </c>
      <c r="M2069" s="1473">
        <v>7.4689999999999999E-3</v>
      </c>
      <c r="N2069" s="1474">
        <v>1.6110006768984895</v>
      </c>
      <c r="O2069" s="1474"/>
    </row>
    <row r="2070" spans="11:15">
      <c r="K2070" s="1471">
        <v>44127</v>
      </c>
      <c r="L2070" s="1472" t="s">
        <v>2127</v>
      </c>
      <c r="M2070" s="1473">
        <v>7.4689999999999999E-3</v>
      </c>
      <c r="N2070" s="1474">
        <v>1.611121002539047</v>
      </c>
      <c r="O2070" s="1474"/>
    </row>
    <row r="2071" spans="11:15">
      <c r="K2071" s="1471">
        <v>44128</v>
      </c>
      <c r="L2071" s="1472"/>
      <c r="M2071" s="1473">
        <v>0</v>
      </c>
      <c r="N2071" s="1474">
        <v>1.611121002539047</v>
      </c>
      <c r="O2071" s="1474"/>
    </row>
    <row r="2072" spans="11:15">
      <c r="K2072" s="1471">
        <v>44129</v>
      </c>
      <c r="L2072" s="1472"/>
      <c r="M2072" s="1473">
        <v>0</v>
      </c>
      <c r="N2072" s="1474">
        <v>1.611121002539047</v>
      </c>
      <c r="O2072" s="1474"/>
    </row>
    <row r="2073" spans="11:15">
      <c r="K2073" s="1471">
        <v>44130</v>
      </c>
      <c r="L2073" s="1472" t="s">
        <v>2127</v>
      </c>
      <c r="M2073" s="1473">
        <v>7.4689999999999999E-3</v>
      </c>
      <c r="N2073" s="1474">
        <v>1.6112413371667265</v>
      </c>
      <c r="O2073" s="1474"/>
    </row>
    <row r="2074" spans="11:15">
      <c r="K2074" s="1471">
        <v>44131</v>
      </c>
      <c r="L2074" s="1472" t="s">
        <v>2127</v>
      </c>
      <c r="M2074" s="1473">
        <v>7.4689999999999999E-3</v>
      </c>
      <c r="N2074" s="1474">
        <v>1.6113616807821993</v>
      </c>
      <c r="O2074" s="1474"/>
    </row>
    <row r="2075" spans="11:15">
      <c r="K2075" s="1471">
        <v>44132</v>
      </c>
      <c r="L2075" s="1472" t="s">
        <v>2127</v>
      </c>
      <c r="M2075" s="1473">
        <v>7.4689999999999999E-3</v>
      </c>
      <c r="N2075" s="1474">
        <v>1.6114820333861368</v>
      </c>
      <c r="O2075" s="1474"/>
    </row>
    <row r="2076" spans="11:15">
      <c r="K2076" s="1471">
        <v>44133</v>
      </c>
      <c r="L2076" s="1472" t="s">
        <v>2127</v>
      </c>
      <c r="M2076" s="1473">
        <v>7.4689999999999999E-3</v>
      </c>
      <c r="N2076" s="1474">
        <v>1.6116023949792104</v>
      </c>
      <c r="O2076" s="1474"/>
    </row>
    <row r="2077" spans="11:15">
      <c r="K2077" s="1471">
        <v>44134</v>
      </c>
      <c r="L2077" s="1472" t="s">
        <v>2127</v>
      </c>
      <c r="M2077" s="1473">
        <v>7.4689999999999999E-3</v>
      </c>
      <c r="N2077" s="1474">
        <v>1.6117227655620914</v>
      </c>
      <c r="O2077" s="1474"/>
    </row>
    <row r="2078" spans="11:15">
      <c r="K2078" s="1471">
        <v>44135</v>
      </c>
      <c r="L2078" s="1472"/>
      <c r="M2078" s="1473">
        <v>0</v>
      </c>
      <c r="N2078" s="1474">
        <v>1.6117227655620914</v>
      </c>
      <c r="O2078" s="1474"/>
    </row>
    <row r="2079" spans="11:15">
      <c r="K2079" s="1471">
        <v>44136</v>
      </c>
      <c r="L2079" s="1472"/>
      <c r="M2079" s="1473">
        <v>0</v>
      </c>
      <c r="N2079" s="1474">
        <v>1.6117227655620914</v>
      </c>
      <c r="O2079" s="1474"/>
    </row>
    <row r="2080" spans="11:15">
      <c r="K2080" s="1471">
        <v>44137</v>
      </c>
      <c r="L2080" s="1472"/>
      <c r="M2080" s="1473">
        <v>0</v>
      </c>
      <c r="N2080" s="1474">
        <v>1.6117227655620914</v>
      </c>
      <c r="O2080" s="1474"/>
    </row>
    <row r="2081" spans="11:15">
      <c r="K2081" s="1471">
        <v>44138</v>
      </c>
      <c r="L2081" s="1472" t="s">
        <v>2127</v>
      </c>
      <c r="M2081" s="1473">
        <v>7.4689999999999999E-3</v>
      </c>
      <c r="N2081" s="1474">
        <v>1.6118431451354511</v>
      </c>
      <c r="O2081" s="1474"/>
    </row>
    <row r="2082" spans="11:15">
      <c r="K2082" s="1471">
        <v>44139</v>
      </c>
      <c r="L2082" s="1472" t="s">
        <v>2127</v>
      </c>
      <c r="M2082" s="1473">
        <v>7.4689999999999999E-3</v>
      </c>
      <c r="N2082" s="1474">
        <v>1.6119635336999611</v>
      </c>
      <c r="O2082" s="1474"/>
    </row>
    <row r="2083" spans="11:15">
      <c r="K2083" s="1471">
        <v>44140</v>
      </c>
      <c r="L2083" s="1472" t="s">
        <v>2127</v>
      </c>
      <c r="M2083" s="1473">
        <v>7.4689999999999999E-3</v>
      </c>
      <c r="N2083" s="1474">
        <v>1.6120839312562931</v>
      </c>
      <c r="O2083" s="1474"/>
    </row>
    <row r="2084" spans="11:15">
      <c r="K2084" s="1471">
        <v>44141</v>
      </c>
      <c r="L2084" s="1472" t="s">
        <v>2127</v>
      </c>
      <c r="M2084" s="1473">
        <v>7.4689999999999999E-3</v>
      </c>
      <c r="N2084" s="1474">
        <v>1.6122043378051185</v>
      </c>
      <c r="O2084" s="1474"/>
    </row>
    <row r="2085" spans="11:15">
      <c r="K2085" s="1471">
        <v>44142</v>
      </c>
      <c r="L2085" s="1472"/>
      <c r="M2085" s="1473">
        <v>0</v>
      </c>
      <c r="N2085" s="1474">
        <v>1.6122043378051185</v>
      </c>
      <c r="O2085" s="1474"/>
    </row>
    <row r="2086" spans="11:15">
      <c r="K2086" s="1471">
        <v>44143</v>
      </c>
      <c r="L2086" s="1472"/>
      <c r="M2086" s="1473">
        <v>0</v>
      </c>
      <c r="N2086" s="1474">
        <v>1.6122043378051185</v>
      </c>
      <c r="O2086" s="1474"/>
    </row>
    <row r="2087" spans="11:15">
      <c r="K2087" s="1471">
        <v>44144</v>
      </c>
      <c r="L2087" s="1472" t="s">
        <v>2127</v>
      </c>
      <c r="M2087" s="1473">
        <v>7.4689999999999999E-3</v>
      </c>
      <c r="N2087" s="1474">
        <v>1.612324753347109</v>
      </c>
      <c r="O2087" s="1474"/>
    </row>
    <row r="2088" spans="11:15">
      <c r="K2088" s="1471">
        <v>44145</v>
      </c>
      <c r="L2088" s="1472" t="s">
        <v>2127</v>
      </c>
      <c r="M2088" s="1473">
        <v>7.4689999999999999E-3</v>
      </c>
      <c r="N2088" s="1474">
        <v>1.6124451778829363</v>
      </c>
      <c r="O2088" s="1474"/>
    </row>
    <row r="2089" spans="11:15">
      <c r="K2089" s="1471">
        <v>44146</v>
      </c>
      <c r="L2089" s="1472" t="s">
        <v>2127</v>
      </c>
      <c r="M2089" s="1473">
        <v>7.4689999999999999E-3</v>
      </c>
      <c r="N2089" s="1474">
        <v>1.6125656114132723</v>
      </c>
      <c r="O2089" s="1474"/>
    </row>
    <row r="2090" spans="11:15">
      <c r="K2090" s="1471">
        <v>44147</v>
      </c>
      <c r="L2090" s="1472" t="s">
        <v>2127</v>
      </c>
      <c r="M2090" s="1473">
        <v>7.4689999999999999E-3</v>
      </c>
      <c r="N2090" s="1474">
        <v>1.6126860539387886</v>
      </c>
      <c r="O2090" s="1474"/>
    </row>
    <row r="2091" spans="11:15">
      <c r="K2091" s="1471">
        <v>44148</v>
      </c>
      <c r="L2091" s="1472" t="s">
        <v>2127</v>
      </c>
      <c r="M2091" s="1473">
        <v>7.4689999999999999E-3</v>
      </c>
      <c r="N2091" s="1474">
        <v>1.6128065054601572</v>
      </c>
      <c r="O2091" s="1474"/>
    </row>
    <row r="2092" spans="11:15">
      <c r="K2092" s="1471">
        <v>44149</v>
      </c>
      <c r="L2092" s="1472"/>
      <c r="M2092" s="1473">
        <v>0</v>
      </c>
      <c r="N2092" s="1474">
        <v>1.6128065054601572</v>
      </c>
      <c r="O2092" s="1474"/>
    </row>
    <row r="2093" spans="11:15">
      <c r="K2093" s="1471">
        <v>44150</v>
      </c>
      <c r="L2093" s="1472"/>
      <c r="M2093" s="1473">
        <v>0</v>
      </c>
      <c r="N2093" s="1474">
        <v>1.6128065054601572</v>
      </c>
      <c r="O2093" s="1474"/>
    </row>
    <row r="2094" spans="11:15">
      <c r="K2094" s="1471">
        <v>44151</v>
      </c>
      <c r="L2094" s="1472" t="s">
        <v>2127</v>
      </c>
      <c r="M2094" s="1473">
        <v>7.4689999999999999E-3</v>
      </c>
      <c r="N2094" s="1474">
        <v>1.6129269659780499</v>
      </c>
      <c r="O2094" s="1474"/>
    </row>
    <row r="2095" spans="11:15">
      <c r="K2095" s="1471">
        <v>44152</v>
      </c>
      <c r="L2095" s="1472" t="s">
        <v>2127</v>
      </c>
      <c r="M2095" s="1473">
        <v>7.4689999999999999E-3</v>
      </c>
      <c r="N2095" s="1474">
        <v>1.6130474354931386</v>
      </c>
      <c r="O2095" s="1474"/>
    </row>
    <row r="2096" spans="11:15">
      <c r="K2096" s="1471">
        <v>44153</v>
      </c>
      <c r="L2096" s="1472" t="s">
        <v>2127</v>
      </c>
      <c r="M2096" s="1473">
        <v>7.4689999999999999E-3</v>
      </c>
      <c r="N2096" s="1474">
        <v>1.6131679140060955</v>
      </c>
      <c r="O2096" s="1474"/>
    </row>
    <row r="2097" spans="11:15">
      <c r="K2097" s="1471">
        <v>44154</v>
      </c>
      <c r="L2097" s="1472" t="s">
        <v>2127</v>
      </c>
      <c r="M2097" s="1473">
        <v>7.4689999999999999E-3</v>
      </c>
      <c r="N2097" s="1474">
        <v>1.6132884015175926</v>
      </c>
      <c r="O2097" s="1474"/>
    </row>
    <row r="2098" spans="11:15">
      <c r="K2098" s="1471">
        <v>44155</v>
      </c>
      <c r="L2098" s="1472" t="s">
        <v>2127</v>
      </c>
      <c r="M2098" s="1473">
        <v>7.4689999999999999E-3</v>
      </c>
      <c r="N2098" s="1474">
        <v>1.6134088980283019</v>
      </c>
      <c r="O2098" s="1474"/>
    </row>
    <row r="2099" spans="11:15">
      <c r="K2099" s="1471">
        <v>44156</v>
      </c>
      <c r="L2099" s="1472"/>
      <c r="M2099" s="1473">
        <v>0</v>
      </c>
      <c r="N2099" s="1474">
        <v>1.6134088980283019</v>
      </c>
      <c r="O2099" s="1474"/>
    </row>
    <row r="2100" spans="11:15">
      <c r="K2100" s="1471">
        <v>44157</v>
      </c>
      <c r="L2100" s="1472"/>
      <c r="M2100" s="1473">
        <v>0</v>
      </c>
      <c r="N2100" s="1474">
        <v>1.6134088980283019</v>
      </c>
      <c r="O2100" s="1474"/>
    </row>
    <row r="2101" spans="11:15">
      <c r="K2101" s="1471">
        <v>44158</v>
      </c>
      <c r="L2101" s="1472" t="s">
        <v>2127</v>
      </c>
      <c r="M2101" s="1473">
        <v>7.4689999999999999E-3</v>
      </c>
      <c r="N2101" s="1474">
        <v>1.6135294035388956</v>
      </c>
      <c r="O2101" s="1474"/>
    </row>
    <row r="2102" spans="11:15">
      <c r="K2102" s="1471">
        <v>44159</v>
      </c>
      <c r="L2102" s="1472" t="s">
        <v>2127</v>
      </c>
      <c r="M2102" s="1473">
        <v>7.4689999999999999E-3</v>
      </c>
      <c r="N2102" s="1474">
        <v>1.6136499180500459</v>
      </c>
      <c r="O2102" s="1474"/>
    </row>
    <row r="2103" spans="11:15">
      <c r="K2103" s="1471">
        <v>44160</v>
      </c>
      <c r="L2103" s="1472" t="s">
        <v>2127</v>
      </c>
      <c r="M2103" s="1473">
        <v>7.4689999999999999E-3</v>
      </c>
      <c r="N2103" s="1474">
        <v>1.613770441562425</v>
      </c>
      <c r="O2103" s="1474"/>
    </row>
    <row r="2104" spans="11:15">
      <c r="K2104" s="1471">
        <v>44161</v>
      </c>
      <c r="L2104" s="1472" t="s">
        <v>2127</v>
      </c>
      <c r="M2104" s="1473">
        <v>7.4689999999999999E-3</v>
      </c>
      <c r="N2104" s="1474">
        <v>1.6138909740767051</v>
      </c>
      <c r="O2104" s="1474"/>
    </row>
    <row r="2105" spans="11:15">
      <c r="K2105" s="1471">
        <v>44162</v>
      </c>
      <c r="L2105" s="1472" t="s">
        <v>2127</v>
      </c>
      <c r="M2105" s="1473">
        <v>7.4689999999999999E-3</v>
      </c>
      <c r="N2105" s="1474">
        <v>1.6140115155935588</v>
      </c>
      <c r="O2105" s="1474"/>
    </row>
    <row r="2106" spans="11:15">
      <c r="K2106" s="1471">
        <v>44163</v>
      </c>
      <c r="L2106" s="1472"/>
      <c r="M2106" s="1473">
        <v>0</v>
      </c>
      <c r="N2106" s="1474">
        <v>1.6140115155935588</v>
      </c>
      <c r="O2106" s="1474"/>
    </row>
    <row r="2107" spans="11:15">
      <c r="K2107" s="1471">
        <v>44164</v>
      </c>
      <c r="L2107" s="1472"/>
      <c r="M2107" s="1473">
        <v>0</v>
      </c>
      <c r="N2107" s="1474">
        <v>1.6140115155935588</v>
      </c>
      <c r="O2107" s="1474"/>
    </row>
    <row r="2108" spans="11:15">
      <c r="K2108" s="1471">
        <v>44165</v>
      </c>
      <c r="L2108" s="1472" t="s">
        <v>2127</v>
      </c>
      <c r="M2108" s="1473">
        <v>7.4689999999999999E-3</v>
      </c>
      <c r="N2108" s="1474">
        <v>1.6141320661136584</v>
      </c>
      <c r="O2108" s="1474"/>
    </row>
    <row r="2109" spans="11:15">
      <c r="K2109" s="1471">
        <v>44166</v>
      </c>
      <c r="L2109" s="1472" t="s">
        <v>2127</v>
      </c>
      <c r="M2109" s="1473">
        <v>7.4689999999999999E-3</v>
      </c>
      <c r="N2109" s="1474">
        <v>1.6142526256376764</v>
      </c>
      <c r="O2109" s="1474"/>
    </row>
    <row r="2110" spans="11:15">
      <c r="K2110" s="1471">
        <v>44167</v>
      </c>
      <c r="L2110" s="1472" t="s">
        <v>2127</v>
      </c>
      <c r="M2110" s="1473">
        <v>7.4689999999999999E-3</v>
      </c>
      <c r="N2110" s="1474">
        <v>1.6143731941662851</v>
      </c>
      <c r="O2110" s="1474"/>
    </row>
    <row r="2111" spans="11:15">
      <c r="K2111" s="1471">
        <v>44168</v>
      </c>
      <c r="L2111" s="1472" t="s">
        <v>2127</v>
      </c>
      <c r="M2111" s="1473">
        <v>7.4689999999999999E-3</v>
      </c>
      <c r="N2111" s="1474">
        <v>1.6144937717001573</v>
      </c>
      <c r="O2111" s="1474"/>
    </row>
    <row r="2112" spans="11:15">
      <c r="K2112" s="1471">
        <v>44169</v>
      </c>
      <c r="L2112" s="1472" t="s">
        <v>2127</v>
      </c>
      <c r="M2112" s="1473">
        <v>7.4689999999999999E-3</v>
      </c>
      <c r="N2112" s="1474">
        <v>1.6146143582399655</v>
      </c>
      <c r="O2112" s="1474"/>
    </row>
    <row r="2113" spans="11:15">
      <c r="K2113" s="1471">
        <v>44170</v>
      </c>
      <c r="L2113" s="1472"/>
      <c r="M2113" s="1473">
        <v>0</v>
      </c>
      <c r="N2113" s="1474">
        <v>1.6146143582399655</v>
      </c>
      <c r="O2113" s="1474"/>
    </row>
    <row r="2114" spans="11:15">
      <c r="K2114" s="1471">
        <v>44171</v>
      </c>
      <c r="L2114" s="1472"/>
      <c r="M2114" s="1473">
        <v>0</v>
      </c>
      <c r="N2114" s="1474">
        <v>1.6146143582399655</v>
      </c>
      <c r="O2114" s="1474"/>
    </row>
    <row r="2115" spans="11:15">
      <c r="K2115" s="1471">
        <v>44172</v>
      </c>
      <c r="L2115" s="1472" t="s">
        <v>2127</v>
      </c>
      <c r="M2115" s="1473">
        <v>7.4689999999999999E-3</v>
      </c>
      <c r="N2115" s="1474">
        <v>1.6147349537863822</v>
      </c>
      <c r="O2115" s="1474"/>
    </row>
    <row r="2116" spans="11:15">
      <c r="K2116" s="1471">
        <v>44173</v>
      </c>
      <c r="L2116" s="1472" t="s">
        <v>2127</v>
      </c>
      <c r="M2116" s="1473">
        <v>7.4689999999999999E-3</v>
      </c>
      <c r="N2116" s="1474">
        <v>1.6148555583400803</v>
      </c>
      <c r="O2116" s="1474"/>
    </row>
    <row r="2117" spans="11:15">
      <c r="K2117" s="1471">
        <v>44174</v>
      </c>
      <c r="L2117" s="1472" t="s">
        <v>2127</v>
      </c>
      <c r="M2117" s="1473">
        <v>7.4689999999999999E-3</v>
      </c>
      <c r="N2117" s="1474">
        <v>1.6149761719017326</v>
      </c>
      <c r="O2117" s="1474"/>
    </row>
    <row r="2118" spans="11:15">
      <c r="K2118" s="1471">
        <v>44175</v>
      </c>
      <c r="L2118" s="1472" t="s">
        <v>2127</v>
      </c>
      <c r="M2118" s="1473">
        <v>7.4689999999999999E-3</v>
      </c>
      <c r="N2118" s="1474">
        <v>1.6150967944720118</v>
      </c>
      <c r="O2118" s="1474"/>
    </row>
    <row r="2119" spans="11:15">
      <c r="K2119" s="1471">
        <v>44176</v>
      </c>
      <c r="L2119" s="1472" t="s">
        <v>2127</v>
      </c>
      <c r="M2119" s="1473">
        <v>7.4689999999999999E-3</v>
      </c>
      <c r="N2119" s="1474">
        <v>1.6152174260515908</v>
      </c>
      <c r="O2119" s="1474"/>
    </row>
    <row r="2120" spans="11:15">
      <c r="K2120" s="1471">
        <v>44177</v>
      </c>
      <c r="L2120" s="1472"/>
      <c r="M2120" s="1473">
        <v>0</v>
      </c>
      <c r="N2120" s="1474">
        <v>1.6152174260515908</v>
      </c>
      <c r="O2120" s="1474"/>
    </row>
    <row r="2121" spans="11:15">
      <c r="K2121" s="1471">
        <v>44178</v>
      </c>
      <c r="L2121" s="1472"/>
      <c r="M2121" s="1473">
        <v>0</v>
      </c>
      <c r="N2121" s="1474">
        <v>1.6152174260515908</v>
      </c>
      <c r="O2121" s="1474"/>
    </row>
    <row r="2122" spans="11:15">
      <c r="K2122" s="1471">
        <v>44179</v>
      </c>
      <c r="L2122" s="1472" t="s">
        <v>2127</v>
      </c>
      <c r="M2122" s="1473">
        <v>7.4689999999999999E-3</v>
      </c>
      <c r="N2122" s="1474">
        <v>1.6153380666411425</v>
      </c>
      <c r="O2122" s="1474"/>
    </row>
    <row r="2123" spans="11:15">
      <c r="K2123" s="1471">
        <v>44180</v>
      </c>
      <c r="L2123" s="1472" t="s">
        <v>2127</v>
      </c>
      <c r="M2123" s="1473">
        <v>7.4689999999999999E-3</v>
      </c>
      <c r="N2123" s="1474">
        <v>1.6154587162413399</v>
      </c>
      <c r="O2123" s="1474"/>
    </row>
    <row r="2124" spans="11:15">
      <c r="K2124" s="1471">
        <v>44181</v>
      </c>
      <c r="L2124" s="1472" t="s">
        <v>2127</v>
      </c>
      <c r="M2124" s="1473">
        <v>7.4689999999999999E-3</v>
      </c>
      <c r="N2124" s="1474">
        <v>1.6155793748528557</v>
      </c>
      <c r="O2124" s="1474"/>
    </row>
    <row r="2125" spans="11:15">
      <c r="K2125" s="1471">
        <v>44182</v>
      </c>
      <c r="L2125" s="1472" t="s">
        <v>2127</v>
      </c>
      <c r="M2125" s="1473">
        <v>7.4689999999999999E-3</v>
      </c>
      <c r="N2125" s="1474">
        <v>1.6157000424763635</v>
      </c>
      <c r="O2125" s="1474"/>
    </row>
    <row r="2126" spans="11:15">
      <c r="K2126" s="1471">
        <v>44183</v>
      </c>
      <c r="L2126" s="1472" t="s">
        <v>2127</v>
      </c>
      <c r="M2126" s="1473">
        <v>7.4689999999999999E-3</v>
      </c>
      <c r="N2126" s="1474">
        <v>1.615820719112536</v>
      </c>
      <c r="O2126" s="1474"/>
    </row>
    <row r="2127" spans="11:15">
      <c r="K2127" s="1471">
        <v>44184</v>
      </c>
      <c r="L2127" s="1472"/>
      <c r="M2127" s="1473">
        <v>0</v>
      </c>
      <c r="N2127" s="1474">
        <v>1.615820719112536</v>
      </c>
      <c r="O2127" s="1474"/>
    </row>
    <row r="2128" spans="11:15">
      <c r="K2128" s="1471">
        <v>44185</v>
      </c>
      <c r="L2128" s="1472"/>
      <c r="M2128" s="1473">
        <v>0</v>
      </c>
      <c r="N2128" s="1474">
        <v>1.615820719112536</v>
      </c>
      <c r="O2128" s="1474"/>
    </row>
    <row r="2129" spans="11:15">
      <c r="K2129" s="1471">
        <v>44186</v>
      </c>
      <c r="L2129" s="1472" t="s">
        <v>2127</v>
      </c>
      <c r="M2129" s="1473">
        <v>7.4689999999999999E-3</v>
      </c>
      <c r="N2129" s="1474">
        <v>1.6159414047620464</v>
      </c>
      <c r="O2129" s="1474"/>
    </row>
    <row r="2130" spans="11:15">
      <c r="K2130" s="1471">
        <v>44187</v>
      </c>
      <c r="L2130" s="1472" t="s">
        <v>2127</v>
      </c>
      <c r="M2130" s="1473">
        <v>7.4689999999999999E-3</v>
      </c>
      <c r="N2130" s="1474">
        <v>1.6160620994255679</v>
      </c>
      <c r="O2130" s="1474"/>
    </row>
    <row r="2131" spans="11:15">
      <c r="K2131" s="1471">
        <v>44188</v>
      </c>
      <c r="L2131" s="1472" t="s">
        <v>2127</v>
      </c>
      <c r="M2131" s="1473">
        <v>7.4689999999999999E-3</v>
      </c>
      <c r="N2131" s="1474">
        <v>1.6161828031037739</v>
      </c>
      <c r="O2131" s="1474"/>
    </row>
    <row r="2132" spans="11:15">
      <c r="K2132" s="1471">
        <v>44189</v>
      </c>
      <c r="L2132" s="1472" t="s">
        <v>2127</v>
      </c>
      <c r="M2132" s="1473">
        <v>7.4689999999999999E-3</v>
      </c>
      <c r="N2132" s="1474">
        <v>1.6163035157973376</v>
      </c>
      <c r="O2132" s="1474"/>
    </row>
    <row r="2133" spans="11:15">
      <c r="K2133" s="1471">
        <v>44190</v>
      </c>
      <c r="L2133" s="1472"/>
      <c r="M2133" s="1473">
        <v>0</v>
      </c>
      <c r="N2133" s="1474">
        <v>1.6163035157973376</v>
      </c>
      <c r="O2133" s="1474"/>
    </row>
    <row r="2134" spans="11:15">
      <c r="K2134" s="1471">
        <v>44191</v>
      </c>
      <c r="L2134" s="1472"/>
      <c r="M2134" s="1473">
        <v>0</v>
      </c>
      <c r="N2134" s="1474">
        <v>1.6163035157973376</v>
      </c>
      <c r="O2134" s="1474"/>
    </row>
    <row r="2135" spans="11:15">
      <c r="K2135" s="1471">
        <v>44192</v>
      </c>
      <c r="L2135" s="1472"/>
      <c r="M2135" s="1473">
        <v>0</v>
      </c>
      <c r="N2135" s="1474">
        <v>1.6163035157973376</v>
      </c>
      <c r="O2135" s="1474"/>
    </row>
    <row r="2136" spans="11:15">
      <c r="K2136" s="1471">
        <v>44193</v>
      </c>
      <c r="L2136" s="1472" t="s">
        <v>2127</v>
      </c>
      <c r="M2136" s="1473">
        <v>7.4689999999999999E-3</v>
      </c>
      <c r="N2136" s="1474">
        <v>1.6164242375069324</v>
      </c>
      <c r="O2136" s="1474"/>
    </row>
    <row r="2137" spans="11:15">
      <c r="K2137" s="1471">
        <v>44194</v>
      </c>
      <c r="L2137" s="1472" t="s">
        <v>2127</v>
      </c>
      <c r="M2137" s="1473">
        <v>7.4689999999999999E-3</v>
      </c>
      <c r="N2137" s="1474">
        <v>1.6165449682332318</v>
      </c>
      <c r="O2137" s="1474"/>
    </row>
    <row r="2138" spans="11:15">
      <c r="K2138" s="1471">
        <v>44195</v>
      </c>
      <c r="L2138" s="1472" t="s">
        <v>2127</v>
      </c>
      <c r="M2138" s="1473">
        <v>7.4689999999999999E-3</v>
      </c>
      <c r="N2138" s="1474">
        <v>1.6166657079769091</v>
      </c>
      <c r="O2138" s="1474"/>
    </row>
    <row r="2139" spans="11:15">
      <c r="K2139" s="1471">
        <v>44196</v>
      </c>
      <c r="L2139" s="1472" t="s">
        <v>2127</v>
      </c>
      <c r="M2139" s="1473">
        <v>7.4689999999999999E-3</v>
      </c>
      <c r="N2139" s="1474">
        <v>1.6167864567386379</v>
      </c>
      <c r="O2139" s="1474"/>
    </row>
    <row r="2140" spans="11:15">
      <c r="K2140" s="1471">
        <v>44197</v>
      </c>
      <c r="L2140" s="1472"/>
      <c r="M2140" s="1473">
        <v>0</v>
      </c>
      <c r="N2140" s="1474">
        <v>1.6167864567386379</v>
      </c>
      <c r="O2140" s="1474"/>
    </row>
    <row r="2141" spans="11:15">
      <c r="K2141" s="1471">
        <v>44198</v>
      </c>
      <c r="L2141" s="1472"/>
      <c r="M2141" s="1473">
        <v>0</v>
      </c>
      <c r="N2141" s="1474">
        <v>1.6167864567386379</v>
      </c>
      <c r="O2141" s="1474"/>
    </row>
    <row r="2142" spans="11:15">
      <c r="K2142" s="1471">
        <v>44199</v>
      </c>
      <c r="L2142" s="1472"/>
      <c r="M2142" s="1473">
        <v>0</v>
      </c>
      <c r="N2142" s="1474">
        <v>1.6167864567386379</v>
      </c>
      <c r="O2142" s="1474"/>
    </row>
    <row r="2143" spans="11:15">
      <c r="K2143" s="1471">
        <v>44200</v>
      </c>
      <c r="L2143" s="1472" t="s">
        <v>2127</v>
      </c>
      <c r="M2143" s="1473">
        <v>7.4689999999999999E-3</v>
      </c>
      <c r="N2143" s="1474">
        <v>1.6169072145190915</v>
      </c>
      <c r="O2143" s="1474"/>
    </row>
    <row r="2144" spans="11:15">
      <c r="K2144" s="1471">
        <v>44201</v>
      </c>
      <c r="L2144" s="1472" t="s">
        <v>2127</v>
      </c>
      <c r="M2144" s="1473">
        <v>7.4689999999999999E-3</v>
      </c>
      <c r="N2144" s="1474">
        <v>1.6170279813189439</v>
      </c>
      <c r="O2144" s="1474"/>
    </row>
    <row r="2145" spans="11:15">
      <c r="K2145" s="1471">
        <v>44202</v>
      </c>
      <c r="L2145" s="1472" t="s">
        <v>2127</v>
      </c>
      <c r="M2145" s="1473">
        <v>7.4689999999999999E-3</v>
      </c>
      <c r="N2145" s="1474">
        <v>1.6171487571388685</v>
      </c>
      <c r="O2145" s="1474"/>
    </row>
    <row r="2146" spans="11:15">
      <c r="K2146" s="1471">
        <v>44203</v>
      </c>
      <c r="L2146" s="1472" t="s">
        <v>2127</v>
      </c>
      <c r="M2146" s="1473">
        <v>7.4689999999999999E-3</v>
      </c>
      <c r="N2146" s="1474">
        <v>1.6172695419795391</v>
      </c>
      <c r="O2146" s="1474"/>
    </row>
    <row r="2147" spans="11:15">
      <c r="K2147" s="1471">
        <v>44204</v>
      </c>
      <c r="L2147" s="1472" t="s">
        <v>2127</v>
      </c>
      <c r="M2147" s="1473">
        <v>7.4689999999999999E-3</v>
      </c>
      <c r="N2147" s="1474">
        <v>1.6173903358416295</v>
      </c>
      <c r="O2147" s="1474"/>
    </row>
    <row r="2148" spans="11:15">
      <c r="K2148" s="1471">
        <v>44205</v>
      </c>
      <c r="L2148" s="1472"/>
      <c r="M2148" s="1473">
        <v>0</v>
      </c>
      <c r="N2148" s="1474">
        <v>1.6173903358416295</v>
      </c>
      <c r="O2148" s="1474"/>
    </row>
    <row r="2149" spans="11:15">
      <c r="K2149" s="1471">
        <v>44206</v>
      </c>
      <c r="L2149" s="1472"/>
      <c r="M2149" s="1473">
        <v>0</v>
      </c>
      <c r="N2149" s="1474">
        <v>1.6173903358416295</v>
      </c>
      <c r="O2149" s="1474"/>
    </row>
    <row r="2150" spans="11:15">
      <c r="K2150" s="1471">
        <v>44207</v>
      </c>
      <c r="L2150" s="1472" t="s">
        <v>2127</v>
      </c>
      <c r="M2150" s="1473">
        <v>7.4689999999999999E-3</v>
      </c>
      <c r="N2150" s="1474">
        <v>1.6175111387258134</v>
      </c>
      <c r="O2150" s="1474"/>
    </row>
    <row r="2151" spans="11:15">
      <c r="K2151" s="1471">
        <v>44208</v>
      </c>
      <c r="L2151" s="1472" t="s">
        <v>2127</v>
      </c>
      <c r="M2151" s="1473">
        <v>7.4689999999999999E-3</v>
      </c>
      <c r="N2151" s="1474">
        <v>1.6176319506327648</v>
      </c>
      <c r="O2151" s="1474"/>
    </row>
    <row r="2152" spans="11:15">
      <c r="K2152" s="1471">
        <v>44209</v>
      </c>
      <c r="L2152" s="1472" t="s">
        <v>2127</v>
      </c>
      <c r="M2152" s="1473">
        <v>7.4689999999999999E-3</v>
      </c>
      <c r="N2152" s="1474">
        <v>1.6177527715631574</v>
      </c>
      <c r="O2152" s="1474"/>
    </row>
    <row r="2153" spans="11:15">
      <c r="K2153" s="1471">
        <v>44210</v>
      </c>
      <c r="L2153" s="1472" t="s">
        <v>2127</v>
      </c>
      <c r="M2153" s="1473">
        <v>7.4689999999999999E-3</v>
      </c>
      <c r="N2153" s="1474">
        <v>1.6178736015176653</v>
      </c>
      <c r="O2153" s="1474"/>
    </row>
    <row r="2154" spans="11:15">
      <c r="K2154" s="1471">
        <v>44211</v>
      </c>
      <c r="L2154" s="1472" t="s">
        <v>2127</v>
      </c>
      <c r="M2154" s="1473">
        <v>7.4689999999999999E-3</v>
      </c>
      <c r="N2154" s="1474">
        <v>1.6179944404969626</v>
      </c>
      <c r="O2154" s="1474"/>
    </row>
    <row r="2155" spans="11:15">
      <c r="K2155" s="1471">
        <v>44212</v>
      </c>
      <c r="L2155" s="1472"/>
      <c r="M2155" s="1473">
        <v>0</v>
      </c>
      <c r="N2155" s="1474">
        <v>1.6179944404969626</v>
      </c>
      <c r="O2155" s="1474"/>
    </row>
    <row r="2156" spans="11:15">
      <c r="K2156" s="1471">
        <v>44213</v>
      </c>
      <c r="L2156" s="1472"/>
      <c r="M2156" s="1473">
        <v>0</v>
      </c>
      <c r="N2156" s="1474">
        <v>1.6179944404969626</v>
      </c>
      <c r="O2156" s="1474"/>
    </row>
    <row r="2157" spans="11:15">
      <c r="K2157" s="1471">
        <v>44214</v>
      </c>
      <c r="L2157" s="1472" t="s">
        <v>2127</v>
      </c>
      <c r="M2157" s="1473">
        <v>7.4689999999999999E-3</v>
      </c>
      <c r="N2157" s="1474">
        <v>1.6181152885017231</v>
      </c>
      <c r="O2157" s="1474"/>
    </row>
    <row r="2158" spans="11:15">
      <c r="K2158" s="1471">
        <v>44215</v>
      </c>
      <c r="L2158" s="1472" t="s">
        <v>2127</v>
      </c>
      <c r="M2158" s="1473">
        <v>7.4689999999999999E-3</v>
      </c>
      <c r="N2158" s="1474">
        <v>1.6182361455326213</v>
      </c>
      <c r="O2158" s="1474"/>
    </row>
    <row r="2159" spans="11:15">
      <c r="K2159" s="1471">
        <v>44216</v>
      </c>
      <c r="L2159" s="1472" t="s">
        <v>2127</v>
      </c>
      <c r="M2159" s="1473">
        <v>7.4689999999999999E-3</v>
      </c>
      <c r="N2159" s="1474">
        <v>1.618357011590331</v>
      </c>
      <c r="O2159" s="1474"/>
    </row>
    <row r="2160" spans="11:15">
      <c r="K2160" s="1471">
        <v>44217</v>
      </c>
      <c r="L2160" s="1472" t="s">
        <v>2127</v>
      </c>
      <c r="M2160" s="1473">
        <v>7.4689999999999999E-3</v>
      </c>
      <c r="N2160" s="1474">
        <v>1.6184778866755265</v>
      </c>
      <c r="O2160" s="1474"/>
    </row>
    <row r="2161" spans="11:15">
      <c r="K2161" s="1471">
        <v>44218</v>
      </c>
      <c r="L2161" s="1472" t="s">
        <v>2127</v>
      </c>
      <c r="M2161" s="1473">
        <v>7.4689999999999999E-3</v>
      </c>
      <c r="N2161" s="1474">
        <v>1.6185987707888823</v>
      </c>
      <c r="O2161" s="1474"/>
    </row>
    <row r="2162" spans="11:15">
      <c r="K2162" s="1471">
        <v>44219</v>
      </c>
      <c r="L2162" s="1472"/>
      <c r="M2162" s="1473">
        <v>0</v>
      </c>
      <c r="N2162" s="1474">
        <v>1.6185987707888823</v>
      </c>
      <c r="O2162" s="1474"/>
    </row>
    <row r="2163" spans="11:15">
      <c r="K2163" s="1471">
        <v>44220</v>
      </c>
      <c r="L2163" s="1472"/>
      <c r="M2163" s="1473">
        <v>0</v>
      </c>
      <c r="N2163" s="1474">
        <v>1.6185987707888823</v>
      </c>
      <c r="O2163" s="1474"/>
    </row>
    <row r="2164" spans="11:15">
      <c r="K2164" s="1471">
        <v>44221</v>
      </c>
      <c r="L2164" s="1472" t="s">
        <v>2127</v>
      </c>
      <c r="M2164" s="1473">
        <v>7.4689999999999999E-3</v>
      </c>
      <c r="N2164" s="1474">
        <v>1.6187196639310724</v>
      </c>
      <c r="O2164" s="1474"/>
    </row>
    <row r="2165" spans="11:15">
      <c r="K2165" s="1471">
        <v>44222</v>
      </c>
      <c r="L2165" s="1472" t="s">
        <v>2127</v>
      </c>
      <c r="M2165" s="1473">
        <v>7.4689999999999999E-3</v>
      </c>
      <c r="N2165" s="1474">
        <v>1.6188405661027712</v>
      </c>
      <c r="O2165" s="1474"/>
    </row>
    <row r="2166" spans="11:15">
      <c r="K2166" s="1471">
        <v>44223</v>
      </c>
      <c r="L2166" s="1472" t="s">
        <v>2127</v>
      </c>
      <c r="M2166" s="1473">
        <v>7.4689999999999999E-3</v>
      </c>
      <c r="N2166" s="1474">
        <v>1.6189614773046532</v>
      </c>
      <c r="O2166" s="1474"/>
    </row>
    <row r="2167" spans="11:15">
      <c r="K2167" s="1471">
        <v>44224</v>
      </c>
      <c r="L2167" s="1472" t="s">
        <v>2127</v>
      </c>
      <c r="M2167" s="1473">
        <v>7.4689999999999999E-3</v>
      </c>
      <c r="N2167" s="1474">
        <v>1.6190823975373929</v>
      </c>
      <c r="O2167" s="1474"/>
    </row>
    <row r="2168" spans="11:15">
      <c r="K2168" s="1471">
        <v>44225</v>
      </c>
      <c r="L2168" s="1472" t="s">
        <v>2127</v>
      </c>
      <c r="M2168" s="1473">
        <v>7.4689999999999999E-3</v>
      </c>
      <c r="N2168" s="1474">
        <v>1.6192033268016648</v>
      </c>
      <c r="O2168" s="1474"/>
    </row>
    <row r="2169" spans="11:15">
      <c r="K2169" s="1471">
        <v>44226</v>
      </c>
      <c r="L2169" s="1472"/>
      <c r="M2169" s="1473">
        <v>0</v>
      </c>
      <c r="N2169" s="1474">
        <v>1.6192033268016648</v>
      </c>
      <c r="O2169" s="1474"/>
    </row>
    <row r="2170" spans="11:15">
      <c r="K2170" s="1471">
        <v>44227</v>
      </c>
      <c r="L2170" s="1472"/>
      <c r="M2170" s="1473">
        <v>0</v>
      </c>
      <c r="N2170" s="1474">
        <v>1.6192033268016648</v>
      </c>
      <c r="O2170" s="1474"/>
    </row>
    <row r="2171" spans="11:15">
      <c r="K2171" s="1471">
        <v>44228</v>
      </c>
      <c r="L2171" s="1472" t="s">
        <v>2127</v>
      </c>
      <c r="M2171" s="1473">
        <v>7.4689999999999999E-3</v>
      </c>
      <c r="N2171" s="1474">
        <v>1.6193242650981434</v>
      </c>
      <c r="O2171" s="1474"/>
    </row>
    <row r="2172" spans="11:15">
      <c r="K2172" s="1471">
        <v>44229</v>
      </c>
      <c r="L2172" s="1472" t="s">
        <v>2127</v>
      </c>
      <c r="M2172" s="1473">
        <v>7.4689999999999999E-3</v>
      </c>
      <c r="N2172" s="1474">
        <v>1.6194452124275034</v>
      </c>
      <c r="O2172" s="1474"/>
    </row>
    <row r="2173" spans="11:15">
      <c r="K2173" s="1471">
        <v>44230</v>
      </c>
      <c r="L2173" s="1472" t="s">
        <v>2127</v>
      </c>
      <c r="M2173" s="1473">
        <v>7.4689999999999999E-3</v>
      </c>
      <c r="N2173" s="1474">
        <v>1.6195661687904195</v>
      </c>
      <c r="O2173" s="1474"/>
    </row>
    <row r="2174" spans="11:15">
      <c r="K2174" s="1471">
        <v>44231</v>
      </c>
      <c r="L2174" s="1472" t="s">
        <v>2127</v>
      </c>
      <c r="M2174" s="1473">
        <v>7.4689999999999999E-3</v>
      </c>
      <c r="N2174" s="1474">
        <v>1.6196871341875663</v>
      </c>
      <c r="O2174" s="1474"/>
    </row>
    <row r="2175" spans="11:15">
      <c r="K2175" s="1471">
        <v>44232</v>
      </c>
      <c r="L2175" s="1472" t="s">
        <v>2127</v>
      </c>
      <c r="M2175" s="1473">
        <v>7.4689999999999999E-3</v>
      </c>
      <c r="N2175" s="1474">
        <v>1.6198081086196185</v>
      </c>
      <c r="O2175" s="1474"/>
    </row>
    <row r="2176" spans="11:15">
      <c r="K2176" s="1471">
        <v>44233</v>
      </c>
      <c r="L2176" s="1472"/>
      <c r="M2176" s="1473">
        <v>0</v>
      </c>
      <c r="N2176" s="1474">
        <v>1.6198081086196185</v>
      </c>
      <c r="O2176" s="1474"/>
    </row>
    <row r="2177" spans="11:15">
      <c r="K2177" s="1471">
        <v>44234</v>
      </c>
      <c r="L2177" s="1472"/>
      <c r="M2177" s="1473">
        <v>0</v>
      </c>
      <c r="N2177" s="1474">
        <v>1.6198081086196185</v>
      </c>
      <c r="O2177" s="1474"/>
    </row>
    <row r="2178" spans="11:15">
      <c r="K2178" s="1471">
        <v>44235</v>
      </c>
      <c r="L2178" s="1472" t="s">
        <v>2127</v>
      </c>
      <c r="M2178" s="1473">
        <v>7.4689999999999999E-3</v>
      </c>
      <c r="N2178" s="1474">
        <v>1.6199290920872513</v>
      </c>
      <c r="O2178" s="1474"/>
    </row>
    <row r="2179" spans="11:15">
      <c r="K2179" s="1471">
        <v>44236</v>
      </c>
      <c r="L2179" s="1472" t="s">
        <v>2127</v>
      </c>
      <c r="M2179" s="1473">
        <v>7.4689999999999999E-3</v>
      </c>
      <c r="N2179" s="1474">
        <v>1.6200500845911392</v>
      </c>
      <c r="O2179" s="1474"/>
    </row>
    <row r="2180" spans="11:15">
      <c r="K2180" s="1471">
        <v>44237</v>
      </c>
      <c r="L2180" s="1472" t="s">
        <v>2127</v>
      </c>
      <c r="M2180" s="1473">
        <v>7.4689999999999999E-3</v>
      </c>
      <c r="N2180" s="1474">
        <v>1.6201710861319571</v>
      </c>
      <c r="O2180" s="1474"/>
    </row>
    <row r="2181" spans="11:15">
      <c r="K2181" s="1471">
        <v>44238</v>
      </c>
      <c r="L2181" s="1472" t="s">
        <v>2127</v>
      </c>
      <c r="M2181" s="1473">
        <v>7.4689999999999999E-3</v>
      </c>
      <c r="N2181" s="1474">
        <v>1.6202920967103802</v>
      </c>
      <c r="O2181" s="1474"/>
    </row>
    <row r="2182" spans="11:15">
      <c r="K2182" s="1471">
        <v>44239</v>
      </c>
      <c r="L2182" s="1472" t="s">
        <v>2127</v>
      </c>
      <c r="M2182" s="1473">
        <v>7.4689999999999999E-3</v>
      </c>
      <c r="N2182" s="1474">
        <v>1.6204131163270834</v>
      </c>
      <c r="O2182" s="1474"/>
    </row>
    <row r="2183" spans="11:15">
      <c r="K2183" s="1471">
        <v>44240</v>
      </c>
      <c r="L2183" s="1472"/>
      <c r="M2183" s="1473">
        <v>0</v>
      </c>
      <c r="N2183" s="1474">
        <v>1.6204131163270834</v>
      </c>
      <c r="O2183" s="1474"/>
    </row>
    <row r="2184" spans="11:15">
      <c r="K2184" s="1471">
        <v>44241</v>
      </c>
      <c r="L2184" s="1472"/>
      <c r="M2184" s="1473">
        <v>0</v>
      </c>
      <c r="N2184" s="1474">
        <v>1.6204131163270834</v>
      </c>
      <c r="O2184" s="1474"/>
    </row>
    <row r="2185" spans="11:15">
      <c r="K2185" s="1471">
        <v>44242</v>
      </c>
      <c r="L2185" s="1472"/>
      <c r="M2185" s="1473">
        <v>0</v>
      </c>
      <c r="N2185" s="1474">
        <v>1.6204131163270834</v>
      </c>
      <c r="O2185" s="1474"/>
    </row>
    <row r="2186" spans="11:15">
      <c r="K2186" s="1471">
        <v>44243</v>
      </c>
      <c r="L2186" s="1472"/>
      <c r="M2186" s="1473">
        <v>0</v>
      </c>
      <c r="N2186" s="1474">
        <v>1.6204131163270834</v>
      </c>
      <c r="O2186" s="1474"/>
    </row>
    <row r="2187" spans="11:15">
      <c r="K2187" s="1471">
        <v>44244</v>
      </c>
      <c r="L2187" s="1472" t="s">
        <v>2127</v>
      </c>
      <c r="M2187" s="1473">
        <v>7.4689999999999999E-3</v>
      </c>
      <c r="N2187" s="1474">
        <v>1.6205341449827417</v>
      </c>
      <c r="O2187" s="1474"/>
    </row>
    <row r="2188" spans="11:15">
      <c r="K2188" s="1471">
        <v>44245</v>
      </c>
      <c r="L2188" s="1472" t="s">
        <v>2127</v>
      </c>
      <c r="M2188" s="1473">
        <v>7.4689999999999999E-3</v>
      </c>
      <c r="N2188" s="1474">
        <v>1.6206551826780304</v>
      </c>
      <c r="O2188" s="1474"/>
    </row>
    <row r="2189" spans="11:15">
      <c r="K2189" s="1471">
        <v>44246</v>
      </c>
      <c r="L2189" s="1472" t="s">
        <v>2127</v>
      </c>
      <c r="M2189" s="1473">
        <v>7.4689999999999999E-3</v>
      </c>
      <c r="N2189" s="1474">
        <v>1.6207762294136245</v>
      </c>
      <c r="O2189" s="1474"/>
    </row>
    <row r="2190" spans="11:15">
      <c r="K2190" s="1471">
        <v>44247</v>
      </c>
      <c r="L2190" s="1472"/>
      <c r="M2190" s="1473">
        <v>0</v>
      </c>
      <c r="N2190" s="1474">
        <v>1.6207762294136245</v>
      </c>
      <c r="O2190" s="1474"/>
    </row>
    <row r="2191" spans="11:15">
      <c r="K2191" s="1471">
        <v>44248</v>
      </c>
      <c r="L2191" s="1472"/>
      <c r="M2191" s="1473">
        <v>0</v>
      </c>
      <c r="N2191" s="1474">
        <v>1.6207762294136245</v>
      </c>
      <c r="O2191" s="1474"/>
    </row>
    <row r="2192" spans="11:15">
      <c r="K2192" s="1471">
        <v>44249</v>
      </c>
      <c r="L2192" s="1472" t="s">
        <v>2127</v>
      </c>
      <c r="M2192" s="1473">
        <v>7.4689999999999999E-3</v>
      </c>
      <c r="N2192" s="1474">
        <v>1.6208972851901993</v>
      </c>
      <c r="O2192" s="1474"/>
    </row>
    <row r="2193" spans="11:15">
      <c r="K2193" s="1471">
        <v>44250</v>
      </c>
      <c r="L2193" s="1472" t="s">
        <v>2127</v>
      </c>
      <c r="M2193" s="1473">
        <v>7.4689999999999999E-3</v>
      </c>
      <c r="N2193" s="1474">
        <v>1.6210183500084301</v>
      </c>
      <c r="O2193" s="1474"/>
    </row>
    <row r="2194" spans="11:15">
      <c r="K2194" s="1471">
        <v>44251</v>
      </c>
      <c r="L2194" s="1472" t="s">
        <v>2127</v>
      </c>
      <c r="M2194" s="1473">
        <v>7.4689999999999999E-3</v>
      </c>
      <c r="N2194" s="1474">
        <v>1.621139423868992</v>
      </c>
      <c r="O2194" s="1474"/>
    </row>
    <row r="2195" spans="11:15">
      <c r="K2195" s="1471">
        <v>44252</v>
      </c>
      <c r="L2195" s="1472" t="s">
        <v>2127</v>
      </c>
      <c r="M2195" s="1473">
        <v>7.4689999999999999E-3</v>
      </c>
      <c r="N2195" s="1474">
        <v>1.6212605067725607</v>
      </c>
      <c r="O2195" s="1474"/>
    </row>
    <row r="2196" spans="11:15">
      <c r="K2196" s="1471">
        <v>44253</v>
      </c>
      <c r="L2196" s="1472" t="s">
        <v>2127</v>
      </c>
      <c r="M2196" s="1473">
        <v>7.4689999999999999E-3</v>
      </c>
      <c r="N2196" s="1474">
        <v>1.6213815987198115</v>
      </c>
      <c r="O2196" s="1474"/>
    </row>
    <row r="2197" spans="11:15">
      <c r="K2197" s="1471">
        <v>44254</v>
      </c>
      <c r="L2197" s="1472"/>
      <c r="M2197" s="1473">
        <v>0</v>
      </c>
      <c r="N2197" s="1474">
        <v>1.6213815987198115</v>
      </c>
      <c r="O2197" s="1474"/>
    </row>
    <row r="2198" spans="11:15">
      <c r="K2198" s="1471">
        <v>44255</v>
      </c>
      <c r="L2198" s="1472"/>
      <c r="M2198" s="1473">
        <v>0</v>
      </c>
      <c r="N2198" s="1474">
        <v>1.6213815987198115</v>
      </c>
      <c r="O2198" s="1474"/>
    </row>
    <row r="2199" spans="11:15">
      <c r="K2199" s="1471">
        <v>44256</v>
      </c>
      <c r="L2199" s="1472" t="s">
        <v>2127</v>
      </c>
      <c r="M2199" s="1473">
        <v>7.4689999999999999E-3</v>
      </c>
      <c r="N2199" s="1474">
        <v>1.6215026997114197</v>
      </c>
      <c r="O2199" s="1474"/>
    </row>
    <row r="2200" spans="11:15">
      <c r="K2200" s="1471">
        <v>44257</v>
      </c>
      <c r="L2200" s="1472" t="s">
        <v>2127</v>
      </c>
      <c r="M2200" s="1473">
        <v>7.4689999999999999E-3</v>
      </c>
      <c r="N2200" s="1474">
        <v>1.6216238097480611</v>
      </c>
      <c r="O2200" s="1474"/>
    </row>
    <row r="2201" spans="11:15">
      <c r="K2201" s="1471">
        <v>44258</v>
      </c>
      <c r="L2201" s="1472" t="s">
        <v>2127</v>
      </c>
      <c r="M2201" s="1473">
        <v>7.4689999999999999E-3</v>
      </c>
      <c r="N2201" s="1474">
        <v>1.6217449288304111</v>
      </c>
      <c r="O2201" s="1474"/>
    </row>
    <row r="2202" spans="11:15">
      <c r="K2202" s="1471">
        <v>44259</v>
      </c>
      <c r="L2202" s="1472" t="s">
        <v>2127</v>
      </c>
      <c r="M2202" s="1473">
        <v>7.4689999999999999E-3</v>
      </c>
      <c r="N2202" s="1474">
        <v>1.6218660569591454</v>
      </c>
      <c r="O2202" s="1474"/>
    </row>
    <row r="2203" spans="11:15">
      <c r="K2203" s="1471">
        <v>44260</v>
      </c>
      <c r="L2203" s="1472" t="s">
        <v>2127</v>
      </c>
      <c r="M2203" s="1473">
        <v>7.4689999999999999E-3</v>
      </c>
      <c r="N2203" s="1474">
        <v>1.6219871941349395</v>
      </c>
      <c r="O2203" s="1474"/>
    </row>
    <row r="2204" spans="11:15">
      <c r="K2204" s="1471">
        <v>44261</v>
      </c>
      <c r="L2204" s="1472"/>
      <c r="M2204" s="1473">
        <v>0</v>
      </c>
      <c r="N2204" s="1474">
        <v>1.6219871941349395</v>
      </c>
      <c r="O2204" s="1474"/>
    </row>
    <row r="2205" spans="11:15">
      <c r="K2205" s="1471">
        <v>44262</v>
      </c>
      <c r="L2205" s="1472"/>
      <c r="M2205" s="1473">
        <v>0</v>
      </c>
      <c r="N2205" s="1474">
        <v>1.6219871941349395</v>
      </c>
      <c r="O2205" s="1474"/>
    </row>
    <row r="2206" spans="11:15">
      <c r="K2206" s="1471">
        <v>44263</v>
      </c>
      <c r="L2206" s="1472" t="s">
        <v>2127</v>
      </c>
      <c r="M2206" s="1473">
        <v>7.4689999999999999E-3</v>
      </c>
      <c r="N2206" s="1474">
        <v>1.6221083403584693</v>
      </c>
      <c r="O2206" s="1474"/>
    </row>
    <row r="2207" spans="11:15">
      <c r="K2207" s="1471">
        <v>44264</v>
      </c>
      <c r="L2207" s="1472" t="s">
        <v>2127</v>
      </c>
      <c r="M2207" s="1473">
        <v>7.4689999999999999E-3</v>
      </c>
      <c r="N2207" s="1474">
        <v>1.6222294956304106</v>
      </c>
      <c r="O2207" s="1474"/>
    </row>
    <row r="2208" spans="11:15">
      <c r="K2208" s="1471">
        <v>44265</v>
      </c>
      <c r="L2208" s="1472" t="s">
        <v>2127</v>
      </c>
      <c r="M2208" s="1473">
        <v>7.4689999999999999E-3</v>
      </c>
      <c r="N2208" s="1474">
        <v>1.6223506599514392</v>
      </c>
      <c r="O2208" s="1474"/>
    </row>
    <row r="2209" spans="11:15">
      <c r="K2209" s="1471">
        <v>44266</v>
      </c>
      <c r="L2209" s="1472" t="s">
        <v>2127</v>
      </c>
      <c r="M2209" s="1473">
        <v>7.4689999999999999E-3</v>
      </c>
      <c r="N2209" s="1474">
        <v>1.622471833322231</v>
      </c>
      <c r="O2209" s="1474"/>
    </row>
    <row r="2210" spans="11:15">
      <c r="K2210" s="1471">
        <v>44267</v>
      </c>
      <c r="L2210" s="1472" t="s">
        <v>2127</v>
      </c>
      <c r="M2210" s="1473">
        <v>7.4689999999999999E-3</v>
      </c>
      <c r="N2210" s="1474">
        <v>1.6225930157434618</v>
      </c>
      <c r="O2210" s="1474"/>
    </row>
    <row r="2211" spans="11:15">
      <c r="K2211" s="1471">
        <v>44268</v>
      </c>
      <c r="L2211" s="1472"/>
      <c r="M2211" s="1473">
        <v>0</v>
      </c>
      <c r="N2211" s="1474">
        <v>1.6225930157434618</v>
      </c>
      <c r="O2211" s="1474"/>
    </row>
    <row r="2212" spans="11:15">
      <c r="K2212" s="1471">
        <v>44269</v>
      </c>
      <c r="L2212" s="1472"/>
      <c r="M2212" s="1473">
        <v>0</v>
      </c>
      <c r="N2212" s="1474">
        <v>1.6225930157434618</v>
      </c>
      <c r="O2212" s="1474"/>
    </row>
    <row r="2213" spans="11:15">
      <c r="K2213" s="1471">
        <v>44270</v>
      </c>
      <c r="L2213" s="1472" t="s">
        <v>2127</v>
      </c>
      <c r="M2213" s="1473">
        <v>7.4689999999999999E-3</v>
      </c>
      <c r="N2213" s="1474">
        <v>1.6227142072158076</v>
      </c>
      <c r="O2213" s="1474"/>
    </row>
    <row r="2214" spans="11:15">
      <c r="K2214" s="1471">
        <v>44271</v>
      </c>
      <c r="L2214" s="1472" t="s">
        <v>2127</v>
      </c>
      <c r="M2214" s="1473">
        <v>7.4689999999999999E-3</v>
      </c>
      <c r="N2214" s="1474">
        <v>1.6228354077399445</v>
      </c>
      <c r="O2214" s="1474"/>
    </row>
    <row r="2215" spans="11:15">
      <c r="K2215" s="1471">
        <v>44272</v>
      </c>
      <c r="L2215" s="1472" t="s">
        <v>2127</v>
      </c>
      <c r="M2215" s="1473">
        <v>7.4689999999999999E-3</v>
      </c>
      <c r="N2215" s="1474">
        <v>1.6229566173165484</v>
      </c>
      <c r="O2215" s="1474"/>
    </row>
    <row r="2216" spans="11:15">
      <c r="K2216" s="1471">
        <v>44273</v>
      </c>
      <c r="L2216" s="1472" t="s">
        <v>2127</v>
      </c>
      <c r="M2216" s="1473">
        <v>1.0378999999999999E-2</v>
      </c>
      <c r="N2216" s="1474">
        <v>1.6231250639838597</v>
      </c>
      <c r="O2216" s="1474"/>
    </row>
    <row r="2217" spans="11:15">
      <c r="K2217" s="1471">
        <v>44274</v>
      </c>
      <c r="L2217" s="1472" t="s">
        <v>2127</v>
      </c>
      <c r="M2217" s="1473">
        <v>1.0378999999999999E-2</v>
      </c>
      <c r="N2217" s="1474">
        <v>1.6232935281342507</v>
      </c>
      <c r="O2217" s="1474"/>
    </row>
    <row r="2218" spans="11:15">
      <c r="K2218" s="1471">
        <v>44275</v>
      </c>
      <c r="L2218" s="1472"/>
      <c r="M2218" s="1473">
        <v>0</v>
      </c>
      <c r="N2218" s="1474">
        <v>1.6232935281342507</v>
      </c>
      <c r="O2218" s="1474"/>
    </row>
    <row r="2219" spans="11:15">
      <c r="K2219" s="1471">
        <v>44276</v>
      </c>
      <c r="L2219" s="1472"/>
      <c r="M2219" s="1473">
        <v>0</v>
      </c>
      <c r="N2219" s="1474">
        <v>1.6232935281342507</v>
      </c>
      <c r="O2219" s="1474"/>
    </row>
    <row r="2220" spans="11:15">
      <c r="K2220" s="1471">
        <v>44277</v>
      </c>
      <c r="L2220" s="1472" t="s">
        <v>2127</v>
      </c>
      <c r="M2220" s="1473">
        <v>1.0378999999999999E-2</v>
      </c>
      <c r="N2220" s="1474">
        <v>1.6234620097695358</v>
      </c>
      <c r="O2220" s="1474"/>
    </row>
    <row r="2221" spans="11:15">
      <c r="K2221" s="1471">
        <v>44278</v>
      </c>
      <c r="L2221" s="1472" t="s">
        <v>2127</v>
      </c>
      <c r="M2221" s="1473">
        <v>1.0378999999999999E-2</v>
      </c>
      <c r="N2221" s="1474">
        <v>1.6236305088915299</v>
      </c>
      <c r="O2221" s="1474"/>
    </row>
    <row r="2222" spans="11:15">
      <c r="K2222" s="1471">
        <v>44279</v>
      </c>
      <c r="L2222" s="1472" t="s">
        <v>2127</v>
      </c>
      <c r="M2222" s="1473">
        <v>1.0378999999999999E-2</v>
      </c>
      <c r="N2222" s="1474">
        <v>1.6237990255020478</v>
      </c>
      <c r="O2222" s="1474"/>
    </row>
    <row r="2223" spans="11:15">
      <c r="K2223" s="1471">
        <v>44280</v>
      </c>
      <c r="L2223" s="1472" t="s">
        <v>2127</v>
      </c>
      <c r="M2223" s="1473">
        <v>1.0378999999999999E-2</v>
      </c>
      <c r="N2223" s="1474">
        <v>1.6239675596029048</v>
      </c>
      <c r="O2223" s="1474"/>
    </row>
    <row r="2224" spans="11:15">
      <c r="K2224" s="1471">
        <v>44281</v>
      </c>
      <c r="L2224" s="1472" t="s">
        <v>2127</v>
      </c>
      <c r="M2224" s="1473">
        <v>1.0378999999999999E-2</v>
      </c>
      <c r="N2224" s="1474">
        <v>1.6241361111959161</v>
      </c>
      <c r="O2224" s="1474"/>
    </row>
    <row r="2225" spans="11:15">
      <c r="K2225" s="1471">
        <v>44282</v>
      </c>
      <c r="L2225" s="1472"/>
      <c r="M2225" s="1473">
        <v>0</v>
      </c>
      <c r="N2225" s="1474">
        <v>1.6241361111959161</v>
      </c>
      <c r="O2225" s="1474"/>
    </row>
    <row r="2226" spans="11:15">
      <c r="K2226" s="1471">
        <v>44283</v>
      </c>
      <c r="L2226" s="1472"/>
      <c r="M2226" s="1473">
        <v>0</v>
      </c>
      <c r="N2226" s="1474">
        <v>1.6241361111959161</v>
      </c>
      <c r="O2226" s="1474"/>
    </row>
    <row r="2227" spans="11:15">
      <c r="K2227" s="1471">
        <v>44284</v>
      </c>
      <c r="L2227" s="1472" t="s">
        <v>2127</v>
      </c>
      <c r="M2227" s="1473">
        <v>1.0378999999999999E-2</v>
      </c>
      <c r="N2227" s="1474">
        <v>1.6243046802828971</v>
      </c>
      <c r="O2227" s="1474"/>
    </row>
    <row r="2228" spans="11:15">
      <c r="K2228" s="1471">
        <v>44285</v>
      </c>
      <c r="L2228" s="1472" t="s">
        <v>2127</v>
      </c>
      <c r="M2228" s="1473">
        <v>1.0378999999999999E-2</v>
      </c>
      <c r="N2228" s="1474">
        <v>1.6244732668656638</v>
      </c>
      <c r="O2228" s="1474"/>
    </row>
    <row r="2229" spans="11:15">
      <c r="K2229" s="1471">
        <v>44286</v>
      </c>
      <c r="L2229" s="1472" t="s">
        <v>2127</v>
      </c>
      <c r="M2229" s="1473">
        <v>1.0378999999999999E-2</v>
      </c>
      <c r="N2229" s="1474">
        <v>1.624641870946032</v>
      </c>
      <c r="O2229" s="1474"/>
    </row>
    <row r="2230" spans="11:15">
      <c r="K2230" s="1471">
        <v>44287</v>
      </c>
      <c r="L2230" s="1472" t="s">
        <v>2127</v>
      </c>
      <c r="M2230" s="1473">
        <v>1.0378999999999999E-2</v>
      </c>
      <c r="N2230" s="1474">
        <v>1.6248104925258176</v>
      </c>
      <c r="O2230" s="1474"/>
    </row>
    <row r="2231" spans="11:15">
      <c r="K2231" s="1471">
        <v>44288</v>
      </c>
      <c r="L2231" s="1472"/>
      <c r="M2231" s="1473">
        <v>0</v>
      </c>
      <c r="N2231" s="1474">
        <v>1.6248104925258176</v>
      </c>
      <c r="O2231" s="1474"/>
    </row>
    <row r="2232" spans="11:15">
      <c r="K2232" s="1471">
        <v>44289</v>
      </c>
      <c r="L2232" s="1472"/>
      <c r="M2232" s="1473">
        <v>0</v>
      </c>
      <c r="N2232" s="1474">
        <v>1.6248104925258176</v>
      </c>
      <c r="O2232" s="1474"/>
    </row>
    <row r="2233" spans="11:15">
      <c r="K2233" s="1471">
        <v>44290</v>
      </c>
      <c r="L2233" s="1472"/>
      <c r="M2233" s="1473">
        <v>0</v>
      </c>
      <c r="N2233" s="1474">
        <v>1.6248104925258176</v>
      </c>
      <c r="O2233" s="1474"/>
    </row>
    <row r="2234" spans="11:15">
      <c r="K2234" s="1471">
        <v>44291</v>
      </c>
      <c r="L2234" s="1472" t="s">
        <v>2127</v>
      </c>
      <c r="M2234" s="1473">
        <v>1.0378999999999999E-2</v>
      </c>
      <c r="N2234" s="1474">
        <v>1.6249791316068369</v>
      </c>
      <c r="O2234" s="1474"/>
    </row>
    <row r="2235" spans="11:15">
      <c r="K2235" s="1471">
        <v>44292</v>
      </c>
      <c r="L2235" s="1472" t="s">
        <v>2127</v>
      </c>
      <c r="M2235" s="1473">
        <v>1.0378999999999999E-2</v>
      </c>
      <c r="N2235" s="1474">
        <v>1.6251477881909064</v>
      </c>
      <c r="O2235" s="1474"/>
    </row>
    <row r="2236" spans="11:15">
      <c r="K2236" s="1471">
        <v>44293</v>
      </c>
      <c r="L2236" s="1472" t="s">
        <v>2127</v>
      </c>
      <c r="M2236" s="1473">
        <v>1.0378999999999999E-2</v>
      </c>
      <c r="N2236" s="1474">
        <v>1.6253164622798428</v>
      </c>
      <c r="O2236" s="1474"/>
    </row>
    <row r="2237" spans="11:15">
      <c r="K2237" s="1471">
        <v>44294</v>
      </c>
      <c r="L2237" s="1472" t="s">
        <v>2127</v>
      </c>
      <c r="M2237" s="1473">
        <v>1.0378999999999999E-2</v>
      </c>
      <c r="N2237" s="1474">
        <v>1.6254851538754629</v>
      </c>
      <c r="O2237" s="1474"/>
    </row>
    <row r="2238" spans="11:15">
      <c r="K2238" s="1471">
        <v>44295</v>
      </c>
      <c r="L2238" s="1472" t="s">
        <v>2127</v>
      </c>
      <c r="M2238" s="1473">
        <v>1.0378999999999999E-2</v>
      </c>
      <c r="N2238" s="1474">
        <v>1.6256538629795838</v>
      </c>
      <c r="O2238" s="1474"/>
    </row>
    <row r="2239" spans="11:15">
      <c r="K2239" s="1471">
        <v>44296</v>
      </c>
      <c r="L2239" s="1472"/>
      <c r="M2239" s="1473">
        <v>0</v>
      </c>
      <c r="N2239" s="1474">
        <v>1.6256538629795838</v>
      </c>
      <c r="O2239" s="1474"/>
    </row>
    <row r="2240" spans="11:15">
      <c r="K2240" s="1471">
        <v>44297</v>
      </c>
      <c r="L2240" s="1472"/>
      <c r="M2240" s="1473">
        <v>0</v>
      </c>
      <c r="N2240" s="1474">
        <v>1.6256538629795838</v>
      </c>
      <c r="O2240" s="1474"/>
    </row>
    <row r="2241" spans="11:15">
      <c r="K2241" s="1471">
        <v>44298</v>
      </c>
      <c r="L2241" s="1472" t="s">
        <v>2127</v>
      </c>
      <c r="M2241" s="1473">
        <v>1.0378999999999999E-2</v>
      </c>
      <c r="N2241" s="1474">
        <v>1.6258225895940226</v>
      </c>
      <c r="O2241" s="1474"/>
    </row>
    <row r="2242" spans="11:15">
      <c r="K2242" s="1471">
        <v>44299</v>
      </c>
      <c r="L2242" s="1472" t="s">
        <v>2127</v>
      </c>
      <c r="M2242" s="1473">
        <v>1.0378999999999999E-2</v>
      </c>
      <c r="N2242" s="1474">
        <v>1.6259913337205967</v>
      </c>
      <c r="O2242" s="1474"/>
    </row>
    <row r="2243" spans="11:15">
      <c r="K2243" s="1471">
        <v>44300</v>
      </c>
      <c r="L2243" s="1472" t="s">
        <v>2127</v>
      </c>
      <c r="M2243" s="1473">
        <v>1.0378999999999999E-2</v>
      </c>
      <c r="N2243" s="1474">
        <v>1.6261600953611237</v>
      </c>
      <c r="O2243" s="1474"/>
    </row>
    <row r="2244" spans="11:15">
      <c r="K2244" s="1471">
        <v>44301</v>
      </c>
      <c r="L2244" s="1472" t="s">
        <v>2127</v>
      </c>
      <c r="M2244" s="1473">
        <v>1.0378999999999999E-2</v>
      </c>
      <c r="N2244" s="1474">
        <v>1.6263288745174214</v>
      </c>
      <c r="O2244" s="1474"/>
    </row>
    <row r="2245" spans="11:15">
      <c r="K2245" s="1471">
        <v>44302</v>
      </c>
      <c r="L2245" s="1472" t="s">
        <v>2127</v>
      </c>
      <c r="M2245" s="1473">
        <v>1.0378999999999999E-2</v>
      </c>
      <c r="N2245" s="1474">
        <v>1.6264976711913075</v>
      </c>
      <c r="O2245" s="1474"/>
    </row>
    <row r="2246" spans="11:15">
      <c r="K2246" s="1471">
        <v>44303</v>
      </c>
      <c r="L2246" s="1472"/>
      <c r="M2246" s="1473">
        <v>0</v>
      </c>
      <c r="N2246" s="1474">
        <v>1.6264976711913075</v>
      </c>
      <c r="O2246" s="1474"/>
    </row>
    <row r="2247" spans="11:15">
      <c r="K2247" s="1471">
        <v>44304</v>
      </c>
      <c r="L2247" s="1472"/>
      <c r="M2247" s="1473">
        <v>0</v>
      </c>
      <c r="N2247" s="1474">
        <v>1.6264976711913075</v>
      </c>
      <c r="O2247" s="1474"/>
    </row>
    <row r="2248" spans="11:15">
      <c r="K2248" s="1471">
        <v>44305</v>
      </c>
      <c r="L2248" s="1472" t="s">
        <v>2127</v>
      </c>
      <c r="M2248" s="1473">
        <v>1.0378999999999999E-2</v>
      </c>
      <c r="N2248" s="1474">
        <v>1.6266664853846005</v>
      </c>
      <c r="O2248" s="1474"/>
    </row>
    <row r="2249" spans="11:15">
      <c r="K2249" s="1471">
        <v>44306</v>
      </c>
      <c r="L2249" s="1472" t="s">
        <v>2127</v>
      </c>
      <c r="M2249" s="1473">
        <v>1.0378999999999999E-2</v>
      </c>
      <c r="N2249" s="1474">
        <v>1.6268353170991185</v>
      </c>
      <c r="O2249" s="1474"/>
    </row>
    <row r="2250" spans="11:15">
      <c r="K2250" s="1471">
        <v>44307</v>
      </c>
      <c r="L2250" s="1472"/>
      <c r="M2250" s="1473">
        <v>0</v>
      </c>
      <c r="N2250" s="1474">
        <v>1.6268353170991185</v>
      </c>
      <c r="O2250" s="1474"/>
    </row>
    <row r="2251" spans="11:15">
      <c r="K2251" s="1471">
        <v>44308</v>
      </c>
      <c r="L2251" s="1472" t="s">
        <v>2127</v>
      </c>
      <c r="M2251" s="1473">
        <v>1.0378999999999999E-2</v>
      </c>
      <c r="N2251" s="1474">
        <v>1.6270041663366803</v>
      </c>
      <c r="O2251" s="1474"/>
    </row>
    <row r="2252" spans="11:15">
      <c r="K2252" s="1471">
        <v>44309</v>
      </c>
      <c r="L2252" s="1472" t="s">
        <v>2127</v>
      </c>
      <c r="M2252" s="1473">
        <v>1.0378999999999999E-2</v>
      </c>
      <c r="N2252" s="1474">
        <v>1.6271730330991045</v>
      </c>
      <c r="O2252" s="1474"/>
    </row>
    <row r="2253" spans="11:15">
      <c r="K2253" s="1471">
        <v>44310</v>
      </c>
      <c r="L2253" s="1472"/>
      <c r="M2253" s="1473">
        <v>0</v>
      </c>
      <c r="N2253" s="1474">
        <v>1.6271730330991045</v>
      </c>
      <c r="O2253" s="1474"/>
    </row>
    <row r="2254" spans="11:15">
      <c r="K2254" s="1471">
        <v>44311</v>
      </c>
      <c r="L2254" s="1472"/>
      <c r="M2254" s="1473">
        <v>0</v>
      </c>
      <c r="N2254" s="1474">
        <v>1.6271730330991045</v>
      </c>
      <c r="O2254" s="1474"/>
    </row>
    <row r="2255" spans="11:15">
      <c r="K2255" s="1471">
        <v>44312</v>
      </c>
      <c r="L2255" s="1472" t="s">
        <v>2127</v>
      </c>
      <c r="M2255" s="1473">
        <v>1.0378999999999999E-2</v>
      </c>
      <c r="N2255" s="1474">
        <v>1.62734191738821</v>
      </c>
      <c r="O2255" s="1474"/>
    </row>
    <row r="2256" spans="11:15">
      <c r="K2256" s="1471">
        <v>44313</v>
      </c>
      <c r="L2256" s="1472" t="s">
        <v>2127</v>
      </c>
      <c r="M2256" s="1473">
        <v>1.0378999999999999E-2</v>
      </c>
      <c r="N2256" s="1474">
        <v>1.6275108192058159</v>
      </c>
      <c r="O2256" s="1474"/>
    </row>
    <row r="2257" spans="11:15">
      <c r="K2257" s="1471">
        <v>44314</v>
      </c>
      <c r="L2257" s="1472" t="s">
        <v>2127</v>
      </c>
      <c r="M2257" s="1473">
        <v>1.0378999999999999E-2</v>
      </c>
      <c r="N2257" s="1474">
        <v>1.6276797385537414</v>
      </c>
      <c r="O2257" s="1474"/>
    </row>
    <row r="2258" spans="11:15">
      <c r="K2258" s="1471">
        <v>44315</v>
      </c>
      <c r="L2258" s="1472" t="s">
        <v>2127</v>
      </c>
      <c r="M2258" s="1473">
        <v>1.0378999999999999E-2</v>
      </c>
      <c r="N2258" s="1474">
        <v>1.627848675433806</v>
      </c>
      <c r="O2258" s="1474"/>
    </row>
    <row r="2259" spans="11:15">
      <c r="K2259" s="1471">
        <v>44316</v>
      </c>
      <c r="L2259" s="1472" t="s">
        <v>2127</v>
      </c>
      <c r="M2259" s="1473">
        <v>1.0378999999999999E-2</v>
      </c>
      <c r="N2259" s="1474">
        <v>1.6280176298478293</v>
      </c>
      <c r="O2259" s="1474"/>
    </row>
    <row r="2260" spans="11:15">
      <c r="K2260" s="1471">
        <v>44317</v>
      </c>
      <c r="L2260" s="1472"/>
      <c r="M2260" s="1473">
        <v>0</v>
      </c>
      <c r="N2260" s="1474">
        <v>1.6280176298478293</v>
      </c>
      <c r="O2260" s="1474"/>
    </row>
    <row r="2261" spans="11:15">
      <c r="K2261" s="1471">
        <v>44318</v>
      </c>
      <c r="L2261" s="1472"/>
      <c r="M2261" s="1473">
        <v>0</v>
      </c>
      <c r="N2261" s="1474">
        <v>1.6280176298478293</v>
      </c>
      <c r="O2261" s="1474"/>
    </row>
    <row r="2262" spans="11:15">
      <c r="K2262" s="1471">
        <v>44319</v>
      </c>
      <c r="L2262" s="1472" t="s">
        <v>2127</v>
      </c>
      <c r="M2262" s="1473">
        <v>1.0378999999999999E-2</v>
      </c>
      <c r="N2262" s="1474">
        <v>1.6281866017976312</v>
      </c>
      <c r="O2262" s="1474"/>
    </row>
    <row r="2263" spans="11:15">
      <c r="K2263" s="1471">
        <v>44320</v>
      </c>
      <c r="L2263" s="1472" t="s">
        <v>2127</v>
      </c>
      <c r="M2263" s="1473">
        <v>1.0378999999999999E-2</v>
      </c>
      <c r="N2263" s="1474">
        <v>1.6283555912850318</v>
      </c>
      <c r="O2263" s="1474"/>
    </row>
    <row r="2264" spans="11:15">
      <c r="K2264" s="1471">
        <v>44321</v>
      </c>
      <c r="L2264" s="1472" t="s">
        <v>2127</v>
      </c>
      <c r="M2264" s="1473">
        <v>1.0378999999999999E-2</v>
      </c>
      <c r="N2264" s="1474">
        <v>1.6285245983118515</v>
      </c>
      <c r="O2264" s="1474"/>
    </row>
    <row r="2265" spans="11:15">
      <c r="K2265" s="1471">
        <v>44322</v>
      </c>
      <c r="L2265" s="1472" t="s">
        <v>2127</v>
      </c>
      <c r="M2265" s="1473">
        <v>1.3269E-2</v>
      </c>
      <c r="N2265" s="1474">
        <v>1.6287406872408015</v>
      </c>
      <c r="O2265" s="1474"/>
    </row>
    <row r="2266" spans="11:15">
      <c r="K2266" s="1471">
        <v>44323</v>
      </c>
      <c r="L2266" s="1472" t="s">
        <v>2127</v>
      </c>
      <c r="M2266" s="1473">
        <v>1.3269E-2</v>
      </c>
      <c r="N2266" s="1474">
        <v>1.6289568048425915</v>
      </c>
      <c r="O2266" s="1474"/>
    </row>
    <row r="2267" spans="11:15">
      <c r="K2267" s="1471">
        <v>44324</v>
      </c>
      <c r="L2267" s="1472"/>
      <c r="M2267" s="1473">
        <v>0</v>
      </c>
      <c r="N2267" s="1474">
        <v>1.6289568048425915</v>
      </c>
      <c r="O2267" s="1474"/>
    </row>
    <row r="2268" spans="11:15">
      <c r="K2268" s="1471">
        <v>44325</v>
      </c>
      <c r="L2268" s="1472"/>
      <c r="M2268" s="1473">
        <v>0</v>
      </c>
      <c r="N2268" s="1474">
        <v>1.6289568048425915</v>
      </c>
      <c r="O2268" s="1474"/>
    </row>
    <row r="2269" spans="11:15">
      <c r="K2269" s="1471">
        <v>44326</v>
      </c>
      <c r="L2269" s="1472" t="s">
        <v>2127</v>
      </c>
      <c r="M2269" s="1473">
        <v>1.3269E-2</v>
      </c>
      <c r="N2269" s="1474">
        <v>1.6291729511210262</v>
      </c>
      <c r="O2269" s="1474"/>
    </row>
    <row r="2270" spans="11:15">
      <c r="K2270" s="1471">
        <v>44327</v>
      </c>
      <c r="L2270" s="1472" t="s">
        <v>2127</v>
      </c>
      <c r="M2270" s="1473">
        <v>1.3269E-2</v>
      </c>
      <c r="N2270" s="1474">
        <v>1.6293891260799105</v>
      </c>
      <c r="O2270" s="1474"/>
    </row>
    <row r="2271" spans="11:15">
      <c r="K2271" s="1471">
        <v>44328</v>
      </c>
      <c r="L2271" s="1472" t="s">
        <v>2127</v>
      </c>
      <c r="M2271" s="1473">
        <v>1.3269E-2</v>
      </c>
      <c r="N2271" s="1474">
        <v>1.6296053297230502</v>
      </c>
      <c r="O2271" s="1474"/>
    </row>
    <row r="2272" spans="11:15">
      <c r="K2272" s="1471">
        <v>44329</v>
      </c>
      <c r="L2272" s="1472" t="s">
        <v>2127</v>
      </c>
      <c r="M2272" s="1473">
        <v>1.3269E-2</v>
      </c>
      <c r="N2272" s="1474">
        <v>1.6298215620542511</v>
      </c>
      <c r="O2272" s="1474"/>
    </row>
    <row r="2273" spans="11:15">
      <c r="K2273" s="1471">
        <v>44330</v>
      </c>
      <c r="L2273" s="1472" t="s">
        <v>2127</v>
      </c>
      <c r="M2273" s="1473">
        <v>1.3269E-2</v>
      </c>
      <c r="N2273" s="1474">
        <v>1.6300378230773203</v>
      </c>
      <c r="O2273" s="1474"/>
    </row>
    <row r="2274" spans="11:15">
      <c r="K2274" s="1471">
        <v>44331</v>
      </c>
      <c r="L2274" s="1472"/>
      <c r="M2274" s="1473">
        <v>0</v>
      </c>
      <c r="N2274" s="1474">
        <v>1.6300378230773203</v>
      </c>
      <c r="O2274" s="1474"/>
    </row>
    <row r="2275" spans="11:15">
      <c r="K2275" s="1471">
        <v>44332</v>
      </c>
      <c r="L2275" s="1472"/>
      <c r="M2275" s="1473">
        <v>0</v>
      </c>
      <c r="N2275" s="1474">
        <v>1.6300378230773203</v>
      </c>
      <c r="O2275" s="1474"/>
    </row>
    <row r="2276" spans="11:15">
      <c r="K2276" s="1471">
        <v>44333</v>
      </c>
      <c r="L2276" s="1472" t="s">
        <v>2127</v>
      </c>
      <c r="M2276" s="1473">
        <v>1.3269E-2</v>
      </c>
      <c r="N2276" s="1474">
        <v>1.6302541127960644</v>
      </c>
      <c r="O2276" s="1474"/>
    </row>
    <row r="2277" spans="11:15">
      <c r="K2277" s="1471">
        <v>44334</v>
      </c>
      <c r="L2277" s="1472" t="s">
        <v>2127</v>
      </c>
      <c r="M2277" s="1473">
        <v>1.3269E-2</v>
      </c>
      <c r="N2277" s="1474">
        <v>1.6304704312142912</v>
      </c>
      <c r="O2277" s="1474"/>
    </row>
    <row r="2278" spans="11:15">
      <c r="K2278" s="1471">
        <v>44335</v>
      </c>
      <c r="L2278" s="1472" t="s">
        <v>2127</v>
      </c>
      <c r="M2278" s="1473">
        <v>1.3269E-2</v>
      </c>
      <c r="N2278" s="1474">
        <v>1.6306867783358092</v>
      </c>
      <c r="O2278" s="1474"/>
    </row>
    <row r="2279" spans="11:15">
      <c r="K2279" s="1471">
        <v>44336</v>
      </c>
      <c r="L2279" s="1472" t="s">
        <v>2127</v>
      </c>
      <c r="M2279" s="1473">
        <v>1.3269E-2</v>
      </c>
      <c r="N2279" s="1474">
        <v>1.6309031541644268</v>
      </c>
      <c r="O2279" s="1474"/>
    </row>
    <row r="2280" spans="11:15">
      <c r="K2280" s="1471">
        <v>44337</v>
      </c>
      <c r="L2280" s="1472" t="s">
        <v>2127</v>
      </c>
      <c r="M2280" s="1473">
        <v>1.3269E-2</v>
      </c>
      <c r="N2280" s="1474">
        <v>1.6311195587039529</v>
      </c>
      <c r="O2280" s="1474"/>
    </row>
    <row r="2281" spans="11:15">
      <c r="K2281" s="1471">
        <v>44338</v>
      </c>
      <c r="L2281" s="1472"/>
      <c r="M2281" s="1473">
        <v>0</v>
      </c>
      <c r="N2281" s="1474">
        <v>1.6311195587039529</v>
      </c>
      <c r="O2281" s="1474"/>
    </row>
    <row r="2282" spans="11:15">
      <c r="K2282" s="1471">
        <v>44339</v>
      </c>
      <c r="L2282" s="1472"/>
      <c r="M2282" s="1473">
        <v>0</v>
      </c>
      <c r="N2282" s="1474">
        <v>1.6311195587039529</v>
      </c>
      <c r="O2282" s="1474"/>
    </row>
    <row r="2283" spans="11:15">
      <c r="K2283" s="1471">
        <v>44340</v>
      </c>
      <c r="L2283" s="1472" t="s">
        <v>2127</v>
      </c>
      <c r="M2283" s="1473">
        <v>1.3269E-2</v>
      </c>
      <c r="N2283" s="1474">
        <v>1.6313359919581973</v>
      </c>
      <c r="O2283" s="1474"/>
    </row>
    <row r="2284" spans="11:15">
      <c r="K2284" s="1471">
        <v>44341</v>
      </c>
      <c r="L2284" s="1472" t="s">
        <v>2127</v>
      </c>
      <c r="M2284" s="1473">
        <v>1.3269E-2</v>
      </c>
      <c r="N2284" s="1474">
        <v>1.6315524539309703</v>
      </c>
      <c r="O2284" s="1474"/>
    </row>
    <row r="2285" spans="11:15">
      <c r="K2285" s="1471">
        <v>44342</v>
      </c>
      <c r="L2285" s="1472" t="s">
        <v>2127</v>
      </c>
      <c r="M2285" s="1473">
        <v>1.3269E-2</v>
      </c>
      <c r="N2285" s="1474">
        <v>1.6317689446260824</v>
      </c>
      <c r="O2285" s="1474"/>
    </row>
    <row r="2286" spans="11:15">
      <c r="K2286" s="1471">
        <v>44343</v>
      </c>
      <c r="L2286" s="1472" t="s">
        <v>2127</v>
      </c>
      <c r="M2286" s="1473">
        <v>1.3269E-2</v>
      </c>
      <c r="N2286" s="1474">
        <v>1.6319854640473448</v>
      </c>
      <c r="O2286" s="1474"/>
    </row>
    <row r="2287" spans="11:15">
      <c r="K2287" s="1471">
        <v>44344</v>
      </c>
      <c r="L2287" s="1472" t="s">
        <v>2127</v>
      </c>
      <c r="M2287" s="1473">
        <v>1.3269E-2</v>
      </c>
      <c r="N2287" s="1474">
        <v>1.6322020121985694</v>
      </c>
      <c r="O2287" s="1474"/>
    </row>
    <row r="2288" spans="11:15">
      <c r="K2288" s="1471">
        <v>44345</v>
      </c>
      <c r="L2288" s="1472"/>
      <c r="M2288" s="1473">
        <v>0</v>
      </c>
      <c r="N2288" s="1474">
        <v>1.6322020121985694</v>
      </c>
      <c r="O2288" s="1474"/>
    </row>
    <row r="2289" spans="11:15">
      <c r="K2289" s="1471">
        <v>44346</v>
      </c>
      <c r="L2289" s="1472"/>
      <c r="M2289" s="1473">
        <v>0</v>
      </c>
      <c r="N2289" s="1474">
        <v>1.6322020121985694</v>
      </c>
      <c r="O2289" s="1474"/>
    </row>
    <row r="2290" spans="11:15">
      <c r="K2290" s="1471">
        <v>44347</v>
      </c>
      <c r="L2290" s="1472" t="s">
        <v>2127</v>
      </c>
      <c r="M2290" s="1473">
        <v>1.3269E-2</v>
      </c>
      <c r="N2290" s="1474">
        <v>1.6324185890835681</v>
      </c>
      <c r="O2290" s="1474"/>
    </row>
    <row r="2291" spans="11:15">
      <c r="K2291" s="1471">
        <v>44348</v>
      </c>
      <c r="L2291" s="1472" t="s">
        <v>2127</v>
      </c>
      <c r="M2291" s="1473">
        <v>1.3269E-2</v>
      </c>
      <c r="N2291" s="1474">
        <v>1.6326351947061537</v>
      </c>
      <c r="O2291" s="1474"/>
    </row>
    <row r="2292" spans="11:15">
      <c r="K2292" s="1471">
        <v>44349</v>
      </c>
      <c r="L2292" s="1472" t="s">
        <v>2127</v>
      </c>
      <c r="M2292" s="1473">
        <v>1.3269E-2</v>
      </c>
      <c r="N2292" s="1474">
        <v>1.6328518290701393</v>
      </c>
      <c r="O2292" s="1474"/>
    </row>
    <row r="2293" spans="11:15">
      <c r="K2293" s="1471">
        <v>44350</v>
      </c>
      <c r="L2293" s="1472"/>
      <c r="M2293" s="1473">
        <v>0</v>
      </c>
      <c r="N2293" s="1474">
        <v>1.6328518290701393</v>
      </c>
      <c r="O2293" s="1474"/>
    </row>
    <row r="2294" spans="11:15">
      <c r="K2294" s="1471">
        <v>44351</v>
      </c>
      <c r="L2294" s="1472" t="s">
        <v>2127</v>
      </c>
      <c r="M2294" s="1473">
        <v>1.3269E-2</v>
      </c>
      <c r="N2294" s="1474">
        <v>1.6330684921793386</v>
      </c>
      <c r="O2294" s="1474"/>
    </row>
    <row r="2295" spans="11:15">
      <c r="K2295" s="1471">
        <v>44352</v>
      </c>
      <c r="L2295" s="1472"/>
      <c r="M2295" s="1473">
        <v>0</v>
      </c>
      <c r="N2295" s="1474">
        <v>1.6330684921793386</v>
      </c>
      <c r="O2295" s="1474"/>
    </row>
    <row r="2296" spans="11:15">
      <c r="K2296" s="1471">
        <v>44353</v>
      </c>
      <c r="L2296" s="1472"/>
      <c r="M2296" s="1473">
        <v>0</v>
      </c>
      <c r="N2296" s="1474">
        <v>1.6330684921793386</v>
      </c>
      <c r="O2296" s="1474"/>
    </row>
    <row r="2297" spans="11:15">
      <c r="K2297" s="1471">
        <v>44354</v>
      </c>
      <c r="L2297" s="1472" t="s">
        <v>2127</v>
      </c>
      <c r="M2297" s="1473">
        <v>1.3269E-2</v>
      </c>
      <c r="N2297" s="1474">
        <v>1.633285184037566</v>
      </c>
      <c r="O2297" s="1474"/>
    </row>
    <row r="2298" spans="11:15">
      <c r="K2298" s="1471">
        <v>44355</v>
      </c>
      <c r="L2298" s="1472" t="s">
        <v>2127</v>
      </c>
      <c r="M2298" s="1473">
        <v>1.3269E-2</v>
      </c>
      <c r="N2298" s="1474">
        <v>1.6335019046486359</v>
      </c>
      <c r="O2298" s="1474"/>
    </row>
    <row r="2299" spans="11:15">
      <c r="K2299" s="1471">
        <v>44356</v>
      </c>
      <c r="L2299" s="1472" t="s">
        <v>2127</v>
      </c>
      <c r="M2299" s="1473">
        <v>1.3269E-2</v>
      </c>
      <c r="N2299" s="1474">
        <v>1.6337186540163637</v>
      </c>
      <c r="O2299" s="1474"/>
    </row>
    <row r="2300" spans="11:15">
      <c r="K2300" s="1471">
        <v>44357</v>
      </c>
      <c r="L2300" s="1472" t="s">
        <v>2127</v>
      </c>
      <c r="M2300" s="1473">
        <v>1.3269E-2</v>
      </c>
      <c r="N2300" s="1474">
        <v>1.6339354321445652</v>
      </c>
      <c r="O2300" s="1474"/>
    </row>
    <row r="2301" spans="11:15">
      <c r="K2301" s="1471">
        <v>44358</v>
      </c>
      <c r="L2301" s="1472" t="s">
        <v>2127</v>
      </c>
      <c r="M2301" s="1473">
        <v>1.3269E-2</v>
      </c>
      <c r="N2301" s="1474">
        <v>1.6341522390370564</v>
      </c>
      <c r="O2301" s="1474"/>
    </row>
    <row r="2302" spans="11:15">
      <c r="K2302" s="1471">
        <v>44359</v>
      </c>
      <c r="L2302" s="1472"/>
      <c r="M2302" s="1473">
        <v>0</v>
      </c>
      <c r="N2302" s="1474">
        <v>1.6341522390370564</v>
      </c>
      <c r="O2302" s="1474"/>
    </row>
    <row r="2303" spans="11:15">
      <c r="K2303" s="1471">
        <v>44360</v>
      </c>
      <c r="L2303" s="1472"/>
      <c r="M2303" s="1473">
        <v>0</v>
      </c>
      <c r="N2303" s="1474">
        <v>1.6341522390370564</v>
      </c>
      <c r="O2303" s="1474"/>
    </row>
    <row r="2304" spans="11:15">
      <c r="K2304" s="1471">
        <v>44361</v>
      </c>
      <c r="L2304" s="1472" t="s">
        <v>2127</v>
      </c>
      <c r="M2304" s="1473">
        <v>1.3269E-2</v>
      </c>
      <c r="N2304" s="1474">
        <v>1.6343690746976542</v>
      </c>
      <c r="O2304" s="1474"/>
    </row>
    <row r="2305" spans="11:15">
      <c r="K2305" s="1471">
        <v>44362</v>
      </c>
      <c r="L2305" s="1472" t="s">
        <v>2127</v>
      </c>
      <c r="M2305" s="1473">
        <v>1.3269E-2</v>
      </c>
      <c r="N2305" s="1474">
        <v>1.634585939130176</v>
      </c>
      <c r="O2305" s="1474"/>
    </row>
    <row r="2306" spans="11:15">
      <c r="K2306" s="1471">
        <v>44363</v>
      </c>
      <c r="L2306" s="1472" t="s">
        <v>2127</v>
      </c>
      <c r="M2306" s="1473">
        <v>1.3269E-2</v>
      </c>
      <c r="N2306" s="1474">
        <v>1.6348028323384394</v>
      </c>
      <c r="O2306" s="1474"/>
    </row>
    <row r="2307" spans="11:15">
      <c r="K2307" s="1471">
        <v>44364</v>
      </c>
      <c r="L2307" s="1472" t="s">
        <v>2127</v>
      </c>
      <c r="M2307" s="1473">
        <v>1.6136999999999999E-2</v>
      </c>
      <c r="N2307" s="1474">
        <v>1.635066640471494</v>
      </c>
      <c r="O2307" s="1474"/>
    </row>
    <row r="2308" spans="11:15">
      <c r="K2308" s="1471">
        <v>44365</v>
      </c>
      <c r="L2308" s="1472" t="s">
        <v>2127</v>
      </c>
      <c r="M2308" s="1473">
        <v>1.6136999999999999E-2</v>
      </c>
      <c r="N2308" s="1474">
        <v>1.6353304911752669</v>
      </c>
      <c r="O2308" s="1474"/>
    </row>
    <row r="2309" spans="11:15">
      <c r="K2309" s="1471">
        <v>44366</v>
      </c>
      <c r="L2309" s="1472"/>
      <c r="M2309" s="1473">
        <v>0</v>
      </c>
      <c r="N2309" s="1474">
        <v>1.6353304911752669</v>
      </c>
      <c r="O2309" s="1474"/>
    </row>
    <row r="2310" spans="11:15">
      <c r="K2310" s="1471">
        <v>44367</v>
      </c>
      <c r="L2310" s="1472"/>
      <c r="M2310" s="1473">
        <v>0</v>
      </c>
      <c r="N2310" s="1474">
        <v>1.6353304911752669</v>
      </c>
      <c r="O2310" s="1474"/>
    </row>
    <row r="2311" spans="11:15">
      <c r="K2311" s="1471">
        <v>44368</v>
      </c>
      <c r="L2311" s="1472" t="s">
        <v>2127</v>
      </c>
      <c r="M2311" s="1473">
        <v>1.6136999999999999E-2</v>
      </c>
      <c r="N2311" s="1474">
        <v>1.6355943844566279</v>
      </c>
      <c r="O2311" s="1474"/>
    </row>
    <row r="2312" spans="11:15">
      <c r="K2312" s="1471">
        <v>44369</v>
      </c>
      <c r="L2312" s="1472" t="s">
        <v>2127</v>
      </c>
      <c r="M2312" s="1473">
        <v>1.6136999999999999E-2</v>
      </c>
      <c r="N2312" s="1474">
        <v>1.6358583203224477</v>
      </c>
      <c r="O2312" s="1474"/>
    </row>
    <row r="2313" spans="11:15">
      <c r="K2313" s="1471">
        <v>44370</v>
      </c>
      <c r="L2313" s="1472" t="s">
        <v>2127</v>
      </c>
      <c r="M2313" s="1473">
        <v>1.6136999999999999E-2</v>
      </c>
      <c r="N2313" s="1474">
        <v>1.6361222987795982</v>
      </c>
      <c r="O2313" s="1474"/>
    </row>
    <row r="2314" spans="11:15">
      <c r="K2314" s="1471">
        <v>44371</v>
      </c>
      <c r="L2314" s="1472" t="s">
        <v>2127</v>
      </c>
      <c r="M2314" s="1473">
        <v>1.6136999999999999E-2</v>
      </c>
      <c r="N2314" s="1474">
        <v>1.6363863198349524</v>
      </c>
      <c r="O2314" s="1474"/>
    </row>
    <row r="2315" spans="11:15">
      <c r="K2315" s="1471">
        <v>44372</v>
      </c>
      <c r="L2315" s="1472" t="s">
        <v>2127</v>
      </c>
      <c r="M2315" s="1473">
        <v>1.6136999999999999E-2</v>
      </c>
      <c r="N2315" s="1474">
        <v>1.6366503834953843</v>
      </c>
      <c r="O2315" s="1474"/>
    </row>
    <row r="2316" spans="11:15">
      <c r="K2316" s="1471">
        <v>44373</v>
      </c>
      <c r="L2316" s="1472"/>
      <c r="M2316" s="1473">
        <v>0</v>
      </c>
      <c r="N2316" s="1474">
        <v>1.6366503834953843</v>
      </c>
      <c r="O2316" s="1474"/>
    </row>
    <row r="2317" spans="11:15">
      <c r="K2317" s="1471">
        <v>44374</v>
      </c>
      <c r="L2317" s="1472"/>
      <c r="M2317" s="1473">
        <v>0</v>
      </c>
      <c r="N2317" s="1474">
        <v>1.6366503834953843</v>
      </c>
      <c r="O2317" s="1474"/>
    </row>
    <row r="2318" spans="11:15">
      <c r="K2318" s="1471">
        <v>44375</v>
      </c>
      <c r="L2318" s="1472" t="s">
        <v>2127</v>
      </c>
      <c r="M2318" s="1473">
        <v>1.6136999999999999E-2</v>
      </c>
      <c r="N2318" s="1474">
        <v>1.636914489767769</v>
      </c>
      <c r="O2318" s="1474"/>
    </row>
    <row r="2319" spans="11:15">
      <c r="K2319" s="1471">
        <v>44376</v>
      </c>
      <c r="L2319" s="1472" t="s">
        <v>2127</v>
      </c>
      <c r="M2319" s="1473">
        <v>1.6136999999999999E-2</v>
      </c>
      <c r="N2319" s="1474">
        <v>1.6371786386589828</v>
      </c>
      <c r="O2319" s="1474"/>
    </row>
    <row r="2320" spans="11:15">
      <c r="K2320" s="1471">
        <v>44377</v>
      </c>
      <c r="L2320" s="1472" t="s">
        <v>2127</v>
      </c>
      <c r="M2320" s="1473">
        <v>1.6136999999999999E-2</v>
      </c>
      <c r="N2320" s="1474">
        <v>1.6374428301759034</v>
      </c>
      <c r="O2320" s="1474"/>
    </row>
    <row r="2321" spans="11:15">
      <c r="K2321" s="1471">
        <v>44378</v>
      </c>
      <c r="L2321" s="1472" t="s">
        <v>2127</v>
      </c>
      <c r="M2321" s="1473">
        <v>1.6136999999999999E-2</v>
      </c>
      <c r="N2321" s="1474">
        <v>1.637707064325409</v>
      </c>
      <c r="O2321" s="1474"/>
    </row>
    <row r="2322" spans="11:15">
      <c r="K2322" s="1471">
        <v>44379</v>
      </c>
      <c r="L2322" s="1472" t="s">
        <v>2127</v>
      </c>
      <c r="M2322" s="1473">
        <v>1.6136999999999999E-2</v>
      </c>
      <c r="N2322" s="1474">
        <v>1.6379713411143793</v>
      </c>
      <c r="O2322" s="1474"/>
    </row>
    <row r="2323" spans="11:15">
      <c r="K2323" s="1471">
        <v>44380</v>
      </c>
      <c r="L2323" s="1472"/>
      <c r="M2323" s="1473">
        <v>0</v>
      </c>
      <c r="N2323" s="1474">
        <v>1.6379713411143793</v>
      </c>
      <c r="O2323" s="1474"/>
    </row>
    <row r="2324" spans="11:15">
      <c r="K2324" s="1471">
        <v>44381</v>
      </c>
      <c r="L2324" s="1472"/>
      <c r="M2324" s="1473">
        <v>0</v>
      </c>
      <c r="N2324" s="1474">
        <v>1.6379713411143793</v>
      </c>
      <c r="O2324" s="1474"/>
    </row>
    <row r="2325" spans="11:15">
      <c r="K2325" s="1471">
        <v>44382</v>
      </c>
      <c r="L2325" s="1472" t="s">
        <v>2127</v>
      </c>
      <c r="M2325" s="1473">
        <v>1.6136999999999999E-2</v>
      </c>
      <c r="N2325" s="1474">
        <v>1.638235660549695</v>
      </c>
      <c r="O2325" s="1474"/>
    </row>
    <row r="2326" spans="11:15">
      <c r="K2326" s="1471">
        <v>44383</v>
      </c>
      <c r="L2326" s="1472" t="s">
        <v>2127</v>
      </c>
      <c r="M2326" s="1473">
        <v>1.6136999999999999E-2</v>
      </c>
      <c r="N2326" s="1474">
        <v>1.638500022638238</v>
      </c>
      <c r="O2326" s="1474"/>
    </row>
    <row r="2327" spans="11:15">
      <c r="K2327" s="1471">
        <v>44384</v>
      </c>
      <c r="L2327" s="1472" t="s">
        <v>2127</v>
      </c>
      <c r="M2327" s="1473">
        <v>1.6136999999999999E-2</v>
      </c>
      <c r="N2327" s="1474">
        <v>1.6387644273868913</v>
      </c>
      <c r="O2327" s="1474"/>
    </row>
    <row r="2328" spans="11:15">
      <c r="K2328" s="1471">
        <v>44385</v>
      </c>
      <c r="L2328" s="1472" t="s">
        <v>2127</v>
      </c>
      <c r="M2328" s="1473">
        <v>1.6136999999999999E-2</v>
      </c>
      <c r="N2328" s="1474">
        <v>1.6390288748025388</v>
      </c>
      <c r="O2328" s="1474"/>
    </row>
    <row r="2329" spans="11:15">
      <c r="K2329" s="1471">
        <v>44386</v>
      </c>
      <c r="L2329" s="1472" t="s">
        <v>2127</v>
      </c>
      <c r="M2329" s="1473">
        <v>1.6136999999999999E-2</v>
      </c>
      <c r="N2329" s="1474">
        <v>1.6392933648920658</v>
      </c>
      <c r="O2329" s="1474"/>
    </row>
    <row r="2330" spans="11:15">
      <c r="K2330" s="1471">
        <v>44387</v>
      </c>
      <c r="L2330" s="1472"/>
      <c r="M2330" s="1473">
        <v>0</v>
      </c>
      <c r="N2330" s="1474">
        <v>1.6392933648920658</v>
      </c>
      <c r="O2330" s="1474"/>
    </row>
    <row r="2331" spans="11:15">
      <c r="K2331" s="1471">
        <v>44388</v>
      </c>
      <c r="L2331" s="1472"/>
      <c r="M2331" s="1473">
        <v>0</v>
      </c>
      <c r="N2331" s="1474">
        <v>1.6392933648920658</v>
      </c>
      <c r="O2331" s="1474"/>
    </row>
    <row r="2332" spans="11:15">
      <c r="K2332" s="1471">
        <v>44389</v>
      </c>
      <c r="L2332" s="1472" t="s">
        <v>2127</v>
      </c>
      <c r="M2332" s="1473">
        <v>1.6136999999999999E-2</v>
      </c>
      <c r="N2332" s="1474">
        <v>1.6395578976623586</v>
      </c>
      <c r="O2332" s="1474"/>
    </row>
    <row r="2333" spans="11:15">
      <c r="K2333" s="1471">
        <v>44390</v>
      </c>
      <c r="L2333" s="1472" t="s">
        <v>2127</v>
      </c>
      <c r="M2333" s="1473">
        <v>1.6136999999999999E-2</v>
      </c>
      <c r="N2333" s="1474">
        <v>1.6398224731203044</v>
      </c>
      <c r="O2333" s="1474"/>
    </row>
    <row r="2334" spans="11:15">
      <c r="K2334" s="1471">
        <v>44391</v>
      </c>
      <c r="L2334" s="1472" t="s">
        <v>2127</v>
      </c>
      <c r="M2334" s="1473">
        <v>1.6136999999999999E-2</v>
      </c>
      <c r="N2334" s="1474">
        <v>1.6400870912727918</v>
      </c>
      <c r="O2334" s="1474"/>
    </row>
    <row r="2335" spans="11:15">
      <c r="K2335" s="1471">
        <v>44392</v>
      </c>
      <c r="L2335" s="1472" t="s">
        <v>2127</v>
      </c>
      <c r="M2335" s="1473">
        <v>1.6136999999999999E-2</v>
      </c>
      <c r="N2335" s="1474">
        <v>1.6403517521267106</v>
      </c>
      <c r="O2335" s="1474"/>
    </row>
    <row r="2336" spans="11:15">
      <c r="K2336" s="1471">
        <v>44393</v>
      </c>
      <c r="L2336" s="1472" t="s">
        <v>2127</v>
      </c>
      <c r="M2336" s="1473">
        <v>1.6136999999999999E-2</v>
      </c>
      <c r="N2336" s="1474">
        <v>1.6406164556889513</v>
      </c>
      <c r="O2336" s="1474"/>
    </row>
    <row r="2337" spans="11:15">
      <c r="K2337" s="1471">
        <v>44394</v>
      </c>
      <c r="L2337" s="1472"/>
      <c r="M2337" s="1473">
        <v>0</v>
      </c>
      <c r="N2337" s="1474">
        <v>1.6406164556889513</v>
      </c>
      <c r="O2337" s="1474"/>
    </row>
    <row r="2338" spans="11:15">
      <c r="K2338" s="1471">
        <v>44395</v>
      </c>
      <c r="L2338" s="1472"/>
      <c r="M2338" s="1473">
        <v>0</v>
      </c>
      <c r="N2338" s="1474">
        <v>1.6406164556889513</v>
      </c>
      <c r="O2338" s="1474"/>
    </row>
    <row r="2339" spans="11:15">
      <c r="K2339" s="1471">
        <v>44396</v>
      </c>
      <c r="L2339" s="1472" t="s">
        <v>2127</v>
      </c>
      <c r="M2339" s="1473">
        <v>1.6136999999999999E-2</v>
      </c>
      <c r="N2339" s="1474">
        <v>1.6408812019664059</v>
      </c>
      <c r="O2339" s="1474"/>
    </row>
    <row r="2340" spans="11:15">
      <c r="K2340" s="1471">
        <v>44397</v>
      </c>
      <c r="L2340" s="1472" t="s">
        <v>2127</v>
      </c>
      <c r="M2340" s="1473">
        <v>1.6136999999999999E-2</v>
      </c>
      <c r="N2340" s="1474">
        <v>1.6411459909659674</v>
      </c>
      <c r="O2340" s="1474"/>
    </row>
    <row r="2341" spans="11:15">
      <c r="K2341" s="1471">
        <v>44398</v>
      </c>
      <c r="L2341" s="1472" t="s">
        <v>2127</v>
      </c>
      <c r="M2341" s="1473">
        <v>1.6136999999999999E-2</v>
      </c>
      <c r="N2341" s="1474">
        <v>1.6414108226945296</v>
      </c>
      <c r="O2341" s="1474"/>
    </row>
    <row r="2342" spans="11:15">
      <c r="K2342" s="1471">
        <v>44399</v>
      </c>
      <c r="L2342" s="1472" t="s">
        <v>2127</v>
      </c>
      <c r="M2342" s="1473">
        <v>1.6136999999999999E-2</v>
      </c>
      <c r="N2342" s="1474">
        <v>1.6416756971589879</v>
      </c>
      <c r="O2342" s="1474"/>
    </row>
    <row r="2343" spans="11:15">
      <c r="K2343" s="1471">
        <v>44400</v>
      </c>
      <c r="L2343" s="1472" t="s">
        <v>2127</v>
      </c>
      <c r="M2343" s="1473">
        <v>1.6136999999999999E-2</v>
      </c>
      <c r="N2343" s="1474">
        <v>1.6419406143662385</v>
      </c>
      <c r="O2343" s="1474"/>
    </row>
    <row r="2344" spans="11:15">
      <c r="K2344" s="1471">
        <v>44401</v>
      </c>
      <c r="L2344" s="1472"/>
      <c r="M2344" s="1473">
        <v>0</v>
      </c>
      <c r="N2344" s="1474">
        <v>1.6419406143662385</v>
      </c>
      <c r="O2344" s="1474"/>
    </row>
    <row r="2345" spans="11:15">
      <c r="K2345" s="1471">
        <v>44402</v>
      </c>
      <c r="L2345" s="1472"/>
      <c r="M2345" s="1473">
        <v>0</v>
      </c>
      <c r="N2345" s="1474">
        <v>1.6419406143662385</v>
      </c>
      <c r="O2345" s="1474"/>
    </row>
    <row r="2346" spans="11:15">
      <c r="K2346" s="1471">
        <v>44403</v>
      </c>
      <c r="L2346" s="1472" t="s">
        <v>2127</v>
      </c>
      <c r="M2346" s="1473">
        <v>1.6136999999999999E-2</v>
      </c>
      <c r="N2346" s="1474">
        <v>1.6422055743231789</v>
      </c>
      <c r="O2346" s="1474"/>
    </row>
    <row r="2347" spans="11:15">
      <c r="K2347" s="1471">
        <v>44404</v>
      </c>
      <c r="L2347" s="1472" t="s">
        <v>2127</v>
      </c>
      <c r="M2347" s="1473">
        <v>1.6136999999999999E-2</v>
      </c>
      <c r="N2347" s="1474">
        <v>1.6424705770367076</v>
      </c>
      <c r="O2347" s="1474"/>
    </row>
    <row r="2348" spans="11:15">
      <c r="K2348" s="1471">
        <v>44405</v>
      </c>
      <c r="L2348" s="1472" t="s">
        <v>2127</v>
      </c>
      <c r="M2348" s="1473">
        <v>1.6136999999999999E-2</v>
      </c>
      <c r="N2348" s="1474">
        <v>1.6427356225137242</v>
      </c>
      <c r="O2348" s="1474"/>
    </row>
    <row r="2349" spans="11:15">
      <c r="K2349" s="1471">
        <v>44406</v>
      </c>
      <c r="L2349" s="1472" t="s">
        <v>2127</v>
      </c>
      <c r="M2349" s="1473">
        <v>1.6136999999999999E-2</v>
      </c>
      <c r="N2349" s="1474">
        <v>1.6430007107611293</v>
      </c>
      <c r="O2349" s="1474"/>
    </row>
    <row r="2350" spans="11:15">
      <c r="K2350" s="1471">
        <v>44407</v>
      </c>
      <c r="L2350" s="1472" t="s">
        <v>2127</v>
      </c>
      <c r="M2350" s="1473">
        <v>1.6136999999999999E-2</v>
      </c>
      <c r="N2350" s="1474">
        <v>1.6432658417858248</v>
      </c>
      <c r="O2350" s="1474"/>
    </row>
    <row r="2351" spans="11:15">
      <c r="K2351" s="1471">
        <v>44408</v>
      </c>
      <c r="L2351" s="1472"/>
      <c r="M2351" s="1473">
        <v>0</v>
      </c>
      <c r="N2351" s="1474">
        <v>1.6432658417858248</v>
      </c>
      <c r="O2351" s="1474"/>
    </row>
    <row r="2352" spans="11:15">
      <c r="K2352" s="1471">
        <v>44409</v>
      </c>
      <c r="L2352" s="1472"/>
      <c r="M2352" s="1473">
        <v>0</v>
      </c>
      <c r="N2352" s="1474">
        <v>1.6432658417858248</v>
      </c>
      <c r="O2352" s="1474"/>
    </row>
    <row r="2353" spans="11:15">
      <c r="K2353" s="1471">
        <v>44410</v>
      </c>
      <c r="L2353" s="1472" t="s">
        <v>2127</v>
      </c>
      <c r="M2353" s="1473">
        <v>1.6136999999999999E-2</v>
      </c>
      <c r="N2353" s="1474">
        <v>1.6435310155947138</v>
      </c>
      <c r="O2353" s="1474"/>
    </row>
    <row r="2354" spans="11:15">
      <c r="K2354" s="1471">
        <v>44411</v>
      </c>
      <c r="L2354" s="1472" t="s">
        <v>2127</v>
      </c>
      <c r="M2354" s="1473">
        <v>1.6136999999999999E-2</v>
      </c>
      <c r="N2354" s="1474">
        <v>1.6437962321947004</v>
      </c>
      <c r="O2354" s="1474"/>
    </row>
    <row r="2355" spans="11:15">
      <c r="K2355" s="1471">
        <v>44412</v>
      </c>
      <c r="L2355" s="1472" t="s">
        <v>2127</v>
      </c>
      <c r="M2355" s="1473">
        <v>1.6136999999999999E-2</v>
      </c>
      <c r="N2355" s="1474">
        <v>1.6440614915926897</v>
      </c>
      <c r="O2355" s="1474"/>
    </row>
    <row r="2356" spans="11:15">
      <c r="K2356" s="1471">
        <v>44413</v>
      </c>
      <c r="L2356" s="1472" t="s">
        <v>2127</v>
      </c>
      <c r="M2356" s="1473">
        <v>1.993E-2</v>
      </c>
      <c r="N2356" s="1474">
        <v>1.6443891530479642</v>
      </c>
      <c r="O2356" s="1474"/>
    </row>
    <row r="2357" spans="11:15">
      <c r="K2357" s="1471">
        <v>44414</v>
      </c>
      <c r="L2357" s="1472" t="s">
        <v>2127</v>
      </c>
      <c r="M2357" s="1473">
        <v>1.993E-2</v>
      </c>
      <c r="N2357" s="1474">
        <v>1.6447168798061667</v>
      </c>
      <c r="O2357" s="1474"/>
    </row>
    <row r="2358" spans="11:15">
      <c r="K2358" s="1471">
        <v>44415</v>
      </c>
      <c r="L2358" s="1472"/>
      <c r="M2358" s="1473">
        <v>0</v>
      </c>
      <c r="N2358" s="1474">
        <v>1.6447168798061667</v>
      </c>
      <c r="O2358" s="1474"/>
    </row>
    <row r="2359" spans="11:15">
      <c r="K2359" s="1471">
        <v>44416</v>
      </c>
      <c r="L2359" s="1472"/>
      <c r="M2359" s="1473">
        <v>0</v>
      </c>
      <c r="N2359" s="1474">
        <v>1.6447168798061667</v>
      </c>
      <c r="O2359" s="1474"/>
    </row>
    <row r="2360" spans="11:15">
      <c r="K2360" s="1471">
        <v>44417</v>
      </c>
      <c r="L2360" s="1472" t="s">
        <v>2127</v>
      </c>
      <c r="M2360" s="1473">
        <v>1.993E-2</v>
      </c>
      <c r="N2360" s="1474">
        <v>1.645044671880312</v>
      </c>
      <c r="O2360" s="1474"/>
    </row>
    <row r="2361" spans="11:15">
      <c r="K2361" s="1471">
        <v>44418</v>
      </c>
      <c r="L2361" s="1472" t="s">
        <v>2127</v>
      </c>
      <c r="M2361" s="1473">
        <v>1.993E-2</v>
      </c>
      <c r="N2361" s="1474">
        <v>1.6453725292834178</v>
      </c>
      <c r="O2361" s="1474"/>
    </row>
    <row r="2362" spans="11:15">
      <c r="K2362" s="1471">
        <v>44419</v>
      </c>
      <c r="L2362" s="1472" t="s">
        <v>2127</v>
      </c>
      <c r="M2362" s="1473">
        <v>1.993E-2</v>
      </c>
      <c r="N2362" s="1474">
        <v>1.6457004520285041</v>
      </c>
      <c r="O2362" s="1474"/>
    </row>
    <row r="2363" spans="11:15">
      <c r="K2363" s="1471">
        <v>44420</v>
      </c>
      <c r="L2363" s="1472" t="s">
        <v>2127</v>
      </c>
      <c r="M2363" s="1473">
        <v>1.993E-2</v>
      </c>
      <c r="N2363" s="1474">
        <v>1.6460284401285934</v>
      </c>
      <c r="O2363" s="1474"/>
    </row>
    <row r="2364" spans="11:15">
      <c r="K2364" s="1471">
        <v>44421</v>
      </c>
      <c r="L2364" s="1472" t="s">
        <v>2127</v>
      </c>
      <c r="M2364" s="1473">
        <v>1.993E-2</v>
      </c>
      <c r="N2364" s="1474">
        <v>1.646356493596711</v>
      </c>
      <c r="O2364" s="1474"/>
    </row>
    <row r="2365" spans="11:15">
      <c r="K2365" s="1471">
        <v>44422</v>
      </c>
      <c r="L2365" s="1472"/>
      <c r="M2365" s="1473">
        <v>0</v>
      </c>
      <c r="N2365" s="1474">
        <v>1.646356493596711</v>
      </c>
      <c r="O2365" s="1474"/>
    </row>
    <row r="2366" spans="11:15">
      <c r="K2366" s="1471">
        <v>44423</v>
      </c>
      <c r="L2366" s="1472"/>
      <c r="M2366" s="1473">
        <v>0</v>
      </c>
      <c r="N2366" s="1474">
        <v>1.646356493596711</v>
      </c>
      <c r="O2366" s="1474"/>
    </row>
    <row r="2367" spans="11:15">
      <c r="K2367" s="1471">
        <v>44424</v>
      </c>
      <c r="L2367" s="1472" t="s">
        <v>2127</v>
      </c>
      <c r="M2367" s="1473">
        <v>1.993E-2</v>
      </c>
      <c r="N2367" s="1474">
        <v>1.6466846124458849</v>
      </c>
      <c r="O2367" s="1474"/>
    </row>
    <row r="2368" spans="11:15">
      <c r="K2368" s="1471">
        <v>44425</v>
      </c>
      <c r="L2368" s="1472" t="s">
        <v>2127</v>
      </c>
      <c r="M2368" s="1473">
        <v>1.993E-2</v>
      </c>
      <c r="N2368" s="1474">
        <v>1.6470127966891455</v>
      </c>
      <c r="O2368" s="1474"/>
    </row>
    <row r="2369" spans="11:15">
      <c r="K2369" s="1471">
        <v>44426</v>
      </c>
      <c r="L2369" s="1472" t="s">
        <v>2127</v>
      </c>
      <c r="M2369" s="1473">
        <v>1.993E-2</v>
      </c>
      <c r="N2369" s="1474">
        <v>1.6473410463395257</v>
      </c>
      <c r="O2369" s="1474"/>
    </row>
    <row r="2370" spans="11:15">
      <c r="K2370" s="1471">
        <v>44427</v>
      </c>
      <c r="L2370" s="1472" t="s">
        <v>2127</v>
      </c>
      <c r="M2370" s="1473">
        <v>1.993E-2</v>
      </c>
      <c r="N2370" s="1474">
        <v>1.6476693614100613</v>
      </c>
      <c r="O2370" s="1474"/>
    </row>
    <row r="2371" spans="11:15">
      <c r="K2371" s="1471">
        <v>44428</v>
      </c>
      <c r="L2371" s="1472" t="s">
        <v>2127</v>
      </c>
      <c r="M2371" s="1473">
        <v>1.993E-2</v>
      </c>
      <c r="N2371" s="1474">
        <v>1.6479977419137903</v>
      </c>
      <c r="O2371" s="1474"/>
    </row>
    <row r="2372" spans="11:15">
      <c r="K2372" s="1471">
        <v>44429</v>
      </c>
      <c r="L2372" s="1472"/>
      <c r="M2372" s="1473">
        <v>0</v>
      </c>
      <c r="N2372" s="1474">
        <v>1.6479977419137903</v>
      </c>
      <c r="O2372" s="1474"/>
    </row>
    <row r="2373" spans="11:15">
      <c r="K2373" s="1471">
        <v>44430</v>
      </c>
      <c r="L2373" s="1472"/>
      <c r="M2373" s="1473">
        <v>0</v>
      </c>
      <c r="N2373" s="1474">
        <v>1.6479977419137903</v>
      </c>
      <c r="O2373" s="1474"/>
    </row>
    <row r="2374" spans="11:15">
      <c r="K2374" s="1471">
        <v>44431</v>
      </c>
      <c r="L2374" s="1472" t="s">
        <v>2127</v>
      </c>
      <c r="M2374" s="1473">
        <v>1.993E-2</v>
      </c>
      <c r="N2374" s="1474">
        <v>1.6483261878637538</v>
      </c>
      <c r="O2374" s="1474"/>
    </row>
    <row r="2375" spans="11:15">
      <c r="K2375" s="1471">
        <v>44432</v>
      </c>
      <c r="L2375" s="1472" t="s">
        <v>2127</v>
      </c>
      <c r="M2375" s="1473">
        <v>1.993E-2</v>
      </c>
      <c r="N2375" s="1474">
        <v>1.6486546992729951</v>
      </c>
      <c r="O2375" s="1474"/>
    </row>
    <row r="2376" spans="11:15">
      <c r="K2376" s="1471">
        <v>44433</v>
      </c>
      <c r="L2376" s="1472" t="s">
        <v>2127</v>
      </c>
      <c r="M2376" s="1473">
        <v>1.993E-2</v>
      </c>
      <c r="N2376" s="1474">
        <v>1.6489832761545602</v>
      </c>
      <c r="O2376" s="1474"/>
    </row>
    <row r="2377" spans="11:15">
      <c r="K2377" s="1471">
        <v>44434</v>
      </c>
      <c r="L2377" s="1472" t="s">
        <v>2127</v>
      </c>
      <c r="M2377" s="1473">
        <v>1.993E-2</v>
      </c>
      <c r="N2377" s="1474">
        <v>1.6493119185214977</v>
      </c>
      <c r="O2377" s="1474"/>
    </row>
    <row r="2378" spans="11:15">
      <c r="K2378" s="1471">
        <v>44435</v>
      </c>
      <c r="L2378" s="1472" t="s">
        <v>2127</v>
      </c>
      <c r="M2378" s="1473">
        <v>1.993E-2</v>
      </c>
      <c r="N2378" s="1474">
        <v>1.649640626386859</v>
      </c>
      <c r="O2378" s="1474"/>
    </row>
    <row r="2379" spans="11:15">
      <c r="K2379" s="1471">
        <v>44436</v>
      </c>
      <c r="L2379" s="1472"/>
      <c r="M2379" s="1473">
        <v>0</v>
      </c>
      <c r="N2379" s="1474">
        <v>1.649640626386859</v>
      </c>
      <c r="O2379" s="1474"/>
    </row>
    <row r="2380" spans="11:15">
      <c r="K2380" s="1471">
        <v>44437</v>
      </c>
      <c r="L2380" s="1472"/>
      <c r="M2380" s="1473">
        <v>0</v>
      </c>
      <c r="N2380" s="1474">
        <v>1.649640626386859</v>
      </c>
      <c r="O2380" s="1474"/>
    </row>
    <row r="2381" spans="11:15">
      <c r="K2381" s="1471">
        <v>44438</v>
      </c>
      <c r="L2381" s="1472" t="s">
        <v>2127</v>
      </c>
      <c r="M2381" s="1473">
        <v>1.993E-2</v>
      </c>
      <c r="N2381" s="1474">
        <v>1.6499693997636979</v>
      </c>
      <c r="O2381" s="1474"/>
    </row>
    <row r="2382" spans="11:15">
      <c r="K2382" s="1471">
        <v>44439</v>
      </c>
      <c r="L2382" s="1472" t="s">
        <v>2127</v>
      </c>
      <c r="M2382" s="1473">
        <v>1.993E-2</v>
      </c>
      <c r="N2382" s="1474">
        <v>1.6502982386650709</v>
      </c>
      <c r="O2382" s="1474"/>
    </row>
    <row r="2383" spans="11:15">
      <c r="K2383" s="1471">
        <v>44440</v>
      </c>
      <c r="L2383" s="1472" t="s">
        <v>2127</v>
      </c>
      <c r="M2383" s="1473">
        <v>1.993E-2</v>
      </c>
      <c r="N2383" s="1474">
        <v>1.6506271431040369</v>
      </c>
      <c r="O2383" s="1474"/>
    </row>
    <row r="2384" spans="11:15">
      <c r="K2384" s="1471">
        <v>44441</v>
      </c>
      <c r="L2384" s="1472" t="s">
        <v>2127</v>
      </c>
      <c r="M2384" s="1473">
        <v>1.993E-2</v>
      </c>
      <c r="N2384" s="1474">
        <v>1.6509561130936576</v>
      </c>
      <c r="O2384" s="1474"/>
    </row>
    <row r="2385" spans="11:15">
      <c r="K2385" s="1471">
        <v>44442</v>
      </c>
      <c r="L2385" s="1472" t="s">
        <v>2127</v>
      </c>
      <c r="M2385" s="1473">
        <v>1.993E-2</v>
      </c>
      <c r="N2385" s="1474">
        <v>1.6512851486469973</v>
      </c>
      <c r="O2385" s="1474"/>
    </row>
    <row r="2386" spans="11:15">
      <c r="K2386" s="1471">
        <v>44443</v>
      </c>
      <c r="L2386" s="1472"/>
      <c r="M2386" s="1473">
        <v>0</v>
      </c>
      <c r="N2386" s="1474">
        <v>1.6512851486469973</v>
      </c>
      <c r="O2386" s="1474"/>
    </row>
    <row r="2387" spans="11:15">
      <c r="K2387" s="1471">
        <v>44444</v>
      </c>
      <c r="L2387" s="1472"/>
      <c r="M2387" s="1473">
        <v>0</v>
      </c>
      <c r="N2387" s="1474">
        <v>1.6512851486469973</v>
      </c>
      <c r="O2387" s="1474"/>
    </row>
    <row r="2388" spans="11:15">
      <c r="K2388" s="1471">
        <v>44445</v>
      </c>
      <c r="L2388" s="1472" t="s">
        <v>2127</v>
      </c>
      <c r="M2388" s="1473">
        <v>1.993E-2</v>
      </c>
      <c r="N2388" s="1474">
        <v>1.6516142497771227</v>
      </c>
      <c r="O2388" s="1474"/>
    </row>
    <row r="2389" spans="11:15">
      <c r="K2389" s="1471">
        <v>44446</v>
      </c>
      <c r="L2389" s="1472"/>
      <c r="M2389" s="1473">
        <v>0</v>
      </c>
      <c r="N2389" s="1474">
        <v>1.6516142497771227</v>
      </c>
      <c r="O2389" s="1474"/>
    </row>
    <row r="2390" spans="11:15">
      <c r="K2390" s="1471">
        <v>44447</v>
      </c>
      <c r="L2390" s="1472" t="s">
        <v>2127</v>
      </c>
      <c r="M2390" s="1473">
        <v>1.993E-2</v>
      </c>
      <c r="N2390" s="1474">
        <v>1.6519434164971032</v>
      </c>
      <c r="O2390" s="1474"/>
    </row>
    <row r="2391" spans="11:15">
      <c r="K2391" s="1471">
        <v>44448</v>
      </c>
      <c r="L2391" s="1472" t="s">
        <v>2127</v>
      </c>
      <c r="M2391" s="1473">
        <v>1.993E-2</v>
      </c>
      <c r="N2391" s="1474">
        <v>1.652272648820011</v>
      </c>
      <c r="O2391" s="1474"/>
    </row>
    <row r="2392" spans="11:15">
      <c r="K2392" s="1471">
        <v>44449</v>
      </c>
      <c r="L2392" s="1472" t="s">
        <v>2127</v>
      </c>
      <c r="M2392" s="1473">
        <v>1.993E-2</v>
      </c>
      <c r="N2392" s="1474">
        <v>1.6526019467589208</v>
      </c>
      <c r="O2392" s="1474"/>
    </row>
    <row r="2393" spans="11:15">
      <c r="K2393" s="1471">
        <v>44450</v>
      </c>
      <c r="L2393" s="1472"/>
      <c r="M2393" s="1473">
        <v>0</v>
      </c>
      <c r="N2393" s="1474">
        <v>1.6526019467589208</v>
      </c>
      <c r="O2393" s="1474"/>
    </row>
    <row r="2394" spans="11:15">
      <c r="K2394" s="1471">
        <v>44451</v>
      </c>
      <c r="L2394" s="1472"/>
      <c r="M2394" s="1473">
        <v>0</v>
      </c>
      <c r="N2394" s="1474">
        <v>1.6526019467589208</v>
      </c>
      <c r="O2394" s="1474"/>
    </row>
    <row r="2395" spans="11:15">
      <c r="K2395" s="1471">
        <v>44452</v>
      </c>
      <c r="L2395" s="1472" t="s">
        <v>2127</v>
      </c>
      <c r="M2395" s="1473">
        <v>1.993E-2</v>
      </c>
      <c r="N2395" s="1474">
        <v>1.6529313103269099</v>
      </c>
      <c r="O2395" s="1474"/>
    </row>
    <row r="2396" spans="11:15">
      <c r="K2396" s="1471">
        <v>44453</v>
      </c>
      <c r="L2396" s="1472" t="s">
        <v>2127</v>
      </c>
      <c r="M2396" s="1473">
        <v>1.993E-2</v>
      </c>
      <c r="N2396" s="1474">
        <v>1.653260739537058</v>
      </c>
      <c r="O2396" s="1474"/>
    </row>
    <row r="2397" spans="11:15">
      <c r="K2397" s="1471">
        <v>44454</v>
      </c>
      <c r="L2397" s="1472" t="s">
        <v>2127</v>
      </c>
      <c r="M2397" s="1473">
        <v>1.993E-2</v>
      </c>
      <c r="N2397" s="1474">
        <v>1.6535902344024478</v>
      </c>
      <c r="O2397" s="1474"/>
    </row>
    <row r="2398" spans="11:15">
      <c r="K2398" s="1471">
        <v>44455</v>
      </c>
      <c r="L2398" s="1472" t="s">
        <v>2127</v>
      </c>
      <c r="M2398" s="1473">
        <v>1.993E-2</v>
      </c>
      <c r="N2398" s="1474">
        <v>1.6539197949361641</v>
      </c>
      <c r="O2398" s="1474"/>
    </row>
    <row r="2399" spans="11:15">
      <c r="K2399" s="1471">
        <v>44456</v>
      </c>
      <c r="L2399" s="1472" t="s">
        <v>2127</v>
      </c>
      <c r="M2399" s="1473">
        <v>1.993E-2</v>
      </c>
      <c r="N2399" s="1474">
        <v>1.654249421151295</v>
      </c>
      <c r="O2399" s="1474"/>
    </row>
    <row r="2400" spans="11:15">
      <c r="K2400" s="1471">
        <v>44457</v>
      </c>
      <c r="L2400" s="1472"/>
      <c r="M2400" s="1473">
        <v>0</v>
      </c>
      <c r="N2400" s="1474">
        <v>1.654249421151295</v>
      </c>
      <c r="O2400" s="1474"/>
    </row>
    <row r="2401" spans="11:15">
      <c r="K2401" s="1471">
        <v>44458</v>
      </c>
      <c r="L2401" s="1472"/>
      <c r="M2401" s="1473">
        <v>0</v>
      </c>
      <c r="N2401" s="1474">
        <v>1.654249421151295</v>
      </c>
      <c r="O2401" s="1474"/>
    </row>
    <row r="2402" spans="11:15">
      <c r="K2402" s="1471">
        <v>44459</v>
      </c>
      <c r="L2402" s="1472" t="s">
        <v>2127</v>
      </c>
      <c r="M2402" s="1473">
        <v>1.993E-2</v>
      </c>
      <c r="N2402" s="1474">
        <v>1.6545791130609304</v>
      </c>
      <c r="O2402" s="1474"/>
    </row>
    <row r="2403" spans="11:15">
      <c r="K2403" s="1471">
        <v>44460</v>
      </c>
      <c r="L2403" s="1472" t="s">
        <v>2127</v>
      </c>
      <c r="M2403" s="1473">
        <v>1.993E-2</v>
      </c>
      <c r="N2403" s="1474">
        <v>1.6549088706781634</v>
      </c>
      <c r="O2403" s="1474"/>
    </row>
    <row r="2404" spans="11:15">
      <c r="K2404" s="1471">
        <v>44461</v>
      </c>
      <c r="L2404" s="1472" t="s">
        <v>2127</v>
      </c>
      <c r="M2404" s="1473">
        <v>1.993E-2</v>
      </c>
      <c r="N2404" s="1474">
        <v>1.6552386940160895</v>
      </c>
      <c r="O2404" s="1474"/>
    </row>
    <row r="2405" spans="11:15">
      <c r="K2405" s="1471">
        <v>44462</v>
      </c>
      <c r="L2405" s="1472" t="s">
        <v>2127</v>
      </c>
      <c r="M2405" s="1473">
        <v>2.3687E-2</v>
      </c>
      <c r="N2405" s="1474">
        <v>1.6556307704055411</v>
      </c>
      <c r="O2405" s="1474"/>
    </row>
    <row r="2406" spans="11:15">
      <c r="K2406" s="1471">
        <v>44463</v>
      </c>
      <c r="L2406" s="1472" t="s">
        <v>2127</v>
      </c>
      <c r="M2406" s="1473">
        <v>2.3687E-2</v>
      </c>
      <c r="N2406" s="1474">
        <v>1.656022939666127</v>
      </c>
      <c r="O2406" s="1474"/>
    </row>
    <row r="2407" spans="11:15">
      <c r="K2407" s="1471">
        <v>44464</v>
      </c>
      <c r="L2407" s="1472"/>
      <c r="M2407" s="1473">
        <v>0</v>
      </c>
      <c r="N2407" s="1474">
        <v>1.656022939666127</v>
      </c>
      <c r="O2407" s="1474"/>
    </row>
    <row r="2408" spans="11:15">
      <c r="K2408" s="1471">
        <v>44465</v>
      </c>
      <c r="L2408" s="1472"/>
      <c r="M2408" s="1473">
        <v>0</v>
      </c>
      <c r="N2408" s="1474">
        <v>1.656022939666127</v>
      </c>
      <c r="O2408" s="1474"/>
    </row>
    <row r="2409" spans="11:15">
      <c r="K2409" s="1471">
        <v>44466</v>
      </c>
      <c r="L2409" s="1472" t="s">
        <v>2127</v>
      </c>
      <c r="M2409" s="1473">
        <v>2.3687E-2</v>
      </c>
      <c r="N2409" s="1474">
        <v>1.6564152018198457</v>
      </c>
      <c r="O2409" s="1474"/>
    </row>
    <row r="2410" spans="11:15">
      <c r="K2410" s="1471">
        <v>44467</v>
      </c>
      <c r="L2410" s="1472" t="s">
        <v>2127</v>
      </c>
      <c r="M2410" s="1473">
        <v>2.3687E-2</v>
      </c>
      <c r="N2410" s="1474">
        <v>1.6568075568887006</v>
      </c>
      <c r="O2410" s="1474"/>
    </row>
    <row r="2411" spans="11:15">
      <c r="K2411" s="1471">
        <v>44468</v>
      </c>
      <c r="L2411" s="1472" t="s">
        <v>2127</v>
      </c>
      <c r="M2411" s="1473">
        <v>2.3687E-2</v>
      </c>
      <c r="N2411" s="1474">
        <v>1.6572000048947009</v>
      </c>
      <c r="O2411" s="1474"/>
    </row>
    <row r="2412" spans="11:15">
      <c r="K2412" s="1471">
        <v>44469</v>
      </c>
      <c r="L2412" s="1472" t="s">
        <v>2127</v>
      </c>
      <c r="M2412" s="1473">
        <v>2.3687E-2</v>
      </c>
      <c r="N2412" s="1474">
        <v>1.6575925458598602</v>
      </c>
      <c r="O2412" s="1474"/>
    </row>
    <row r="2413" spans="11:15">
      <c r="K2413" s="1471">
        <v>44470</v>
      </c>
      <c r="L2413" s="1472" t="s">
        <v>2127</v>
      </c>
      <c r="M2413" s="1473">
        <v>2.3687E-2</v>
      </c>
      <c r="N2413" s="1474">
        <v>1.657985179806198</v>
      </c>
      <c r="O2413" s="1474"/>
    </row>
    <row r="2414" spans="11:15">
      <c r="K2414" s="1471">
        <v>44471</v>
      </c>
      <c r="L2414" s="1472"/>
      <c r="M2414" s="1473">
        <v>0</v>
      </c>
      <c r="N2414" s="1474">
        <v>1.657985179806198</v>
      </c>
      <c r="O2414" s="1474"/>
    </row>
    <row r="2415" spans="11:15">
      <c r="K2415" s="1471">
        <v>44472</v>
      </c>
      <c r="L2415" s="1472"/>
      <c r="M2415" s="1473">
        <v>0</v>
      </c>
      <c r="N2415" s="1474">
        <v>1.657985179806198</v>
      </c>
      <c r="O2415" s="1474"/>
    </row>
    <row r="2416" spans="11:15">
      <c r="K2416" s="1471">
        <v>44473</v>
      </c>
      <c r="L2416" s="1472" t="s">
        <v>2127</v>
      </c>
      <c r="M2416" s="1473">
        <v>2.3687E-2</v>
      </c>
      <c r="N2416" s="1474">
        <v>1.6583779067557385</v>
      </c>
      <c r="O2416" s="1474"/>
    </row>
    <row r="2417" spans="11:15">
      <c r="K2417" s="1471">
        <v>44474</v>
      </c>
      <c r="L2417" s="1472" t="s">
        <v>2127</v>
      </c>
      <c r="M2417" s="1473">
        <v>2.3687E-2</v>
      </c>
      <c r="N2417" s="1474">
        <v>1.6587707267305116</v>
      </c>
      <c r="O2417" s="1474"/>
    </row>
    <row r="2418" spans="11:15">
      <c r="K2418" s="1471">
        <v>44475</v>
      </c>
      <c r="L2418" s="1472" t="s">
        <v>2127</v>
      </c>
      <c r="M2418" s="1473">
        <v>2.3687E-2</v>
      </c>
      <c r="N2418" s="1474">
        <v>1.6591636397525522</v>
      </c>
      <c r="O2418" s="1474"/>
    </row>
    <row r="2419" spans="11:15">
      <c r="K2419" s="1471">
        <v>44476</v>
      </c>
      <c r="L2419" s="1472" t="s">
        <v>2127</v>
      </c>
      <c r="M2419" s="1473">
        <v>2.3687E-2</v>
      </c>
      <c r="N2419" s="1474">
        <v>1.6595566458439004</v>
      </c>
      <c r="O2419" s="1474"/>
    </row>
    <row r="2420" spans="11:15">
      <c r="K2420" s="1471">
        <v>44477</v>
      </c>
      <c r="L2420" s="1472" t="s">
        <v>2127</v>
      </c>
      <c r="M2420" s="1473">
        <v>2.3687E-2</v>
      </c>
      <c r="N2420" s="1474">
        <v>1.6599497450266014</v>
      </c>
      <c r="O2420" s="1474"/>
    </row>
    <row r="2421" spans="11:15">
      <c r="K2421" s="1471">
        <v>44478</v>
      </c>
      <c r="L2421" s="1472"/>
      <c r="M2421" s="1473">
        <v>0</v>
      </c>
      <c r="N2421" s="1474">
        <v>1.6599497450266014</v>
      </c>
      <c r="O2421" s="1474"/>
    </row>
    <row r="2422" spans="11:15">
      <c r="K2422" s="1471">
        <v>44479</v>
      </c>
      <c r="L2422" s="1472"/>
      <c r="M2422" s="1473">
        <v>0</v>
      </c>
      <c r="N2422" s="1474">
        <v>1.6599497450266014</v>
      </c>
      <c r="O2422" s="1474"/>
    </row>
    <row r="2423" spans="11:15">
      <c r="K2423" s="1471">
        <v>44480</v>
      </c>
      <c r="L2423" s="1472" t="s">
        <v>2127</v>
      </c>
      <c r="M2423" s="1473">
        <v>2.3687E-2</v>
      </c>
      <c r="N2423" s="1474">
        <v>1.6603429373227059</v>
      </c>
      <c r="O2423" s="1474"/>
    </row>
    <row r="2424" spans="11:15">
      <c r="K2424" s="1471">
        <v>44481</v>
      </c>
      <c r="L2424" s="1472"/>
      <c r="M2424" s="1473">
        <v>0</v>
      </c>
      <c r="N2424" s="1474">
        <v>1.6603429373227059</v>
      </c>
      <c r="O2424" s="1474"/>
    </row>
    <row r="2425" spans="11:15">
      <c r="K2425" s="1471">
        <v>44482</v>
      </c>
      <c r="L2425" s="1472" t="s">
        <v>2127</v>
      </c>
      <c r="M2425" s="1473">
        <v>2.3687E-2</v>
      </c>
      <c r="N2425" s="1474">
        <v>1.6607362227542695</v>
      </c>
      <c r="O2425" s="1474"/>
    </row>
    <row r="2426" spans="11:15">
      <c r="K2426" s="1471">
        <v>44483</v>
      </c>
      <c r="L2426" s="1472" t="s">
        <v>2127</v>
      </c>
      <c r="M2426" s="1473">
        <v>2.3687E-2</v>
      </c>
      <c r="N2426" s="1474">
        <v>1.6611296013433532</v>
      </c>
      <c r="O2426" s="1474"/>
    </row>
    <row r="2427" spans="11:15">
      <c r="K2427" s="1471">
        <v>44484</v>
      </c>
      <c r="L2427" s="1472" t="s">
        <v>2127</v>
      </c>
      <c r="M2427" s="1473">
        <v>2.3687E-2</v>
      </c>
      <c r="N2427" s="1474">
        <v>1.6615230731120234</v>
      </c>
      <c r="O2427" s="1474"/>
    </row>
    <row r="2428" spans="11:15">
      <c r="K2428" s="1471">
        <v>44485</v>
      </c>
      <c r="L2428" s="1472"/>
      <c r="M2428" s="1473">
        <v>0</v>
      </c>
      <c r="N2428" s="1474">
        <v>1.6615230731120234</v>
      </c>
      <c r="O2428" s="1474"/>
    </row>
    <row r="2429" spans="11:15">
      <c r="K2429" s="1471">
        <v>44486</v>
      </c>
      <c r="L2429" s="1472"/>
      <c r="M2429" s="1473">
        <v>0</v>
      </c>
      <c r="N2429" s="1474">
        <v>1.6615230731120234</v>
      </c>
      <c r="O2429" s="1474"/>
    </row>
    <row r="2430" spans="11:15">
      <c r="K2430" s="1471">
        <v>44487</v>
      </c>
      <c r="L2430" s="1472" t="s">
        <v>2127</v>
      </c>
      <c r="M2430" s="1473">
        <v>2.3687E-2</v>
      </c>
      <c r="N2430" s="1474">
        <v>1.6619166380823513</v>
      </c>
      <c r="O2430" s="1474"/>
    </row>
    <row r="2431" spans="11:15">
      <c r="K2431" s="1471">
        <v>44488</v>
      </c>
      <c r="L2431" s="1472" t="s">
        <v>2127</v>
      </c>
      <c r="M2431" s="1473">
        <v>2.3687E-2</v>
      </c>
      <c r="N2431" s="1474">
        <v>1.6623102962764138</v>
      </c>
      <c r="O2431" s="1474"/>
    </row>
    <row r="2432" spans="11:15">
      <c r="K2432" s="1471">
        <v>44489</v>
      </c>
      <c r="L2432" s="1472" t="s">
        <v>2127</v>
      </c>
      <c r="M2432" s="1473">
        <v>2.3687E-2</v>
      </c>
      <c r="N2432" s="1474">
        <v>1.6627040477162927</v>
      </c>
      <c r="O2432" s="1474"/>
    </row>
    <row r="2433" spans="11:15">
      <c r="K2433" s="1471">
        <v>44490</v>
      </c>
      <c r="L2433" s="1472" t="s">
        <v>2127</v>
      </c>
      <c r="M2433" s="1473">
        <v>2.3687E-2</v>
      </c>
      <c r="N2433" s="1474">
        <v>1.6630978924240751</v>
      </c>
      <c r="O2433" s="1474"/>
    </row>
    <row r="2434" spans="11:15">
      <c r="K2434" s="1471">
        <v>44491</v>
      </c>
      <c r="L2434" s="1472" t="s">
        <v>2127</v>
      </c>
      <c r="M2434" s="1473">
        <v>2.3687E-2</v>
      </c>
      <c r="N2434" s="1474">
        <v>1.6634918304218536</v>
      </c>
      <c r="O2434" s="1474"/>
    </row>
    <row r="2435" spans="11:15">
      <c r="K2435" s="1471">
        <v>44492</v>
      </c>
      <c r="L2435" s="1472"/>
      <c r="M2435" s="1473">
        <v>0</v>
      </c>
      <c r="N2435" s="1474">
        <v>1.6634918304218536</v>
      </c>
      <c r="O2435" s="1474"/>
    </row>
    <row r="2436" spans="11:15">
      <c r="K2436" s="1471">
        <v>44493</v>
      </c>
      <c r="L2436" s="1472"/>
      <c r="M2436" s="1473">
        <v>0</v>
      </c>
      <c r="N2436" s="1474">
        <v>1.6634918304218536</v>
      </c>
      <c r="O2436" s="1474"/>
    </row>
    <row r="2437" spans="11:15">
      <c r="K2437" s="1471">
        <v>44494</v>
      </c>
      <c r="L2437" s="1472" t="s">
        <v>2127</v>
      </c>
      <c r="M2437" s="1473">
        <v>2.3687E-2</v>
      </c>
      <c r="N2437" s="1474">
        <v>1.6638858617317256</v>
      </c>
      <c r="O2437" s="1474"/>
    </row>
    <row r="2438" spans="11:15">
      <c r="K2438" s="1471">
        <v>44495</v>
      </c>
      <c r="L2438" s="1472" t="s">
        <v>2127</v>
      </c>
      <c r="M2438" s="1473">
        <v>2.3687E-2</v>
      </c>
      <c r="N2438" s="1474">
        <v>1.664279986375794</v>
      </c>
      <c r="O2438" s="1474"/>
    </row>
    <row r="2439" spans="11:15">
      <c r="K2439" s="1471">
        <v>44496</v>
      </c>
      <c r="L2439" s="1472" t="s">
        <v>2127</v>
      </c>
      <c r="M2439" s="1473">
        <v>2.3687E-2</v>
      </c>
      <c r="N2439" s="1474">
        <v>1.6646742043761666</v>
      </c>
      <c r="O2439" s="1474"/>
    </row>
    <row r="2440" spans="11:15">
      <c r="K2440" s="1471">
        <v>44497</v>
      </c>
      <c r="L2440" s="1472" t="s">
        <v>2127</v>
      </c>
      <c r="M2440" s="1473">
        <v>2.9256000000000001E-2</v>
      </c>
      <c r="N2440" s="1474">
        <v>1.6651612214613991</v>
      </c>
      <c r="O2440" s="1474"/>
    </row>
    <row r="2441" spans="11:15">
      <c r="K2441" s="1471">
        <v>44498</v>
      </c>
      <c r="L2441" s="1472" t="s">
        <v>2127</v>
      </c>
      <c r="M2441" s="1473">
        <v>2.9256000000000001E-2</v>
      </c>
      <c r="N2441" s="1474">
        <v>1.66564838102835</v>
      </c>
      <c r="O2441" s="1474"/>
    </row>
    <row r="2442" spans="11:15">
      <c r="K2442" s="1471">
        <v>44499</v>
      </c>
      <c r="L2442" s="1472"/>
      <c r="M2442" s="1473">
        <v>0</v>
      </c>
      <c r="N2442" s="1474">
        <v>1.66564838102835</v>
      </c>
      <c r="O2442" s="1474"/>
    </row>
    <row r="2443" spans="11:15">
      <c r="K2443" s="1471">
        <v>44500</v>
      </c>
      <c r="L2443" s="1472"/>
      <c r="M2443" s="1473">
        <v>0</v>
      </c>
      <c r="N2443" s="1474">
        <v>1.66564838102835</v>
      </c>
      <c r="O2443" s="1474"/>
    </row>
    <row r="2444" spans="11:15">
      <c r="K2444" s="1471">
        <v>44501</v>
      </c>
      <c r="L2444" s="1472" t="s">
        <v>2127</v>
      </c>
      <c r="M2444" s="1473">
        <v>2.9256000000000001E-2</v>
      </c>
      <c r="N2444" s="1474">
        <v>1.6661356831187037</v>
      </c>
      <c r="O2444" s="1474"/>
    </row>
    <row r="2445" spans="11:15">
      <c r="K2445" s="1471">
        <v>44502</v>
      </c>
      <c r="L2445" s="1472"/>
      <c r="M2445" s="1473">
        <v>0</v>
      </c>
      <c r="N2445" s="1474">
        <v>1.6661356831187037</v>
      </c>
      <c r="O2445" s="1474"/>
    </row>
    <row r="2446" spans="11:15">
      <c r="K2446" s="1471">
        <v>44503</v>
      </c>
      <c r="L2446" s="1472" t="s">
        <v>2127</v>
      </c>
      <c r="M2446" s="1473">
        <v>2.9256000000000001E-2</v>
      </c>
      <c r="N2446" s="1474">
        <v>1.6666231277741572</v>
      </c>
      <c r="O2446" s="1474"/>
    </row>
    <row r="2447" spans="11:15">
      <c r="K2447" s="1471">
        <v>44504</v>
      </c>
      <c r="L2447" s="1472" t="s">
        <v>2127</v>
      </c>
      <c r="M2447" s="1473">
        <v>2.9256000000000001E-2</v>
      </c>
      <c r="N2447" s="1474">
        <v>1.6671107150364191</v>
      </c>
      <c r="O2447" s="1474"/>
    </row>
    <row r="2448" spans="11:15">
      <c r="K2448" s="1471">
        <v>44505</v>
      </c>
      <c r="L2448" s="1472" t="s">
        <v>2127</v>
      </c>
      <c r="M2448" s="1473">
        <v>2.9256000000000001E-2</v>
      </c>
      <c r="N2448" s="1474">
        <v>1.6675984449472103</v>
      </c>
      <c r="O2448" s="1474"/>
    </row>
    <row r="2449" spans="11:15">
      <c r="K2449" s="1471">
        <v>44506</v>
      </c>
      <c r="L2449" s="1472"/>
      <c r="M2449" s="1473">
        <v>0</v>
      </c>
      <c r="N2449" s="1474">
        <v>1.6675984449472103</v>
      </c>
      <c r="O2449" s="1474"/>
    </row>
    <row r="2450" spans="11:15">
      <c r="K2450" s="1471">
        <v>44507</v>
      </c>
      <c r="L2450" s="1472"/>
      <c r="M2450" s="1473">
        <v>0</v>
      </c>
      <c r="N2450" s="1474">
        <v>1.6675984449472103</v>
      </c>
      <c r="O2450" s="1474"/>
    </row>
    <row r="2451" spans="11:15">
      <c r="K2451" s="1471">
        <v>44508</v>
      </c>
      <c r="L2451" s="1472" t="s">
        <v>2127</v>
      </c>
      <c r="M2451" s="1473">
        <v>2.9256000000000001E-2</v>
      </c>
      <c r="N2451" s="1474">
        <v>1.6680863175482643</v>
      </c>
      <c r="O2451" s="1474"/>
    </row>
    <row r="2452" spans="11:15">
      <c r="K2452" s="1471">
        <v>44509</v>
      </c>
      <c r="L2452" s="1472" t="s">
        <v>2127</v>
      </c>
      <c r="M2452" s="1473">
        <v>2.9256000000000001E-2</v>
      </c>
      <c r="N2452" s="1474">
        <v>1.6685743328813265</v>
      </c>
      <c r="O2452" s="1474"/>
    </row>
    <row r="2453" spans="11:15">
      <c r="K2453" s="1471">
        <v>44510</v>
      </c>
      <c r="L2453" s="1472" t="s">
        <v>2127</v>
      </c>
      <c r="M2453" s="1473">
        <v>2.9256000000000001E-2</v>
      </c>
      <c r="N2453" s="1474">
        <v>1.6690624909881544</v>
      </c>
      <c r="O2453" s="1474"/>
    </row>
    <row r="2454" spans="11:15">
      <c r="K2454" s="1471">
        <v>44511</v>
      </c>
      <c r="L2454" s="1472" t="s">
        <v>2127</v>
      </c>
      <c r="M2454" s="1473">
        <v>2.9256000000000001E-2</v>
      </c>
      <c r="N2454" s="1474">
        <v>1.6695507919105181</v>
      </c>
      <c r="O2454" s="1474"/>
    </row>
    <row r="2455" spans="11:15">
      <c r="K2455" s="1471">
        <v>44512</v>
      </c>
      <c r="L2455" s="1472" t="s">
        <v>2127</v>
      </c>
      <c r="M2455" s="1473">
        <v>2.9256000000000001E-2</v>
      </c>
      <c r="N2455" s="1474">
        <v>1.6700392356901996</v>
      </c>
      <c r="O2455" s="1474"/>
    </row>
    <row r="2456" spans="11:15">
      <c r="K2456" s="1471">
        <v>44513</v>
      </c>
      <c r="L2456" s="1472"/>
      <c r="M2456" s="1473">
        <v>0</v>
      </c>
      <c r="N2456" s="1474">
        <v>1.6700392356901996</v>
      </c>
      <c r="O2456" s="1474"/>
    </row>
    <row r="2457" spans="11:15">
      <c r="K2457" s="1471">
        <v>44514</v>
      </c>
      <c r="L2457" s="1472"/>
      <c r="M2457" s="1473">
        <v>0</v>
      </c>
      <c r="N2457" s="1474">
        <v>1.6700392356901996</v>
      </c>
      <c r="O2457" s="1474"/>
    </row>
    <row r="2458" spans="11:15">
      <c r="K2458" s="1471">
        <v>44515</v>
      </c>
      <c r="L2458" s="1472"/>
      <c r="M2458" s="1473">
        <v>0</v>
      </c>
      <c r="N2458" s="1474">
        <v>1.6700392356901996</v>
      </c>
      <c r="O2458" s="1474"/>
    </row>
    <row r="2459" spans="11:15">
      <c r="K2459" s="1471">
        <v>44516</v>
      </c>
      <c r="L2459" s="1472" t="s">
        <v>2127</v>
      </c>
      <c r="M2459" s="1473">
        <v>2.9256000000000001E-2</v>
      </c>
      <c r="N2459" s="1474">
        <v>1.6705278223689934</v>
      </c>
      <c r="O2459" s="1474"/>
    </row>
    <row r="2460" spans="11:15">
      <c r="K2460" s="1471">
        <v>44517</v>
      </c>
      <c r="L2460" s="1472" t="s">
        <v>2127</v>
      </c>
      <c r="M2460" s="1473">
        <v>2.9256000000000001E-2</v>
      </c>
      <c r="N2460" s="1474">
        <v>1.6710165519887059</v>
      </c>
      <c r="O2460" s="1474"/>
    </row>
    <row r="2461" spans="11:15">
      <c r="K2461" s="1471">
        <v>44518</v>
      </c>
      <c r="L2461" s="1472" t="s">
        <v>2127</v>
      </c>
      <c r="M2461" s="1473">
        <v>2.9256000000000001E-2</v>
      </c>
      <c r="N2461" s="1474">
        <v>1.6715054245911558</v>
      </c>
      <c r="O2461" s="1474"/>
    </row>
    <row r="2462" spans="11:15">
      <c r="K2462" s="1471">
        <v>44519</v>
      </c>
      <c r="L2462" s="1472" t="s">
        <v>2127</v>
      </c>
      <c r="M2462" s="1473">
        <v>2.9256000000000001E-2</v>
      </c>
      <c r="N2462" s="1474">
        <v>1.6719944402181743</v>
      </c>
      <c r="O2462" s="1474"/>
    </row>
    <row r="2463" spans="11:15">
      <c r="K2463" s="1471">
        <v>44520</v>
      </c>
      <c r="L2463" s="1472"/>
      <c r="M2463" s="1473">
        <v>0</v>
      </c>
      <c r="N2463" s="1474">
        <v>1.6719944402181743</v>
      </c>
      <c r="O2463" s="1474"/>
    </row>
    <row r="2464" spans="11:15">
      <c r="K2464" s="1471">
        <v>44521</v>
      </c>
      <c r="L2464" s="1472"/>
      <c r="M2464" s="1473">
        <v>0</v>
      </c>
      <c r="N2464" s="1474">
        <v>1.6719944402181743</v>
      </c>
      <c r="O2464" s="1474"/>
    </row>
    <row r="2465" spans="11:15">
      <c r="K2465" s="1471">
        <v>44522</v>
      </c>
      <c r="L2465" s="1472" t="s">
        <v>2127</v>
      </c>
      <c r="M2465" s="1473">
        <v>2.9256000000000001E-2</v>
      </c>
      <c r="N2465" s="1474">
        <v>1.6724835989116047</v>
      </c>
      <c r="O2465" s="1474"/>
    </row>
    <row r="2466" spans="11:15">
      <c r="K2466" s="1471">
        <v>44523</v>
      </c>
      <c r="L2466" s="1472" t="s">
        <v>2127</v>
      </c>
      <c r="M2466" s="1473">
        <v>2.9256000000000001E-2</v>
      </c>
      <c r="N2466" s="1474">
        <v>1.6729729007133025</v>
      </c>
      <c r="O2466" s="1474"/>
    </row>
    <row r="2467" spans="11:15">
      <c r="K2467" s="1471">
        <v>44524</v>
      </c>
      <c r="L2467" s="1472" t="s">
        <v>2127</v>
      </c>
      <c r="M2467" s="1473">
        <v>2.9256000000000001E-2</v>
      </c>
      <c r="N2467" s="1474">
        <v>1.6734623456651354</v>
      </c>
      <c r="O2467" s="1474"/>
    </row>
    <row r="2468" spans="11:15">
      <c r="K2468" s="1471">
        <v>44525</v>
      </c>
      <c r="L2468" s="1472" t="s">
        <v>2127</v>
      </c>
      <c r="M2468" s="1473">
        <v>2.9256000000000001E-2</v>
      </c>
      <c r="N2468" s="1474">
        <v>1.6739519338089834</v>
      </c>
      <c r="O2468" s="1474"/>
    </row>
    <row r="2469" spans="11:15">
      <c r="K2469" s="1471">
        <v>44526</v>
      </c>
      <c r="L2469" s="1472" t="s">
        <v>2127</v>
      </c>
      <c r="M2469" s="1473">
        <v>2.9256000000000001E-2</v>
      </c>
      <c r="N2469" s="1474">
        <v>1.6744416651867389</v>
      </c>
      <c r="O2469" s="1474"/>
    </row>
    <row r="2470" spans="11:15">
      <c r="K2470" s="1471">
        <v>44527</v>
      </c>
      <c r="L2470" s="1472"/>
      <c r="M2470" s="1473">
        <v>0</v>
      </c>
      <c r="N2470" s="1474">
        <v>1.6744416651867389</v>
      </c>
      <c r="O2470" s="1474"/>
    </row>
    <row r="2471" spans="11:15">
      <c r="K2471" s="1471">
        <v>44528</v>
      </c>
      <c r="L2471" s="1472"/>
      <c r="M2471" s="1473">
        <v>0</v>
      </c>
      <c r="N2471" s="1474">
        <v>1.6744416651867389</v>
      </c>
      <c r="O2471" s="1474"/>
    </row>
    <row r="2472" spans="11:15">
      <c r="K2472" s="1471">
        <v>44529</v>
      </c>
      <c r="L2472" s="1472" t="s">
        <v>2127</v>
      </c>
      <c r="M2472" s="1473">
        <v>2.9256000000000001E-2</v>
      </c>
      <c r="N2472" s="1474">
        <v>1.6749315398403062</v>
      </c>
      <c r="O2472" s="1474"/>
    </row>
    <row r="2473" spans="11:15">
      <c r="K2473" s="1471">
        <v>44530</v>
      </c>
      <c r="L2473" s="1472" t="s">
        <v>2127</v>
      </c>
      <c r="M2473" s="1473">
        <v>2.9256000000000001E-2</v>
      </c>
      <c r="N2473" s="1474">
        <v>1.6754215578116021</v>
      </c>
      <c r="O2473" s="1474"/>
    </row>
    <row r="2474" spans="11:15">
      <c r="K2474" s="1471">
        <v>44531</v>
      </c>
      <c r="L2474" s="1472" t="s">
        <v>2127</v>
      </c>
      <c r="M2474" s="1473">
        <v>2.9256000000000001E-2</v>
      </c>
      <c r="N2474" s="1474">
        <v>1.6759117191425557</v>
      </c>
      <c r="O2474" s="1474"/>
    </row>
    <row r="2475" spans="11:15">
      <c r="K2475" s="1471">
        <v>44532</v>
      </c>
      <c r="L2475" s="1472" t="s">
        <v>2127</v>
      </c>
      <c r="M2475" s="1473">
        <v>2.9256000000000001E-2</v>
      </c>
      <c r="N2475" s="1474">
        <v>1.6764020238751083</v>
      </c>
      <c r="O2475" s="1474"/>
    </row>
    <row r="2476" spans="11:15">
      <c r="K2476" s="1471">
        <v>44533</v>
      </c>
      <c r="L2476" s="1472" t="s">
        <v>2127</v>
      </c>
      <c r="M2476" s="1473">
        <v>2.9256000000000001E-2</v>
      </c>
      <c r="N2476" s="1474">
        <v>1.6768924720512133</v>
      </c>
      <c r="O2476" s="1474"/>
    </row>
    <row r="2477" spans="11:15">
      <c r="K2477" s="1471">
        <v>44534</v>
      </c>
      <c r="L2477" s="1472"/>
      <c r="M2477" s="1473">
        <v>0</v>
      </c>
      <c r="N2477" s="1474">
        <v>1.6768924720512133</v>
      </c>
      <c r="O2477" s="1474"/>
    </row>
    <row r="2478" spans="11:15">
      <c r="K2478" s="1471">
        <v>44535</v>
      </c>
      <c r="L2478" s="1472"/>
      <c r="M2478" s="1473">
        <v>0</v>
      </c>
      <c r="N2478" s="1474">
        <v>1.6768924720512133</v>
      </c>
      <c r="O2478" s="1474"/>
    </row>
    <row r="2479" spans="11:15">
      <c r="K2479" s="1471">
        <v>44536</v>
      </c>
      <c r="L2479" s="1472" t="s">
        <v>2127</v>
      </c>
      <c r="M2479" s="1473">
        <v>2.9256000000000001E-2</v>
      </c>
      <c r="N2479" s="1474">
        <v>1.6773830637128369</v>
      </c>
      <c r="O2479" s="1474"/>
    </row>
    <row r="2480" spans="11:15">
      <c r="K2480" s="1471">
        <v>44537</v>
      </c>
      <c r="L2480" s="1472" t="s">
        <v>2127</v>
      </c>
      <c r="M2480" s="1473">
        <v>2.9256000000000001E-2</v>
      </c>
      <c r="N2480" s="1474">
        <v>1.6778737989019568</v>
      </c>
      <c r="O2480" s="1474"/>
    </row>
    <row r="2481" spans="11:15">
      <c r="K2481" s="1471">
        <v>44538</v>
      </c>
      <c r="L2481" s="1472" t="s">
        <v>2127</v>
      </c>
      <c r="M2481" s="1473">
        <v>2.9256000000000001E-2</v>
      </c>
      <c r="N2481" s="1474">
        <v>1.6783646776605636</v>
      </c>
      <c r="O2481" s="1474"/>
    </row>
    <row r="2482" spans="11:15">
      <c r="K2482" s="1471">
        <v>44539</v>
      </c>
      <c r="L2482" s="1472" t="s">
        <v>2127</v>
      </c>
      <c r="M2482" s="1473">
        <v>3.4749000000000002E-2</v>
      </c>
      <c r="N2482" s="1474">
        <v>1.678947892602404</v>
      </c>
      <c r="O2482" s="1474"/>
    </row>
    <row r="2483" spans="11:15">
      <c r="K2483" s="1471">
        <v>44540</v>
      </c>
      <c r="L2483" s="1472" t="s">
        <v>2127</v>
      </c>
      <c r="M2483" s="1473">
        <v>3.4749000000000002E-2</v>
      </c>
      <c r="N2483" s="1474">
        <v>1.6795313102056044</v>
      </c>
      <c r="O2483" s="1474"/>
    </row>
    <row r="2484" spans="11:15">
      <c r="K2484" s="1471">
        <v>44541</v>
      </c>
      <c r="L2484" s="1472"/>
      <c r="M2484" s="1473">
        <v>0</v>
      </c>
      <c r="N2484" s="1474">
        <v>1.6795313102056044</v>
      </c>
      <c r="O2484" s="1474"/>
    </row>
    <row r="2485" spans="11:15">
      <c r="K2485" s="1471">
        <v>44542</v>
      </c>
      <c r="L2485" s="1472"/>
      <c r="M2485" s="1473">
        <v>0</v>
      </c>
      <c r="N2485" s="1474">
        <v>1.6795313102056044</v>
      </c>
      <c r="O2485" s="1474"/>
    </row>
    <row r="2486" spans="11:15">
      <c r="K2486" s="1471">
        <v>44543</v>
      </c>
      <c r="L2486" s="1472" t="s">
        <v>2127</v>
      </c>
      <c r="M2486" s="1473">
        <v>3.4749000000000002E-2</v>
      </c>
      <c r="N2486" s="1474">
        <v>1.6801149305405878</v>
      </c>
      <c r="O2486" s="1474"/>
    </row>
    <row r="2487" spans="11:15">
      <c r="K2487" s="1471">
        <v>44544</v>
      </c>
      <c r="L2487" s="1472" t="s">
        <v>2127</v>
      </c>
      <c r="M2487" s="1473">
        <v>3.4749000000000002E-2</v>
      </c>
      <c r="N2487" s="1474">
        <v>1.6806987536778013</v>
      </c>
      <c r="O2487" s="1474"/>
    </row>
    <row r="2488" spans="11:15">
      <c r="K2488" s="1471">
        <v>44545</v>
      </c>
      <c r="L2488" s="1472" t="s">
        <v>2127</v>
      </c>
      <c r="M2488" s="1473">
        <v>3.4749000000000002E-2</v>
      </c>
      <c r="N2488" s="1474">
        <v>1.6812827796877168</v>
      </c>
      <c r="O2488" s="1474"/>
    </row>
    <row r="2489" spans="11:15">
      <c r="K2489" s="1471">
        <v>44546</v>
      </c>
      <c r="L2489" s="1472" t="s">
        <v>2127</v>
      </c>
      <c r="M2489" s="1473">
        <v>3.4749000000000002E-2</v>
      </c>
      <c r="N2489" s="1474">
        <v>1.6818670086408305</v>
      </c>
      <c r="O2489" s="1474"/>
    </row>
    <row r="2490" spans="11:15">
      <c r="K2490" s="1471">
        <v>44547</v>
      </c>
      <c r="L2490" s="1472" t="s">
        <v>2127</v>
      </c>
      <c r="M2490" s="1473">
        <v>3.4749000000000002E-2</v>
      </c>
      <c r="N2490" s="1474">
        <v>1.6824514406076632</v>
      </c>
      <c r="O2490" s="1474"/>
    </row>
    <row r="2491" spans="11:15">
      <c r="K2491" s="1471">
        <v>44548</v>
      </c>
      <c r="L2491" s="1472"/>
      <c r="M2491" s="1473">
        <v>0</v>
      </c>
      <c r="N2491" s="1474">
        <v>1.6824514406076632</v>
      </c>
      <c r="O2491" s="1474"/>
    </row>
    <row r="2492" spans="11:15">
      <c r="K2492" s="1471">
        <v>44549</v>
      </c>
      <c r="L2492" s="1472"/>
      <c r="M2492" s="1473">
        <v>0</v>
      </c>
      <c r="N2492" s="1474">
        <v>1.6824514406076632</v>
      </c>
      <c r="O2492" s="1474"/>
    </row>
    <row r="2493" spans="11:15">
      <c r="K2493" s="1471">
        <v>44550</v>
      </c>
      <c r="L2493" s="1472" t="s">
        <v>2127</v>
      </c>
      <c r="M2493" s="1473">
        <v>3.4749000000000002E-2</v>
      </c>
      <c r="N2493" s="1474">
        <v>1.6830360756587599</v>
      </c>
      <c r="O2493" s="1474"/>
    </row>
    <row r="2494" spans="11:15">
      <c r="K2494" s="1471">
        <v>44551</v>
      </c>
      <c r="L2494" s="1472" t="s">
        <v>2127</v>
      </c>
      <c r="M2494" s="1473">
        <v>3.4749000000000002E-2</v>
      </c>
      <c r="N2494" s="1474">
        <v>1.6836209138646905</v>
      </c>
      <c r="O2494" s="1474"/>
    </row>
    <row r="2495" spans="11:15">
      <c r="K2495" s="1471">
        <v>44552</v>
      </c>
      <c r="L2495" s="1472" t="s">
        <v>2127</v>
      </c>
      <c r="M2495" s="1473">
        <v>3.4749000000000002E-2</v>
      </c>
      <c r="N2495" s="1474">
        <v>1.6842059552960493</v>
      </c>
      <c r="O2495" s="1474"/>
    </row>
    <row r="2496" spans="11:15">
      <c r="K2496" s="1471">
        <v>44553</v>
      </c>
      <c r="L2496" s="1472" t="s">
        <v>2127</v>
      </c>
      <c r="M2496" s="1473">
        <v>3.4749000000000002E-2</v>
      </c>
      <c r="N2496" s="1474">
        <v>1.6847912000234551</v>
      </c>
      <c r="O2496" s="1474"/>
    </row>
    <row r="2497" spans="11:15">
      <c r="K2497" s="1471">
        <v>44554</v>
      </c>
      <c r="L2497" s="1472" t="s">
        <v>2127</v>
      </c>
      <c r="M2497" s="1473">
        <v>3.4749000000000002E-2</v>
      </c>
      <c r="N2497" s="1474">
        <v>1.6853766481175512</v>
      </c>
      <c r="O2497" s="1474"/>
    </row>
    <row r="2498" spans="11:15">
      <c r="K2498" s="1471">
        <v>44555</v>
      </c>
      <c r="L2498" s="1472"/>
      <c r="M2498" s="1473">
        <v>0</v>
      </c>
      <c r="N2498" s="1474">
        <v>1.6853766481175512</v>
      </c>
      <c r="O2498" s="1474"/>
    </row>
    <row r="2499" spans="11:15">
      <c r="K2499" s="1471">
        <v>44556</v>
      </c>
      <c r="L2499" s="1472"/>
      <c r="M2499" s="1473">
        <v>0</v>
      </c>
      <c r="N2499" s="1474">
        <v>1.6853766481175512</v>
      </c>
      <c r="O2499" s="1474"/>
    </row>
    <row r="2500" spans="11:15">
      <c r="K2500" s="1471">
        <v>44557</v>
      </c>
      <c r="L2500" s="1472" t="s">
        <v>2127</v>
      </c>
      <c r="M2500" s="1473">
        <v>3.4749000000000002E-2</v>
      </c>
      <c r="N2500" s="1474">
        <v>1.6859622996490056</v>
      </c>
      <c r="O2500" s="1474"/>
    </row>
    <row r="2501" spans="11:15">
      <c r="K2501" s="1471">
        <v>44558</v>
      </c>
      <c r="L2501" s="1472" t="s">
        <v>2127</v>
      </c>
      <c r="M2501" s="1473">
        <v>3.4749000000000002E-2</v>
      </c>
      <c r="N2501" s="1474">
        <v>1.6865481546885106</v>
      </c>
      <c r="O2501" s="1474"/>
    </row>
    <row r="2502" spans="11:15">
      <c r="K2502" s="1471">
        <v>44559</v>
      </c>
      <c r="L2502" s="1472" t="s">
        <v>2127</v>
      </c>
      <c r="M2502" s="1473">
        <v>3.4749000000000002E-2</v>
      </c>
      <c r="N2502" s="1474">
        <v>1.6871342133067833</v>
      </c>
      <c r="O2502" s="1474"/>
    </row>
    <row r="2503" spans="11:15">
      <c r="K2503" s="1471">
        <v>44560</v>
      </c>
      <c r="L2503" s="1472" t="s">
        <v>2127</v>
      </c>
      <c r="M2503" s="1473">
        <v>3.4749000000000002E-2</v>
      </c>
      <c r="N2503" s="1474">
        <v>1.6877204755745652</v>
      </c>
      <c r="O2503" s="1474"/>
    </row>
    <row r="2504" spans="11:15">
      <c r="K2504" s="1471">
        <v>44561</v>
      </c>
      <c r="L2504" s="1472" t="s">
        <v>2127</v>
      </c>
      <c r="M2504" s="1473">
        <v>3.4749000000000002E-2</v>
      </c>
      <c r="N2504" s="1474">
        <v>1.6883069415626226</v>
      </c>
      <c r="O2504" s="1474"/>
    </row>
    <row r="2505" spans="11:15">
      <c r="K2505" s="1471">
        <v>44562</v>
      </c>
      <c r="L2505" s="1472"/>
      <c r="M2505" s="1473">
        <v>0</v>
      </c>
      <c r="N2505" s="1474">
        <v>1.6883069415626226</v>
      </c>
      <c r="O2505" s="1474"/>
    </row>
    <row r="2506" spans="11:15">
      <c r="K2506" s="1471">
        <v>44563</v>
      </c>
      <c r="L2506" s="1472"/>
      <c r="M2506" s="1473">
        <v>0</v>
      </c>
      <c r="N2506" s="1474">
        <v>1.6883069415626226</v>
      </c>
      <c r="O2506" s="1474"/>
    </row>
    <row r="2507" spans="11:15">
      <c r="K2507" s="1471">
        <v>44564</v>
      </c>
      <c r="L2507" s="1472" t="s">
        <v>2127</v>
      </c>
      <c r="M2507" s="1473">
        <v>3.4749000000000002E-2</v>
      </c>
      <c r="N2507" s="1474">
        <v>1.6888936113417463</v>
      </c>
      <c r="O2507" s="1474"/>
    </row>
    <row r="2508" spans="11:15">
      <c r="K2508" s="1471">
        <v>44565</v>
      </c>
      <c r="L2508" s="1472" t="s">
        <v>2127</v>
      </c>
      <c r="M2508" s="1473">
        <v>3.4749000000000002E-2</v>
      </c>
      <c r="N2508" s="1474">
        <v>1.6894804849827514</v>
      </c>
      <c r="O2508" s="1474"/>
    </row>
    <row r="2509" spans="11:15">
      <c r="K2509" s="1471">
        <v>44566</v>
      </c>
      <c r="L2509" s="1472" t="s">
        <v>2127</v>
      </c>
      <c r="M2509" s="1473">
        <v>3.4749000000000002E-2</v>
      </c>
      <c r="N2509" s="1474">
        <v>1.6900675625564781</v>
      </c>
      <c r="O2509" s="1474"/>
    </row>
    <row r="2510" spans="11:15">
      <c r="K2510" s="1471">
        <v>44567</v>
      </c>
      <c r="L2510" s="1472" t="s">
        <v>2127</v>
      </c>
      <c r="M2510" s="1473">
        <v>3.4749000000000002E-2</v>
      </c>
      <c r="N2510" s="1474">
        <v>1.6906548441337907</v>
      </c>
      <c r="O2510" s="1474"/>
    </row>
    <row r="2511" spans="11:15">
      <c r="K2511" s="1471">
        <v>44568</v>
      </c>
      <c r="L2511" s="1472" t="s">
        <v>2127</v>
      </c>
      <c r="M2511" s="1473">
        <v>3.4749000000000002E-2</v>
      </c>
      <c r="N2511" s="1474">
        <v>1.6912423297855788</v>
      </c>
      <c r="O2511" s="1474"/>
    </row>
    <row r="2512" spans="11:15">
      <c r="K2512" s="1471">
        <v>44569</v>
      </c>
      <c r="L2512" s="1472"/>
      <c r="M2512" s="1473">
        <v>0</v>
      </c>
      <c r="N2512" s="1474">
        <v>1.6912423297855788</v>
      </c>
      <c r="O2512" s="1474"/>
    </row>
    <row r="2513" spans="11:15">
      <c r="K2513" s="1471">
        <v>44570</v>
      </c>
      <c r="L2513" s="1472"/>
      <c r="M2513" s="1473">
        <v>0</v>
      </c>
      <c r="N2513" s="1474">
        <v>1.6912423297855788</v>
      </c>
      <c r="O2513" s="1474"/>
    </row>
    <row r="2514" spans="11:15">
      <c r="K2514" s="1471">
        <v>44571</v>
      </c>
      <c r="L2514" s="1472" t="s">
        <v>2127</v>
      </c>
      <c r="M2514" s="1473">
        <v>3.4749000000000002E-2</v>
      </c>
      <c r="N2514" s="1474">
        <v>1.691830019582756</v>
      </c>
      <c r="O2514" s="1474"/>
    </row>
    <row r="2515" spans="11:15">
      <c r="K2515" s="1471">
        <v>44572</v>
      </c>
      <c r="L2515" s="1472" t="s">
        <v>2127</v>
      </c>
      <c r="M2515" s="1473">
        <v>3.4749000000000002E-2</v>
      </c>
      <c r="N2515" s="1474">
        <v>1.6924179135962609</v>
      </c>
      <c r="O2515" s="1474"/>
    </row>
    <row r="2516" spans="11:15">
      <c r="K2516" s="1471">
        <v>44573</v>
      </c>
      <c r="L2516" s="1472" t="s">
        <v>2127</v>
      </c>
      <c r="M2516" s="1473">
        <v>3.4749000000000002E-2</v>
      </c>
      <c r="N2516" s="1474">
        <v>1.6930060118970565</v>
      </c>
      <c r="O2516" s="1474"/>
    </row>
    <row r="2517" spans="11:15">
      <c r="K2517" s="1471">
        <v>44574</v>
      </c>
      <c r="L2517" s="1472" t="s">
        <v>2127</v>
      </c>
      <c r="M2517" s="1473">
        <v>3.4749000000000002E-2</v>
      </c>
      <c r="N2517" s="1474">
        <v>1.6935943145561305</v>
      </c>
      <c r="O2517" s="1474"/>
    </row>
    <row r="2518" spans="11:15">
      <c r="K2518" s="1471">
        <v>44575</v>
      </c>
      <c r="L2518" s="1472" t="s">
        <v>2127</v>
      </c>
      <c r="M2518" s="1473">
        <v>3.4749000000000002E-2</v>
      </c>
      <c r="N2518" s="1474">
        <v>1.6941828216444956</v>
      </c>
      <c r="O2518" s="1474"/>
    </row>
    <row r="2519" spans="11:15">
      <c r="K2519" s="1471">
        <v>44576</v>
      </c>
      <c r="L2519" s="1472"/>
      <c r="M2519" s="1473">
        <v>0</v>
      </c>
      <c r="N2519" s="1474">
        <v>1.6941828216444956</v>
      </c>
      <c r="O2519" s="1474"/>
    </row>
    <row r="2520" spans="11:15">
      <c r="K2520" s="1471">
        <v>44577</v>
      </c>
      <c r="L2520" s="1472"/>
      <c r="M2520" s="1473">
        <v>0</v>
      </c>
      <c r="N2520" s="1474">
        <v>1.6941828216444956</v>
      </c>
      <c r="O2520" s="1474"/>
    </row>
    <row r="2521" spans="11:15">
      <c r="K2521" s="1471">
        <v>44578</v>
      </c>
      <c r="L2521" s="1472" t="s">
        <v>2127</v>
      </c>
      <c r="M2521" s="1473">
        <v>3.4749000000000002E-2</v>
      </c>
      <c r="N2521" s="1474">
        <v>1.694771533233189</v>
      </c>
      <c r="O2521" s="1474"/>
    </row>
    <row r="2522" spans="11:15">
      <c r="K2522" s="1471">
        <v>44579</v>
      </c>
      <c r="L2522" s="1472" t="s">
        <v>2127</v>
      </c>
      <c r="M2522" s="1473">
        <v>3.4749000000000002E-2</v>
      </c>
      <c r="N2522" s="1474">
        <v>1.6953604493932721</v>
      </c>
      <c r="O2522" s="1474"/>
    </row>
    <row r="2523" spans="11:15">
      <c r="K2523" s="1471">
        <v>44580</v>
      </c>
      <c r="L2523" s="1472" t="s">
        <v>2127</v>
      </c>
      <c r="M2523" s="1473">
        <v>3.4749000000000002E-2</v>
      </c>
      <c r="N2523" s="1474">
        <v>1.6959495701958318</v>
      </c>
      <c r="O2523" s="1474"/>
    </row>
    <row r="2524" spans="11:15">
      <c r="K2524" s="1471">
        <v>44581</v>
      </c>
      <c r="L2524" s="1472" t="s">
        <v>2127</v>
      </c>
      <c r="M2524" s="1473">
        <v>3.4749000000000002E-2</v>
      </c>
      <c r="N2524" s="1474">
        <v>1.6965388957119791</v>
      </c>
      <c r="O2524" s="1474"/>
    </row>
    <row r="2525" spans="11:15">
      <c r="K2525" s="1471">
        <v>44582</v>
      </c>
      <c r="L2525" s="1472" t="s">
        <v>2127</v>
      </c>
      <c r="M2525" s="1473">
        <v>3.4749000000000002E-2</v>
      </c>
      <c r="N2525" s="1474">
        <v>1.6971284260128501</v>
      </c>
      <c r="O2525" s="1474"/>
    </row>
    <row r="2526" spans="11:15">
      <c r="K2526" s="1471">
        <v>44583</v>
      </c>
      <c r="L2526" s="1472"/>
      <c r="M2526" s="1473">
        <v>0</v>
      </c>
      <c r="N2526" s="1474">
        <v>1.6971284260128501</v>
      </c>
      <c r="O2526" s="1474"/>
    </row>
    <row r="2527" spans="11:15">
      <c r="K2527" s="1471">
        <v>44584</v>
      </c>
      <c r="L2527" s="1472"/>
      <c r="M2527" s="1473">
        <v>0</v>
      </c>
      <c r="N2527" s="1474">
        <v>1.6971284260128501</v>
      </c>
      <c r="O2527" s="1474"/>
    </row>
    <row r="2528" spans="11:15">
      <c r="K2528" s="1471">
        <v>44585</v>
      </c>
      <c r="L2528" s="1472" t="s">
        <v>2127</v>
      </c>
      <c r="M2528" s="1473">
        <v>3.4749000000000002E-2</v>
      </c>
      <c r="N2528" s="1474">
        <v>1.6977181611696053</v>
      </c>
      <c r="O2528" s="1474"/>
    </row>
    <row r="2529" spans="11:15">
      <c r="K2529" s="1471">
        <v>44586</v>
      </c>
      <c r="L2529" s="1472" t="s">
        <v>2127</v>
      </c>
      <c r="M2529" s="1473">
        <v>3.4749000000000002E-2</v>
      </c>
      <c r="N2529" s="1474">
        <v>1.69830810125343</v>
      </c>
      <c r="O2529" s="1474"/>
    </row>
    <row r="2530" spans="11:15">
      <c r="K2530" s="1471">
        <v>44587</v>
      </c>
      <c r="L2530" s="1472" t="s">
        <v>2127</v>
      </c>
      <c r="M2530" s="1473">
        <v>3.4749000000000002E-2</v>
      </c>
      <c r="N2530" s="1474">
        <v>1.6988982463355347</v>
      </c>
      <c r="O2530" s="1474"/>
    </row>
    <row r="2531" spans="11:15">
      <c r="K2531" s="1471">
        <v>44588</v>
      </c>
      <c r="L2531" s="1472" t="s">
        <v>2127</v>
      </c>
      <c r="M2531" s="1473">
        <v>3.4749000000000002E-2</v>
      </c>
      <c r="N2531" s="1474">
        <v>1.6994885964871538</v>
      </c>
      <c r="O2531" s="1474"/>
    </row>
    <row r="2532" spans="11:15">
      <c r="K2532" s="1471">
        <v>44589</v>
      </c>
      <c r="L2532" s="1472" t="s">
        <v>2127</v>
      </c>
      <c r="M2532" s="1473">
        <v>3.4749000000000002E-2</v>
      </c>
      <c r="N2532" s="1474">
        <v>1.700079151779547</v>
      </c>
      <c r="O2532" s="1474"/>
    </row>
    <row r="2533" spans="11:15">
      <c r="K2533" s="1471">
        <v>44590</v>
      </c>
      <c r="L2533" s="1472"/>
      <c r="M2533" s="1473">
        <v>0</v>
      </c>
      <c r="N2533" s="1474">
        <v>1.700079151779547</v>
      </c>
      <c r="O2533" s="1474"/>
    </row>
    <row r="2534" spans="11:15">
      <c r="K2534" s="1471">
        <v>44591</v>
      </c>
      <c r="L2534" s="1472"/>
      <c r="M2534" s="1473">
        <v>0</v>
      </c>
      <c r="N2534" s="1474">
        <v>1.700079151779547</v>
      </c>
      <c r="O2534" s="1474"/>
    </row>
    <row r="2535" spans="11:15">
      <c r="K2535" s="1471">
        <v>44592</v>
      </c>
      <c r="L2535" s="1472" t="s">
        <v>2127</v>
      </c>
      <c r="M2535" s="1473">
        <v>3.4749000000000002E-2</v>
      </c>
      <c r="N2535" s="1474">
        <v>1.700669912283999</v>
      </c>
      <c r="O2535" s="1474"/>
    </row>
    <row r="2536" spans="11:15">
      <c r="K2536" s="1471">
        <v>44593</v>
      </c>
      <c r="L2536" s="1472" t="s">
        <v>2127</v>
      </c>
      <c r="M2536" s="1473">
        <v>3.4749000000000002E-2</v>
      </c>
      <c r="N2536" s="1474">
        <v>1.7012608780718186</v>
      </c>
      <c r="O2536" s="1474"/>
    </row>
    <row r="2537" spans="11:15">
      <c r="K2537" s="1471">
        <v>44594</v>
      </c>
      <c r="L2537" s="1472" t="s">
        <v>2127</v>
      </c>
      <c r="M2537" s="1473">
        <v>3.4749000000000002E-2</v>
      </c>
      <c r="N2537" s="1474">
        <v>1.7018520492143399</v>
      </c>
      <c r="O2537" s="1474"/>
    </row>
    <row r="2538" spans="11:15">
      <c r="K2538" s="1471">
        <v>44595</v>
      </c>
      <c r="L2538" s="1472" t="s">
        <v>2127</v>
      </c>
      <c r="M2538" s="1473">
        <v>4.0168000000000002E-2</v>
      </c>
      <c r="N2538" s="1474">
        <v>1.7025356491454682</v>
      </c>
      <c r="O2538" s="1474"/>
    </row>
    <row r="2539" spans="11:15">
      <c r="K2539" s="1471">
        <v>44596</v>
      </c>
      <c r="L2539" s="1472" t="s">
        <v>2127</v>
      </c>
      <c r="M2539" s="1473">
        <v>4.0168000000000002E-2</v>
      </c>
      <c r="N2539" s="1474">
        <v>1.7032195236650169</v>
      </c>
      <c r="O2539" s="1474"/>
    </row>
    <row r="2540" spans="11:15">
      <c r="K2540" s="1471">
        <v>44597</v>
      </c>
      <c r="L2540" s="1472"/>
      <c r="M2540" s="1473">
        <v>0</v>
      </c>
      <c r="N2540" s="1474">
        <v>1.7032195236650169</v>
      </c>
      <c r="O2540" s="1474"/>
    </row>
    <row r="2541" spans="11:15">
      <c r="K2541" s="1471">
        <v>44598</v>
      </c>
      <c r="L2541" s="1472"/>
      <c r="M2541" s="1473">
        <v>0</v>
      </c>
      <c r="N2541" s="1474">
        <v>1.7032195236650169</v>
      </c>
      <c r="O2541" s="1474"/>
    </row>
    <row r="2542" spans="11:15">
      <c r="K2542" s="1471">
        <v>44599</v>
      </c>
      <c r="L2542" s="1472" t="s">
        <v>2127</v>
      </c>
      <c r="M2542" s="1473">
        <v>4.0168000000000002E-2</v>
      </c>
      <c r="N2542" s="1474">
        <v>1.7039036728832826</v>
      </c>
      <c r="O2542" s="1474"/>
    </row>
    <row r="2543" spans="11:15">
      <c r="K2543" s="1471">
        <v>44600</v>
      </c>
      <c r="L2543" s="1472" t="s">
        <v>2127</v>
      </c>
      <c r="M2543" s="1473">
        <v>4.0168000000000002E-2</v>
      </c>
      <c r="N2543" s="1474">
        <v>1.7045880969106062</v>
      </c>
      <c r="O2543" s="1474"/>
    </row>
    <row r="2544" spans="11:15">
      <c r="K2544" s="1471">
        <v>44601</v>
      </c>
      <c r="L2544" s="1472" t="s">
        <v>2127</v>
      </c>
      <c r="M2544" s="1473">
        <v>4.0168000000000002E-2</v>
      </c>
      <c r="N2544" s="1474">
        <v>1.7052727958573732</v>
      </c>
      <c r="O2544" s="1474"/>
    </row>
    <row r="2545" spans="11:15">
      <c r="K2545" s="1471">
        <v>44602</v>
      </c>
      <c r="L2545" s="1472" t="s">
        <v>2127</v>
      </c>
      <c r="M2545" s="1473">
        <v>4.0168000000000002E-2</v>
      </c>
      <c r="N2545" s="1474">
        <v>1.7059577698340131</v>
      </c>
      <c r="O2545" s="1474"/>
    </row>
    <row r="2546" spans="11:15">
      <c r="K2546" s="1471">
        <v>44603</v>
      </c>
      <c r="L2546" s="1472" t="s">
        <v>2127</v>
      </c>
      <c r="M2546" s="1473">
        <v>4.0168000000000002E-2</v>
      </c>
      <c r="N2546" s="1474">
        <v>1.706643018951</v>
      </c>
      <c r="O2546" s="1474"/>
    </row>
    <row r="2547" spans="11:15">
      <c r="K2547" s="1471">
        <v>44604</v>
      </c>
      <c r="L2547" s="1472"/>
      <c r="M2547" s="1473">
        <v>0</v>
      </c>
      <c r="N2547" s="1474">
        <v>1.706643018951</v>
      </c>
      <c r="O2547" s="1474"/>
    </row>
    <row r="2548" spans="11:15">
      <c r="K2548" s="1471">
        <v>44605</v>
      </c>
      <c r="L2548" s="1472"/>
      <c r="M2548" s="1473">
        <v>0</v>
      </c>
      <c r="N2548" s="1474">
        <v>1.706643018951</v>
      </c>
      <c r="O2548" s="1474"/>
    </row>
    <row r="2549" spans="11:15">
      <c r="K2549" s="1471">
        <v>44606</v>
      </c>
      <c r="L2549" s="1472" t="s">
        <v>2127</v>
      </c>
      <c r="M2549" s="1473">
        <v>4.0168000000000002E-2</v>
      </c>
      <c r="N2549" s="1474">
        <v>1.7073285433188521</v>
      </c>
      <c r="O2549" s="1474"/>
    </row>
    <row r="2550" spans="11:15">
      <c r="K2550" s="1471">
        <v>44607</v>
      </c>
      <c r="L2550" s="1472" t="s">
        <v>2127</v>
      </c>
      <c r="M2550" s="1473">
        <v>4.0168000000000002E-2</v>
      </c>
      <c r="N2550" s="1474">
        <v>1.7080143430481323</v>
      </c>
      <c r="O2550" s="1474"/>
    </row>
    <row r="2551" spans="11:15">
      <c r="K2551" s="1471">
        <v>44608</v>
      </c>
      <c r="L2551" s="1472" t="s">
        <v>2127</v>
      </c>
      <c r="M2551" s="1473">
        <v>4.0168000000000002E-2</v>
      </c>
      <c r="N2551" s="1474">
        <v>1.7087004182494478</v>
      </c>
      <c r="O2551" s="1474"/>
    </row>
    <row r="2552" spans="11:15">
      <c r="K2552" s="1471">
        <v>44609</v>
      </c>
      <c r="L2552" s="1472" t="s">
        <v>2127</v>
      </c>
      <c r="M2552" s="1473">
        <v>4.0168000000000002E-2</v>
      </c>
      <c r="N2552" s="1474">
        <v>1.7093867690334503</v>
      </c>
      <c r="O2552" s="1474"/>
    </row>
    <row r="2553" spans="11:15">
      <c r="K2553" s="1471">
        <v>44610</v>
      </c>
      <c r="L2553" s="1472" t="s">
        <v>2127</v>
      </c>
      <c r="M2553" s="1473">
        <v>4.0168000000000002E-2</v>
      </c>
      <c r="N2553" s="1474">
        <v>1.7100733955108356</v>
      </c>
      <c r="O2553" s="1474"/>
    </row>
    <row r="2554" spans="11:15">
      <c r="K2554" s="1471">
        <v>44611</v>
      </c>
      <c r="L2554" s="1472"/>
      <c r="M2554" s="1473">
        <v>0</v>
      </c>
      <c r="N2554" s="1474">
        <v>1.7100733955108356</v>
      </c>
      <c r="O2554" s="1474"/>
    </row>
    <row r="2555" spans="11:15">
      <c r="K2555" s="1471">
        <v>44612</v>
      </c>
      <c r="L2555" s="1472"/>
      <c r="M2555" s="1473">
        <v>0</v>
      </c>
      <c r="N2555" s="1474">
        <v>1.7100733955108356</v>
      </c>
      <c r="O2555" s="1474"/>
    </row>
    <row r="2556" spans="11:15">
      <c r="K2556" s="1471">
        <v>44613</v>
      </c>
      <c r="L2556" s="1472" t="s">
        <v>2127</v>
      </c>
      <c r="M2556" s="1473">
        <v>4.0168000000000002E-2</v>
      </c>
      <c r="N2556" s="1474">
        <v>1.7107602977923444</v>
      </c>
      <c r="O2556" s="1474"/>
    </row>
    <row r="2557" spans="11:15">
      <c r="K2557" s="1471">
        <v>44614</v>
      </c>
      <c r="L2557" s="1472" t="s">
        <v>2127</v>
      </c>
      <c r="M2557" s="1473">
        <v>4.0168000000000002E-2</v>
      </c>
      <c r="N2557" s="1474">
        <v>1.7114474759887615</v>
      </c>
      <c r="O2557" s="1474"/>
    </row>
    <row r="2558" spans="11:15">
      <c r="K2558" s="1471">
        <v>44615</v>
      </c>
      <c r="L2558" s="1472" t="s">
        <v>2127</v>
      </c>
      <c r="M2558" s="1473">
        <v>4.0168000000000002E-2</v>
      </c>
      <c r="N2558" s="1474">
        <v>1.7121349302109166</v>
      </c>
      <c r="O2558" s="1474"/>
    </row>
    <row r="2559" spans="11:15">
      <c r="K2559" s="1471">
        <v>44616</v>
      </c>
      <c r="L2559" s="1472" t="s">
        <v>2127</v>
      </c>
      <c r="M2559" s="1473">
        <v>4.0168000000000002E-2</v>
      </c>
      <c r="N2559" s="1474">
        <v>1.7128226605696837</v>
      </c>
      <c r="O2559" s="1474"/>
    </row>
    <row r="2560" spans="11:15">
      <c r="K2560" s="1471">
        <v>44617</v>
      </c>
      <c r="L2560" s="1472" t="s">
        <v>2127</v>
      </c>
      <c r="M2560" s="1473">
        <v>4.0168000000000002E-2</v>
      </c>
      <c r="N2560" s="1474">
        <v>1.7135106671759812</v>
      </c>
      <c r="O2560" s="1474"/>
    </row>
    <row r="2561" spans="11:15">
      <c r="K2561" s="1471">
        <v>44618</v>
      </c>
      <c r="L2561" s="1472"/>
      <c r="M2561" s="1473">
        <v>0</v>
      </c>
      <c r="N2561" s="1474">
        <v>1.7135106671759812</v>
      </c>
      <c r="O2561" s="1474"/>
    </row>
    <row r="2562" spans="11:15">
      <c r="K2562" s="1471">
        <v>44619</v>
      </c>
      <c r="L2562" s="1472"/>
      <c r="M2562" s="1473">
        <v>0</v>
      </c>
      <c r="N2562" s="1474">
        <v>1.7135106671759812</v>
      </c>
      <c r="O2562" s="1474"/>
    </row>
    <row r="2563" spans="11:15">
      <c r="K2563" s="1471">
        <v>44620</v>
      </c>
      <c r="L2563" s="1472"/>
      <c r="M2563" s="1473">
        <v>0</v>
      </c>
      <c r="N2563" s="1474">
        <v>1.7135106671759812</v>
      </c>
      <c r="O2563" s="1474"/>
    </row>
    <row r="2564" spans="11:15">
      <c r="K2564" s="1471">
        <v>44621</v>
      </c>
      <c r="L2564" s="1472"/>
      <c r="M2564" s="1473">
        <v>0</v>
      </c>
      <c r="N2564" s="1474">
        <v>1.7135106671759812</v>
      </c>
      <c r="O2564" s="1474"/>
    </row>
    <row r="2565" spans="11:15">
      <c r="K2565" s="1471">
        <v>44622</v>
      </c>
      <c r="L2565" s="1472" t="s">
        <v>2127</v>
      </c>
      <c r="M2565" s="1473">
        <v>4.0168000000000002E-2</v>
      </c>
      <c r="N2565" s="1474">
        <v>1.7141989501407724</v>
      </c>
      <c r="O2565" s="1474"/>
    </row>
    <row r="2566" spans="11:15">
      <c r="K2566" s="1471">
        <v>44623</v>
      </c>
      <c r="L2566" s="1472" t="s">
        <v>2127</v>
      </c>
      <c r="M2566" s="1473">
        <v>4.0168000000000002E-2</v>
      </c>
      <c r="N2566" s="1474">
        <v>1.7148875095750649</v>
      </c>
      <c r="O2566" s="1474"/>
    </row>
    <row r="2567" spans="11:15">
      <c r="K2567" s="1471">
        <v>44624</v>
      </c>
      <c r="L2567" s="1472" t="s">
        <v>2127</v>
      </c>
      <c r="M2567" s="1473">
        <v>4.0168000000000002E-2</v>
      </c>
      <c r="N2567" s="1474">
        <v>1.7155763455899109</v>
      </c>
      <c r="O2567" s="1474"/>
    </row>
    <row r="2568" spans="11:15">
      <c r="K2568" s="1471">
        <v>44625</v>
      </c>
      <c r="L2568" s="1472"/>
      <c r="M2568" s="1473">
        <v>0</v>
      </c>
      <c r="N2568" s="1474">
        <v>1.7155763455899109</v>
      </c>
      <c r="O2568" s="1474"/>
    </row>
    <row r="2569" spans="11:15">
      <c r="K2569" s="1471">
        <v>44626</v>
      </c>
      <c r="L2569" s="1472"/>
      <c r="M2569" s="1473">
        <v>0</v>
      </c>
      <c r="N2569" s="1474">
        <v>1.7155763455899109</v>
      </c>
      <c r="O2569" s="1474"/>
    </row>
    <row r="2570" spans="11:15">
      <c r="K2570" s="1471">
        <v>44627</v>
      </c>
      <c r="L2570" s="1472" t="s">
        <v>2127</v>
      </c>
      <c r="M2570" s="1473">
        <v>4.0168000000000002E-2</v>
      </c>
      <c r="N2570" s="1474">
        <v>1.7162654582964074</v>
      </c>
      <c r="O2570" s="1474"/>
    </row>
    <row r="2571" spans="11:15">
      <c r="K2571" s="1471">
        <v>44628</v>
      </c>
      <c r="L2571" s="1472" t="s">
        <v>2127</v>
      </c>
      <c r="M2571" s="1473">
        <v>4.0168000000000002E-2</v>
      </c>
      <c r="N2571" s="1474">
        <v>1.716954847805696</v>
      </c>
      <c r="O2571" s="1474"/>
    </row>
    <row r="2572" spans="11:15">
      <c r="K2572" s="1471">
        <v>44629</v>
      </c>
      <c r="L2572" s="1472" t="s">
        <v>2127</v>
      </c>
      <c r="M2572" s="1473">
        <v>4.0168000000000002E-2</v>
      </c>
      <c r="N2572" s="1474">
        <v>1.7176445142289625</v>
      </c>
      <c r="O2572" s="1474"/>
    </row>
    <row r="2573" spans="11:15">
      <c r="K2573" s="1471">
        <v>44630</v>
      </c>
      <c r="L2573" s="1472" t="s">
        <v>2127</v>
      </c>
      <c r="M2573" s="1473">
        <v>4.0168000000000002E-2</v>
      </c>
      <c r="N2573" s="1474">
        <v>1.718334457677438</v>
      </c>
      <c r="O2573" s="1474"/>
    </row>
    <row r="2574" spans="11:15">
      <c r="K2574" s="1471">
        <v>44631</v>
      </c>
      <c r="L2574" s="1472" t="s">
        <v>2127</v>
      </c>
      <c r="M2574" s="1473">
        <v>4.0168000000000002E-2</v>
      </c>
      <c r="N2574" s="1474">
        <v>1.7190246782623977</v>
      </c>
      <c r="O2574" s="1474"/>
    </row>
    <row r="2575" spans="11:15">
      <c r="K2575" s="1471">
        <v>44632</v>
      </c>
      <c r="L2575" s="1472"/>
      <c r="M2575" s="1473">
        <v>0</v>
      </c>
      <c r="N2575" s="1474">
        <v>1.7190246782623977</v>
      </c>
      <c r="O2575" s="1474"/>
    </row>
    <row r="2576" spans="11:15">
      <c r="K2576" s="1471">
        <v>44633</v>
      </c>
      <c r="L2576" s="1472"/>
      <c r="M2576" s="1473">
        <v>0</v>
      </c>
      <c r="N2576" s="1474">
        <v>1.7190246782623977</v>
      </c>
      <c r="O2576" s="1474"/>
    </row>
    <row r="2577" spans="11:15">
      <c r="K2577" s="1471">
        <v>44634</v>
      </c>
      <c r="L2577" s="1472" t="s">
        <v>2127</v>
      </c>
      <c r="M2577" s="1473">
        <v>4.0168000000000002E-2</v>
      </c>
      <c r="N2577" s="1474">
        <v>1.7197151760951621</v>
      </c>
      <c r="O2577" s="1474"/>
    </row>
    <row r="2578" spans="11:15">
      <c r="K2578" s="1471">
        <v>44635</v>
      </c>
      <c r="L2578" s="1472" t="s">
        <v>2127</v>
      </c>
      <c r="M2578" s="1473">
        <v>4.0168000000000002E-2</v>
      </c>
      <c r="N2578" s="1474">
        <v>1.7204059512870959</v>
      </c>
      <c r="O2578" s="1474"/>
    </row>
    <row r="2579" spans="11:15">
      <c r="K2579" s="1471">
        <v>44636</v>
      </c>
      <c r="L2579" s="1472" t="s">
        <v>2127</v>
      </c>
      <c r="M2579" s="1473">
        <v>4.0168000000000002E-2</v>
      </c>
      <c r="N2579" s="1474">
        <v>1.721097003949609</v>
      </c>
      <c r="O2579" s="1474"/>
    </row>
    <row r="2580" spans="11:15">
      <c r="K2580" s="1471">
        <v>44637</v>
      </c>
      <c r="L2580" s="1472" t="s">
        <v>2127</v>
      </c>
      <c r="M2580" s="1473">
        <v>4.3739E-2</v>
      </c>
      <c r="N2580" s="1474">
        <v>1.7218497945681666</v>
      </c>
      <c r="O2580" s="1474"/>
    </row>
    <row r="2581" spans="11:15">
      <c r="K2581" s="1471">
        <v>44638</v>
      </c>
      <c r="L2581" s="1472" t="s">
        <v>2127</v>
      </c>
      <c r="M2581" s="1473">
        <v>4.3739E-2</v>
      </c>
      <c r="N2581" s="1474">
        <v>1.7226029144498129</v>
      </c>
      <c r="O2581" s="1474"/>
    </row>
    <row r="2582" spans="11:15">
      <c r="K2582" s="1471">
        <v>44639</v>
      </c>
      <c r="L2582" s="1472"/>
      <c r="M2582" s="1473">
        <v>0</v>
      </c>
      <c r="N2582" s="1474">
        <v>1.7226029144498129</v>
      </c>
      <c r="O2582" s="1474"/>
    </row>
    <row r="2583" spans="11:15">
      <c r="K2583" s="1471">
        <v>44640</v>
      </c>
      <c r="L2583" s="1472"/>
      <c r="M2583" s="1473">
        <v>0</v>
      </c>
      <c r="N2583" s="1474">
        <v>1.7226029144498129</v>
      </c>
      <c r="O2583" s="1474"/>
    </row>
    <row r="2584" spans="11:15">
      <c r="K2584" s="1471">
        <v>44641</v>
      </c>
      <c r="L2584" s="1472" t="s">
        <v>2127</v>
      </c>
      <c r="M2584" s="1473">
        <v>4.3739E-2</v>
      </c>
      <c r="N2584" s="1474">
        <v>1.7233563637385643</v>
      </c>
      <c r="O2584" s="1474"/>
    </row>
    <row r="2585" spans="11:15">
      <c r="K2585" s="1471">
        <v>44642</v>
      </c>
      <c r="L2585" s="1472" t="s">
        <v>2127</v>
      </c>
      <c r="M2585" s="1473">
        <v>4.3739E-2</v>
      </c>
      <c r="N2585" s="1474">
        <v>1.7241101425785001</v>
      </c>
      <c r="O2585" s="1474"/>
    </row>
    <row r="2586" spans="11:15">
      <c r="K2586" s="1471">
        <v>44643</v>
      </c>
      <c r="L2586" s="1472" t="s">
        <v>2127</v>
      </c>
      <c r="M2586" s="1473">
        <v>4.3739E-2</v>
      </c>
      <c r="N2586" s="1474">
        <v>1.7248642511137626</v>
      </c>
      <c r="O2586" s="1474"/>
    </row>
    <row r="2587" spans="11:15">
      <c r="K2587" s="1471">
        <v>44644</v>
      </c>
      <c r="L2587" s="1472" t="s">
        <v>2127</v>
      </c>
      <c r="M2587" s="1473">
        <v>4.3739E-2</v>
      </c>
      <c r="N2587" s="1474">
        <v>1.7256186894885575</v>
      </c>
      <c r="O2587" s="1474"/>
    </row>
    <row r="2588" spans="11:15">
      <c r="K2588" s="1471">
        <v>44645</v>
      </c>
      <c r="L2588" s="1472" t="s">
        <v>2127</v>
      </c>
      <c r="M2588" s="1473">
        <v>4.3739E-2</v>
      </c>
      <c r="N2588" s="1474">
        <v>1.726373457847153</v>
      </c>
      <c r="O2588" s="1474"/>
    </row>
    <row r="2589" spans="11:15">
      <c r="K2589" s="1471">
        <v>44646</v>
      </c>
      <c r="L2589" s="1472"/>
      <c r="M2589" s="1473">
        <v>0</v>
      </c>
      <c r="N2589" s="1474">
        <v>1.726373457847153</v>
      </c>
      <c r="O2589" s="1474"/>
    </row>
    <row r="2590" spans="11:15">
      <c r="K2590" s="1471">
        <v>44647</v>
      </c>
      <c r="L2590" s="1472"/>
      <c r="M2590" s="1473">
        <v>0</v>
      </c>
      <c r="N2590" s="1474">
        <v>1.726373457847153</v>
      </c>
      <c r="O2590" s="1474"/>
    </row>
    <row r="2591" spans="11:15">
      <c r="K2591" s="1471">
        <v>44648</v>
      </c>
      <c r="L2591" s="1472" t="s">
        <v>2127</v>
      </c>
      <c r="M2591" s="1473">
        <v>4.3739E-2</v>
      </c>
      <c r="N2591" s="1474">
        <v>1.727128556333881</v>
      </c>
      <c r="O2591" s="1474"/>
    </row>
    <row r="2592" spans="11:15">
      <c r="K2592" s="1471">
        <v>44649</v>
      </c>
      <c r="L2592" s="1472" t="s">
        <v>2127</v>
      </c>
      <c r="M2592" s="1473">
        <v>4.3739E-2</v>
      </c>
      <c r="N2592" s="1474">
        <v>1.727883985093136</v>
      </c>
      <c r="O2592" s="1474"/>
    </row>
    <row r="2593" spans="11:15">
      <c r="K2593" s="1471">
        <v>44650</v>
      </c>
      <c r="L2593" s="1472" t="s">
        <v>2127</v>
      </c>
      <c r="M2593" s="1473">
        <v>4.3739E-2</v>
      </c>
      <c r="N2593" s="1474">
        <v>1.7286397442693762</v>
      </c>
      <c r="O2593" s="1474"/>
    </row>
    <row r="2594" spans="11:15">
      <c r="K2594" s="1471">
        <v>44651</v>
      </c>
      <c r="L2594" s="1472" t="s">
        <v>2127</v>
      </c>
      <c r="M2594" s="1473">
        <v>4.3739E-2</v>
      </c>
      <c r="N2594" s="1474">
        <v>1.7293958340071223</v>
      </c>
      <c r="O2594" s="1474"/>
    </row>
    <row r="2595" spans="11:15">
      <c r="K2595" s="1471">
        <v>44652</v>
      </c>
      <c r="L2595" s="1472" t="s">
        <v>2127</v>
      </c>
      <c r="M2595" s="1473">
        <v>4.3739E-2</v>
      </c>
      <c r="N2595" s="1474">
        <v>1.7301522544509589</v>
      </c>
      <c r="O2595" s="1474"/>
    </row>
    <row r="2596" spans="11:15">
      <c r="K2596" s="1471">
        <v>44653</v>
      </c>
      <c r="L2596" s="1472"/>
      <c r="M2596" s="1473">
        <v>0</v>
      </c>
      <c r="N2596" s="1474">
        <v>1.7301522544509589</v>
      </c>
      <c r="O2596" s="1474"/>
    </row>
    <row r="2597" spans="11:15">
      <c r="K2597" s="1471">
        <v>44654</v>
      </c>
      <c r="L2597" s="1472"/>
      <c r="M2597" s="1473">
        <v>0</v>
      </c>
      <c r="N2597" s="1474">
        <v>1.7301522544509589</v>
      </c>
      <c r="O2597" s="1474"/>
    </row>
    <row r="2598" spans="11:15">
      <c r="K2598" s="1471">
        <v>44655</v>
      </c>
      <c r="L2598" s="1472" t="s">
        <v>2127</v>
      </c>
      <c r="M2598" s="1473">
        <v>4.3739E-2</v>
      </c>
      <c r="N2598" s="1474">
        <v>1.7309090057455334</v>
      </c>
      <c r="O2598" s="1474"/>
    </row>
    <row r="2599" spans="11:15">
      <c r="K2599" s="1471">
        <v>44656</v>
      </c>
      <c r="L2599" s="1472" t="s">
        <v>2127</v>
      </c>
      <c r="M2599" s="1473">
        <v>4.3739E-2</v>
      </c>
      <c r="N2599" s="1474">
        <v>1.7316660880355565</v>
      </c>
      <c r="O2599" s="1474"/>
    </row>
    <row r="2600" spans="11:15">
      <c r="K2600" s="1471">
        <v>44657</v>
      </c>
      <c r="L2600" s="1472" t="s">
        <v>2127</v>
      </c>
      <c r="M2600" s="1473">
        <v>4.3739E-2</v>
      </c>
      <c r="N2600" s="1474">
        <v>1.7324235014658025</v>
      </c>
      <c r="O2600" s="1474"/>
    </row>
    <row r="2601" spans="11:15">
      <c r="K2601" s="1471">
        <v>44658</v>
      </c>
      <c r="L2601" s="1472" t="s">
        <v>2127</v>
      </c>
      <c r="M2601" s="1473">
        <v>4.3739E-2</v>
      </c>
      <c r="N2601" s="1474">
        <v>1.7331812461811087</v>
      </c>
      <c r="O2601" s="1474"/>
    </row>
    <row r="2602" spans="11:15">
      <c r="K2602" s="1471">
        <v>44659</v>
      </c>
      <c r="L2602" s="1472" t="s">
        <v>2127</v>
      </c>
      <c r="M2602" s="1473">
        <v>4.3739E-2</v>
      </c>
      <c r="N2602" s="1474">
        <v>1.7339393223263759</v>
      </c>
      <c r="O2602" s="1474"/>
    </row>
    <row r="2603" spans="11:15">
      <c r="K2603" s="1471">
        <v>44660</v>
      </c>
      <c r="L2603" s="1472"/>
      <c r="M2603" s="1473">
        <v>0</v>
      </c>
      <c r="N2603" s="1474">
        <v>1.7339393223263759</v>
      </c>
      <c r="O2603" s="1474"/>
    </row>
    <row r="2604" spans="11:15">
      <c r="K2604" s="1471">
        <v>44661</v>
      </c>
      <c r="L2604" s="1472"/>
      <c r="M2604" s="1473">
        <v>0</v>
      </c>
      <c r="N2604" s="1474">
        <v>1.7339393223263759</v>
      </c>
      <c r="O2604" s="1474"/>
    </row>
    <row r="2605" spans="11:15">
      <c r="K2605" s="1471">
        <v>44662</v>
      </c>
      <c r="L2605" s="1472" t="s">
        <v>2127</v>
      </c>
      <c r="M2605" s="1473">
        <v>4.3739E-2</v>
      </c>
      <c r="N2605" s="1474">
        <v>1.7346977300465685</v>
      </c>
      <c r="O2605" s="1474"/>
    </row>
    <row r="2606" spans="11:15">
      <c r="K2606" s="1471">
        <v>44663</v>
      </c>
      <c r="L2606" s="1472" t="s">
        <v>2127</v>
      </c>
      <c r="M2606" s="1473">
        <v>4.3739E-2</v>
      </c>
      <c r="N2606" s="1474">
        <v>1.7354564694867136</v>
      </c>
      <c r="O2606" s="1474"/>
    </row>
    <row r="2607" spans="11:15">
      <c r="K2607" s="1471">
        <v>44664</v>
      </c>
      <c r="L2607" s="1472" t="s">
        <v>2127</v>
      </c>
      <c r="M2607" s="1473">
        <v>4.3739E-2</v>
      </c>
      <c r="N2607" s="1474">
        <v>1.7362155407919027</v>
      </c>
      <c r="O2607" s="1474"/>
    </row>
    <row r="2608" spans="11:15">
      <c r="K2608" s="1471">
        <v>44665</v>
      </c>
      <c r="L2608" s="1472" t="s">
        <v>2127</v>
      </c>
      <c r="M2608" s="1473">
        <v>4.3739E-2</v>
      </c>
      <c r="N2608" s="1474">
        <v>1.7369749441072897</v>
      </c>
      <c r="O2608" s="1474"/>
    </row>
    <row r="2609" spans="11:15">
      <c r="K2609" s="1471">
        <v>44666</v>
      </c>
      <c r="L2609" s="1472"/>
      <c r="M2609" s="1473">
        <v>0</v>
      </c>
      <c r="N2609" s="1474">
        <v>1.7369749441072897</v>
      </c>
      <c r="O2609" s="1474"/>
    </row>
    <row r="2610" spans="11:15">
      <c r="K2610" s="1471">
        <v>44667</v>
      </c>
      <c r="L2610" s="1472"/>
      <c r="M2610" s="1473">
        <v>0</v>
      </c>
      <c r="N2610" s="1474">
        <v>1.7369749441072897</v>
      </c>
      <c r="O2610" s="1474"/>
    </row>
    <row r="2611" spans="11:15">
      <c r="K2611" s="1471">
        <v>44668</v>
      </c>
      <c r="L2611" s="1472"/>
      <c r="M2611" s="1473">
        <v>0</v>
      </c>
      <c r="N2611" s="1474">
        <v>1.7369749441072897</v>
      </c>
      <c r="O2611" s="1474"/>
    </row>
    <row r="2612" spans="11:15">
      <c r="K2612" s="1471">
        <v>44669</v>
      </c>
      <c r="L2612" s="1472" t="s">
        <v>2127</v>
      </c>
      <c r="M2612" s="1473">
        <v>4.3739E-2</v>
      </c>
      <c r="N2612" s="1474">
        <v>1.737734679578093</v>
      </c>
      <c r="O2612" s="1474"/>
    </row>
    <row r="2613" spans="11:15">
      <c r="K2613" s="1471">
        <v>44670</v>
      </c>
      <c r="L2613" s="1472" t="s">
        <v>2127</v>
      </c>
      <c r="M2613" s="1473">
        <v>4.3739E-2</v>
      </c>
      <c r="N2613" s="1474">
        <v>1.7384947473495937</v>
      </c>
      <c r="O2613" s="1474"/>
    </row>
    <row r="2614" spans="11:15">
      <c r="K2614" s="1471">
        <v>44671</v>
      </c>
      <c r="L2614" s="1472" t="s">
        <v>2127</v>
      </c>
      <c r="M2614" s="1473">
        <v>4.3739E-2</v>
      </c>
      <c r="N2614" s="1474">
        <v>1.7392551475671372</v>
      </c>
      <c r="O2614" s="1474"/>
    </row>
    <row r="2615" spans="11:15">
      <c r="K2615" s="1471">
        <v>44672</v>
      </c>
      <c r="L2615" s="1472"/>
      <c r="M2615" s="1473">
        <v>0</v>
      </c>
      <c r="N2615" s="1474">
        <v>1.7392551475671372</v>
      </c>
      <c r="O2615" s="1474"/>
    </row>
    <row r="2616" spans="11:15">
      <c r="K2616" s="1471">
        <v>44673</v>
      </c>
      <c r="L2616" s="1472" t="s">
        <v>2127</v>
      </c>
      <c r="M2616" s="1473">
        <v>4.3739E-2</v>
      </c>
      <c r="N2616" s="1474">
        <v>1.7400158803761316</v>
      </c>
      <c r="O2616" s="1474"/>
    </row>
    <row r="2617" spans="11:15">
      <c r="K2617" s="1471">
        <v>44674</v>
      </c>
      <c r="L2617" s="1472"/>
      <c r="M2617" s="1473">
        <v>0</v>
      </c>
      <c r="N2617" s="1474">
        <v>1.7400158803761316</v>
      </c>
      <c r="O2617" s="1474"/>
    </row>
    <row r="2618" spans="11:15">
      <c r="K2618" s="1471">
        <v>44675</v>
      </c>
      <c r="L2618" s="1472"/>
      <c r="M2618" s="1473">
        <v>0</v>
      </c>
      <c r="N2618" s="1474">
        <v>1.7400158803761316</v>
      </c>
      <c r="O2618" s="1474"/>
    </row>
    <row r="2619" spans="11:15">
      <c r="K2619" s="1471">
        <v>44676</v>
      </c>
      <c r="L2619" s="1472" t="s">
        <v>2127</v>
      </c>
      <c r="M2619" s="1473">
        <v>4.3739E-2</v>
      </c>
      <c r="N2619" s="1474">
        <v>1.7407769459220495</v>
      </c>
      <c r="O2619" s="1474"/>
    </row>
    <row r="2620" spans="11:15">
      <c r="K2620" s="1471">
        <v>44677</v>
      </c>
      <c r="L2620" s="1472" t="s">
        <v>2127</v>
      </c>
      <c r="M2620" s="1473">
        <v>4.3739E-2</v>
      </c>
      <c r="N2620" s="1474">
        <v>1.7415383443504264</v>
      </c>
      <c r="O2620" s="1474"/>
    </row>
    <row r="2621" spans="11:15">
      <c r="K2621" s="1471">
        <v>44678</v>
      </c>
      <c r="L2621" s="1472" t="s">
        <v>2127</v>
      </c>
      <c r="M2621" s="1473">
        <v>4.3739E-2</v>
      </c>
      <c r="N2621" s="1474">
        <v>1.7423000758068621</v>
      </c>
      <c r="O2621" s="1474"/>
    </row>
    <row r="2622" spans="11:15">
      <c r="K2622" s="1471">
        <v>44679</v>
      </c>
      <c r="L2622" s="1472" t="s">
        <v>2127</v>
      </c>
      <c r="M2622" s="1473">
        <v>4.3739E-2</v>
      </c>
      <c r="N2622" s="1474">
        <v>1.7430621404370195</v>
      </c>
      <c r="O2622" s="1474"/>
    </row>
    <row r="2623" spans="11:15">
      <c r="K2623" s="1471">
        <v>44680</v>
      </c>
      <c r="L2623" s="1472" t="s">
        <v>2127</v>
      </c>
      <c r="M2623" s="1473">
        <v>4.3739E-2</v>
      </c>
      <c r="N2623" s="1474">
        <v>1.7438245383866253</v>
      </c>
      <c r="O2623" s="1474"/>
    </row>
    <row r="2624" spans="11:15">
      <c r="K2624" s="1471">
        <v>44681</v>
      </c>
      <c r="L2624" s="1472"/>
      <c r="M2624" s="1473">
        <v>0</v>
      </c>
      <c r="N2624" s="1474">
        <v>1.7438245383866253</v>
      </c>
      <c r="O2624" s="1474"/>
    </row>
    <row r="2625" spans="11:15">
      <c r="K2625" s="1471">
        <v>44682</v>
      </c>
      <c r="L2625" s="1472"/>
      <c r="M2625" s="1473">
        <v>0</v>
      </c>
      <c r="N2625" s="1474">
        <v>1.7438245383866253</v>
      </c>
      <c r="O2625" s="1474"/>
    </row>
    <row r="2626" spans="11:15">
      <c r="K2626" s="1471">
        <v>44683</v>
      </c>
      <c r="L2626" s="1472" t="s">
        <v>2127</v>
      </c>
      <c r="M2626" s="1473">
        <v>4.3739E-2</v>
      </c>
      <c r="N2626" s="1474">
        <v>1.7445872698014704</v>
      </c>
      <c r="O2626" s="1474"/>
    </row>
    <row r="2627" spans="11:15">
      <c r="K2627" s="1471">
        <v>44684</v>
      </c>
      <c r="L2627" s="1472" t="s">
        <v>2127</v>
      </c>
      <c r="M2627" s="1473">
        <v>4.3739E-2</v>
      </c>
      <c r="N2627" s="1474">
        <v>1.7453503348274091</v>
      </c>
      <c r="O2627" s="1474"/>
    </row>
    <row r="2628" spans="11:15">
      <c r="K2628" s="1471">
        <v>44685</v>
      </c>
      <c r="L2628" s="1472" t="s">
        <v>2127</v>
      </c>
      <c r="M2628" s="1473">
        <v>4.3739E-2</v>
      </c>
      <c r="N2628" s="1474">
        <v>1.7461137336103594</v>
      </c>
      <c r="O2628" s="1474"/>
    </row>
    <row r="2629" spans="11:15">
      <c r="K2629" s="1471">
        <v>44686</v>
      </c>
      <c r="L2629" s="1472" t="s">
        <v>2127</v>
      </c>
      <c r="M2629" s="1473">
        <v>4.7279000000000002E-2</v>
      </c>
      <c r="N2629" s="1474">
        <v>1.7469392787224729</v>
      </c>
      <c r="O2629" s="1474"/>
    </row>
    <row r="2630" spans="11:15">
      <c r="K2630" s="1471">
        <v>44687</v>
      </c>
      <c r="L2630" s="1472" t="s">
        <v>2127</v>
      </c>
      <c r="M2630" s="1473">
        <v>4.7279000000000002E-2</v>
      </c>
      <c r="N2630" s="1474">
        <v>1.7477652141440598</v>
      </c>
      <c r="O2630" s="1474"/>
    </row>
    <row r="2631" spans="11:15">
      <c r="K2631" s="1471">
        <v>44688</v>
      </c>
      <c r="L2631" s="1472"/>
      <c r="M2631" s="1473">
        <v>0</v>
      </c>
      <c r="N2631" s="1474">
        <v>1.7477652141440598</v>
      </c>
      <c r="O2631" s="1474"/>
    </row>
    <row r="2632" spans="11:15">
      <c r="K2632" s="1471">
        <v>44689</v>
      </c>
      <c r="L2632" s="1472"/>
      <c r="M2632" s="1473">
        <v>0</v>
      </c>
      <c r="N2632" s="1474">
        <v>1.7477652141440598</v>
      </c>
      <c r="O2632" s="1474"/>
    </row>
    <row r="2633" spans="11:15">
      <c r="K2633" s="1471">
        <v>44690</v>
      </c>
      <c r="L2633" s="1472" t="s">
        <v>2127</v>
      </c>
      <c r="M2633" s="1473">
        <v>4.7279000000000002E-2</v>
      </c>
      <c r="N2633" s="1474">
        <v>1.7485915400596548</v>
      </c>
      <c r="O2633" s="1474"/>
    </row>
    <row r="2634" spans="11:15">
      <c r="K2634" s="1471">
        <v>44691</v>
      </c>
      <c r="L2634" s="1472" t="s">
        <v>2127</v>
      </c>
      <c r="M2634" s="1473">
        <v>4.7279000000000002E-2</v>
      </c>
      <c r="N2634" s="1474">
        <v>1.7494182566538794</v>
      </c>
      <c r="O2634" s="1474"/>
    </row>
    <row r="2635" spans="11:15">
      <c r="K2635" s="1471">
        <v>44692</v>
      </c>
      <c r="L2635" s="1472" t="s">
        <v>2127</v>
      </c>
      <c r="M2635" s="1473">
        <v>4.7279000000000002E-2</v>
      </c>
      <c r="N2635" s="1474">
        <v>1.7502453641114426</v>
      </c>
      <c r="O2635" s="1474"/>
    </row>
    <row r="2636" spans="11:15">
      <c r="K2636" s="1471">
        <v>44693</v>
      </c>
      <c r="L2636" s="1472" t="s">
        <v>2127</v>
      </c>
      <c r="M2636" s="1473">
        <v>4.7279000000000002E-2</v>
      </c>
      <c r="N2636" s="1474">
        <v>1.7510728626171406</v>
      </c>
      <c r="O2636" s="1474"/>
    </row>
    <row r="2637" spans="11:15">
      <c r="K2637" s="1471">
        <v>44694</v>
      </c>
      <c r="L2637" s="1472" t="s">
        <v>2127</v>
      </c>
      <c r="M2637" s="1473">
        <v>4.7279000000000002E-2</v>
      </c>
      <c r="N2637" s="1474">
        <v>1.7519007523558572</v>
      </c>
      <c r="O2637" s="1474"/>
    </row>
    <row r="2638" spans="11:15">
      <c r="K2638" s="1471">
        <v>44695</v>
      </c>
      <c r="L2638" s="1472"/>
      <c r="M2638" s="1473">
        <v>0</v>
      </c>
      <c r="N2638" s="1474">
        <v>1.7519007523558572</v>
      </c>
      <c r="O2638" s="1474"/>
    </row>
    <row r="2639" spans="11:15">
      <c r="K2639" s="1471">
        <v>44696</v>
      </c>
      <c r="L2639" s="1472"/>
      <c r="M2639" s="1473">
        <v>0</v>
      </c>
      <c r="N2639" s="1474">
        <v>1.7519007523558572</v>
      </c>
      <c r="O2639" s="1474"/>
    </row>
    <row r="2640" spans="11:15">
      <c r="K2640" s="1471">
        <v>44697</v>
      </c>
      <c r="L2640" s="1472" t="s">
        <v>2127</v>
      </c>
      <c r="M2640" s="1473">
        <v>4.7279000000000002E-2</v>
      </c>
      <c r="N2640" s="1474">
        <v>1.7527290335125634</v>
      </c>
      <c r="O2640" s="1474"/>
    </row>
    <row r="2641" spans="11:15">
      <c r="K2641" s="1471">
        <v>44698</v>
      </c>
      <c r="L2641" s="1472" t="s">
        <v>2127</v>
      </c>
      <c r="M2641" s="1473">
        <v>4.7279000000000002E-2</v>
      </c>
      <c r="N2641" s="1474">
        <v>1.7535577062723176</v>
      </c>
      <c r="O2641" s="1474"/>
    </row>
    <row r="2642" spans="11:15">
      <c r="K2642" s="1471">
        <v>44699</v>
      </c>
      <c r="L2642" s="1472" t="s">
        <v>2127</v>
      </c>
      <c r="M2642" s="1473">
        <v>4.7279000000000002E-2</v>
      </c>
      <c r="N2642" s="1474">
        <v>1.7543867708202658</v>
      </c>
      <c r="O2642" s="1474"/>
    </row>
    <row r="2643" spans="11:15">
      <c r="K2643" s="1471">
        <v>44700</v>
      </c>
      <c r="L2643" s="1472" t="s">
        <v>2127</v>
      </c>
      <c r="M2643" s="1473">
        <v>4.7279000000000002E-2</v>
      </c>
      <c r="N2643" s="1474">
        <v>1.7552162273416418</v>
      </c>
      <c r="O2643" s="1474"/>
    </row>
    <row r="2644" spans="11:15">
      <c r="K2644" s="1471">
        <v>44701</v>
      </c>
      <c r="L2644" s="1472" t="s">
        <v>2127</v>
      </c>
      <c r="M2644" s="1473">
        <v>4.7279000000000002E-2</v>
      </c>
      <c r="N2644" s="1474">
        <v>1.7560460760217664</v>
      </c>
      <c r="O2644" s="1474"/>
    </row>
    <row r="2645" spans="11:15">
      <c r="K2645" s="1471">
        <v>44702</v>
      </c>
      <c r="L2645" s="1472"/>
      <c r="M2645" s="1473">
        <v>0</v>
      </c>
      <c r="N2645" s="1474">
        <v>1.7560460760217664</v>
      </c>
      <c r="O2645" s="1474"/>
    </row>
    <row r="2646" spans="11:15">
      <c r="K2646" s="1471">
        <v>44703</v>
      </c>
      <c r="L2646" s="1472"/>
      <c r="M2646" s="1473">
        <v>0</v>
      </c>
      <c r="N2646" s="1474">
        <v>1.7560460760217664</v>
      </c>
      <c r="O2646" s="1474"/>
    </row>
    <row r="2647" spans="11:15">
      <c r="K2647" s="1471">
        <v>44704</v>
      </c>
      <c r="L2647" s="1472" t="s">
        <v>2127</v>
      </c>
      <c r="M2647" s="1473">
        <v>4.7279000000000002E-2</v>
      </c>
      <c r="N2647" s="1474">
        <v>1.7568763170460486</v>
      </c>
      <c r="O2647" s="1474"/>
    </row>
    <row r="2648" spans="11:15">
      <c r="K2648" s="1471">
        <v>44705</v>
      </c>
      <c r="L2648" s="1472" t="s">
        <v>2127</v>
      </c>
      <c r="M2648" s="1473">
        <v>4.7279000000000002E-2</v>
      </c>
      <c r="N2648" s="1474">
        <v>1.7577069505999847</v>
      </c>
      <c r="O2648" s="1474"/>
    </row>
    <row r="2649" spans="11:15">
      <c r="K2649" s="1471">
        <v>44706</v>
      </c>
      <c r="L2649" s="1472" t="s">
        <v>2127</v>
      </c>
      <c r="M2649" s="1473">
        <v>4.7279000000000002E-2</v>
      </c>
      <c r="N2649" s="1474">
        <v>1.7585379768691587</v>
      </c>
      <c r="O2649" s="1474"/>
    </row>
    <row r="2650" spans="11:15">
      <c r="K2650" s="1471">
        <v>44707</v>
      </c>
      <c r="L2650" s="1472" t="s">
        <v>2127</v>
      </c>
      <c r="M2650" s="1473">
        <v>4.7279000000000002E-2</v>
      </c>
      <c r="N2650" s="1474">
        <v>1.7593693960392425</v>
      </c>
      <c r="O2650" s="1474"/>
    </row>
    <row r="2651" spans="11:15">
      <c r="K2651" s="1471">
        <v>44708</v>
      </c>
      <c r="L2651" s="1472" t="s">
        <v>2127</v>
      </c>
      <c r="M2651" s="1473">
        <v>4.7279000000000002E-2</v>
      </c>
      <c r="N2651" s="1474">
        <v>1.7602012082959957</v>
      </c>
      <c r="O2651" s="1474"/>
    </row>
    <row r="2652" spans="11:15">
      <c r="K2652" s="1471">
        <v>44709</v>
      </c>
      <c r="L2652" s="1472"/>
      <c r="M2652" s="1473">
        <v>0</v>
      </c>
      <c r="N2652" s="1474">
        <v>1.7602012082959957</v>
      </c>
      <c r="O2652" s="1474"/>
    </row>
    <row r="2653" spans="11:15">
      <c r="K2653" s="1471">
        <v>44710</v>
      </c>
      <c r="L2653" s="1472"/>
      <c r="M2653" s="1473">
        <v>0</v>
      </c>
      <c r="N2653" s="1474">
        <v>1.7602012082959957</v>
      </c>
      <c r="O2653" s="1474"/>
    </row>
    <row r="2654" spans="11:15">
      <c r="K2654" s="1471">
        <v>44711</v>
      </c>
      <c r="L2654" s="1472" t="s">
        <v>2127</v>
      </c>
      <c r="M2654" s="1473">
        <v>4.7279000000000002E-2</v>
      </c>
      <c r="N2654" s="1474">
        <v>1.7610334138252657</v>
      </c>
      <c r="O2654" s="1474"/>
    </row>
    <row r="2655" spans="11:15">
      <c r="K2655" s="1471">
        <v>44712</v>
      </c>
      <c r="L2655" s="1472" t="s">
        <v>2127</v>
      </c>
      <c r="M2655" s="1473">
        <v>4.7279000000000002E-2</v>
      </c>
      <c r="N2655" s="1474">
        <v>1.7618660128129879</v>
      </c>
      <c r="O2655" s="1474"/>
    </row>
    <row r="2656" spans="11:15">
      <c r="K2656" s="1471">
        <v>44713</v>
      </c>
      <c r="L2656" s="1472" t="s">
        <v>2127</v>
      </c>
      <c r="M2656" s="1473">
        <v>4.7279000000000002E-2</v>
      </c>
      <c r="N2656" s="1474">
        <v>1.7626990054451857</v>
      </c>
      <c r="O2656" s="1474"/>
    </row>
    <row r="2657" spans="11:15">
      <c r="K2657" s="1471">
        <v>44714</v>
      </c>
      <c r="L2657" s="1472" t="s">
        <v>2127</v>
      </c>
      <c r="M2657" s="1473">
        <v>4.7279000000000002E-2</v>
      </c>
      <c r="N2657" s="1474">
        <v>1.76353239190797</v>
      </c>
      <c r="O2657" s="1474"/>
    </row>
    <row r="2658" spans="11:15">
      <c r="K2658" s="1471">
        <v>44715</v>
      </c>
      <c r="L2658" s="1472" t="s">
        <v>2127</v>
      </c>
      <c r="M2658" s="1473">
        <v>4.7279000000000002E-2</v>
      </c>
      <c r="N2658" s="1474">
        <v>1.7643661723875399</v>
      </c>
      <c r="O2658" s="1474"/>
    </row>
    <row r="2659" spans="11:15">
      <c r="K2659" s="1471">
        <v>44716</v>
      </c>
      <c r="L2659" s="1472"/>
      <c r="M2659" s="1473">
        <v>0</v>
      </c>
      <c r="N2659" s="1474">
        <v>1.7643661723875399</v>
      </c>
      <c r="O2659" s="1474"/>
    </row>
    <row r="2660" spans="11:15">
      <c r="K2660" s="1471">
        <v>44717</v>
      </c>
      <c r="L2660" s="1472"/>
      <c r="M2660" s="1473">
        <v>0</v>
      </c>
      <c r="N2660" s="1474">
        <v>1.7643661723875399</v>
      </c>
      <c r="O2660" s="1474"/>
    </row>
    <row r="2661" spans="11:15">
      <c r="K2661" s="1471">
        <v>44718</v>
      </c>
      <c r="L2661" s="1472" t="s">
        <v>2127</v>
      </c>
      <c r="M2661" s="1473">
        <v>4.7279000000000002E-2</v>
      </c>
      <c r="N2661" s="1474">
        <v>1.7652003470701829</v>
      </c>
      <c r="O2661" s="1474"/>
    </row>
    <row r="2662" spans="11:15">
      <c r="K2662" s="1471">
        <v>44719</v>
      </c>
      <c r="L2662" s="1472" t="s">
        <v>2127</v>
      </c>
      <c r="M2662" s="1473">
        <v>4.7279000000000002E-2</v>
      </c>
      <c r="N2662" s="1474">
        <v>1.7660349161422739</v>
      </c>
      <c r="O2662" s="1474"/>
    </row>
    <row r="2663" spans="11:15">
      <c r="K2663" s="1471">
        <v>44720</v>
      </c>
      <c r="L2663" s="1472" t="s">
        <v>2127</v>
      </c>
      <c r="M2663" s="1473">
        <v>4.7279000000000002E-2</v>
      </c>
      <c r="N2663" s="1474">
        <v>1.7668698797902767</v>
      </c>
      <c r="O2663" s="1474"/>
    </row>
    <row r="2664" spans="11:15">
      <c r="K2664" s="1471">
        <v>44721</v>
      </c>
      <c r="L2664" s="1472" t="s">
        <v>2127</v>
      </c>
      <c r="M2664" s="1473">
        <v>4.7279000000000002E-2</v>
      </c>
      <c r="N2664" s="1474">
        <v>1.7677052382007425</v>
      </c>
      <c r="O2664" s="1474"/>
    </row>
    <row r="2665" spans="11:15">
      <c r="K2665" s="1471">
        <v>44722</v>
      </c>
      <c r="L2665" s="1472" t="s">
        <v>2127</v>
      </c>
      <c r="M2665" s="1473">
        <v>4.7279000000000002E-2</v>
      </c>
      <c r="N2665" s="1474">
        <v>1.7685409915603112</v>
      </c>
      <c r="O2665" s="1474"/>
    </row>
    <row r="2666" spans="11:15">
      <c r="K2666" s="1471">
        <v>44723</v>
      </c>
      <c r="L2666" s="1472"/>
      <c r="M2666" s="1473">
        <v>0</v>
      </c>
      <c r="N2666" s="1474">
        <v>1.7685409915603112</v>
      </c>
      <c r="O2666" s="1474"/>
    </row>
    <row r="2667" spans="11:15">
      <c r="K2667" s="1471">
        <v>44724</v>
      </c>
      <c r="L2667" s="1472"/>
      <c r="M2667" s="1473">
        <v>0</v>
      </c>
      <c r="N2667" s="1474">
        <v>1.7685409915603112</v>
      </c>
      <c r="O2667" s="1474"/>
    </row>
    <row r="2668" spans="11:15">
      <c r="K2668" s="1471">
        <v>44725</v>
      </c>
      <c r="L2668" s="1472" t="s">
        <v>2127</v>
      </c>
      <c r="M2668" s="1473">
        <v>4.7279000000000002E-2</v>
      </c>
      <c r="N2668" s="1474">
        <v>1.7693771400557108</v>
      </c>
      <c r="O2668" s="1474"/>
    </row>
    <row r="2669" spans="11:15">
      <c r="K2669" s="1471">
        <v>44726</v>
      </c>
      <c r="L2669" s="1472" t="s">
        <v>2127</v>
      </c>
      <c r="M2669" s="1473">
        <v>4.7279000000000002E-2</v>
      </c>
      <c r="N2669" s="1474">
        <v>1.7702136838737574</v>
      </c>
      <c r="O2669" s="1474"/>
    </row>
    <row r="2670" spans="11:15">
      <c r="K2670" s="1471">
        <v>44727</v>
      </c>
      <c r="L2670" s="1472" t="s">
        <v>2127</v>
      </c>
      <c r="M2670" s="1473">
        <v>4.7279000000000002E-2</v>
      </c>
      <c r="N2670" s="1474">
        <v>1.7710506232013559</v>
      </c>
      <c r="O2670" s="1474"/>
    </row>
    <row r="2671" spans="11:15">
      <c r="K2671" s="1471">
        <v>44728</v>
      </c>
      <c r="L2671" s="1472"/>
      <c r="M2671" s="1473">
        <v>0</v>
      </c>
      <c r="N2671" s="1474">
        <v>1.7710506232013559</v>
      </c>
      <c r="O2671" s="1474"/>
    </row>
    <row r="2672" spans="11:15">
      <c r="K2672" s="1471">
        <v>44729</v>
      </c>
      <c r="L2672" s="1472" t="s">
        <v>2127</v>
      </c>
      <c r="M2672" s="1473">
        <v>4.9036999999999997E-2</v>
      </c>
      <c r="N2672" s="1474">
        <v>1.7719190932954552</v>
      </c>
      <c r="O2672" s="1474"/>
    </row>
    <row r="2673" spans="11:15">
      <c r="K2673" s="1471">
        <v>44730</v>
      </c>
      <c r="L2673" s="1472"/>
      <c r="M2673" s="1473">
        <v>0</v>
      </c>
      <c r="N2673" s="1474">
        <v>1.7719190932954552</v>
      </c>
      <c r="O2673" s="1474"/>
    </row>
    <row r="2674" spans="11:15">
      <c r="K2674" s="1471">
        <v>44731</v>
      </c>
      <c r="L2674" s="1472"/>
      <c r="M2674" s="1473">
        <v>0</v>
      </c>
      <c r="N2674" s="1474">
        <v>1.7719190932954552</v>
      </c>
      <c r="O2674" s="1474"/>
    </row>
    <row r="2675" spans="11:15">
      <c r="K2675" s="1471">
        <v>44732</v>
      </c>
      <c r="L2675" s="1472" t="s">
        <v>2127</v>
      </c>
      <c r="M2675" s="1473">
        <v>4.9036999999999997E-2</v>
      </c>
      <c r="N2675" s="1474">
        <v>1.7727879892612346</v>
      </c>
      <c r="O2675" s="1474"/>
    </row>
    <row r="2676" spans="11:15">
      <c r="K2676" s="1471">
        <v>44733</v>
      </c>
      <c r="L2676" s="1472" t="s">
        <v>2127</v>
      </c>
      <c r="M2676" s="1473">
        <v>4.9036999999999997E-2</v>
      </c>
      <c r="N2676" s="1474">
        <v>1.7736573113075287</v>
      </c>
      <c r="O2676" s="1474"/>
    </row>
    <row r="2677" spans="11:15">
      <c r="K2677" s="1471">
        <v>44734</v>
      </c>
      <c r="L2677" s="1472" t="s">
        <v>2127</v>
      </c>
      <c r="M2677" s="1473">
        <v>4.9036999999999997E-2</v>
      </c>
      <c r="N2677" s="1474">
        <v>1.7745270596432747</v>
      </c>
      <c r="O2677" s="1474"/>
    </row>
    <row r="2678" spans="11:15">
      <c r="K2678" s="1471">
        <v>44735</v>
      </c>
      <c r="L2678" s="1472" t="s">
        <v>2127</v>
      </c>
      <c r="M2678" s="1473">
        <v>4.9036999999999997E-2</v>
      </c>
      <c r="N2678" s="1474">
        <v>1.7753972344775122</v>
      </c>
      <c r="O2678" s="1474"/>
    </row>
    <row r="2679" spans="11:15">
      <c r="K2679" s="1471">
        <v>44736</v>
      </c>
      <c r="L2679" s="1472" t="s">
        <v>2127</v>
      </c>
      <c r="M2679" s="1473">
        <v>4.9036999999999997E-2</v>
      </c>
      <c r="N2679" s="1474">
        <v>1.7762678360193831</v>
      </c>
      <c r="O2679" s="1474"/>
    </row>
    <row r="2680" spans="11:15">
      <c r="K2680" s="1471">
        <v>44737</v>
      </c>
      <c r="L2680" s="1472"/>
      <c r="M2680" s="1473">
        <v>0</v>
      </c>
      <c r="N2680" s="1474">
        <v>1.7762678360193831</v>
      </c>
      <c r="O2680" s="1474"/>
    </row>
    <row r="2681" spans="11:15">
      <c r="K2681" s="1471">
        <v>44738</v>
      </c>
      <c r="L2681" s="1472"/>
      <c r="M2681" s="1473">
        <v>0</v>
      </c>
      <c r="N2681" s="1474">
        <v>1.7762678360193831</v>
      </c>
      <c r="O2681" s="1474"/>
    </row>
    <row r="2682" spans="11:15">
      <c r="K2682" s="1471">
        <v>44739</v>
      </c>
      <c r="L2682" s="1472" t="s">
        <v>2127</v>
      </c>
      <c r="M2682" s="1473">
        <v>4.9036999999999997E-2</v>
      </c>
      <c r="N2682" s="1474">
        <v>1.7771388644781321</v>
      </c>
      <c r="O2682" s="1474"/>
    </row>
    <row r="2683" spans="11:15">
      <c r="K2683" s="1471">
        <v>44740</v>
      </c>
      <c r="L2683" s="1472" t="s">
        <v>2127</v>
      </c>
      <c r="M2683" s="1473">
        <v>4.9036999999999997E-2</v>
      </c>
      <c r="N2683" s="1474">
        <v>1.7780103200631063</v>
      </c>
      <c r="O2683" s="1474"/>
    </row>
    <row r="2684" spans="11:15">
      <c r="K2684" s="1471">
        <v>44741</v>
      </c>
      <c r="L2684" s="1472" t="s">
        <v>2127</v>
      </c>
      <c r="M2684" s="1473">
        <v>4.9036999999999997E-2</v>
      </c>
      <c r="N2684" s="1474">
        <v>1.7788822029837559</v>
      </c>
      <c r="O2684" s="1474"/>
    </row>
    <row r="2685" spans="11:15">
      <c r="K2685" s="1471">
        <v>44742</v>
      </c>
      <c r="L2685" s="1472" t="s">
        <v>2127</v>
      </c>
      <c r="M2685" s="1473">
        <v>4.9036999999999997E-2</v>
      </c>
      <c r="N2685" s="1474">
        <v>1.7797545134496331</v>
      </c>
      <c r="O2685" s="1474"/>
    </row>
    <row r="2686" spans="11:15">
      <c r="K2686" s="1471">
        <v>44743</v>
      </c>
      <c r="L2686" s="1472" t="s">
        <v>2127</v>
      </c>
      <c r="M2686" s="1473">
        <v>4.9036999999999997E-2</v>
      </c>
      <c r="N2686" s="1474">
        <v>1.7806272516703936</v>
      </c>
      <c r="O2686" s="1474"/>
    </row>
    <row r="2687" spans="11:15">
      <c r="K2687" s="1471">
        <v>44744</v>
      </c>
      <c r="L2687" s="1472"/>
      <c r="M2687" s="1473">
        <v>0</v>
      </c>
      <c r="N2687" s="1474">
        <v>1.7806272516703936</v>
      </c>
      <c r="O2687" s="1474"/>
    </row>
    <row r="2688" spans="11:15">
      <c r="K2688" s="1471">
        <v>44745</v>
      </c>
      <c r="L2688" s="1472"/>
      <c r="M2688" s="1473">
        <v>0</v>
      </c>
      <c r="N2688" s="1474">
        <v>1.7806272516703936</v>
      </c>
      <c r="O2688" s="1474"/>
    </row>
    <row r="2689" spans="11:15">
      <c r="K2689" s="1471">
        <v>44746</v>
      </c>
      <c r="L2689" s="1472" t="s">
        <v>2127</v>
      </c>
      <c r="M2689" s="1473">
        <v>4.9036999999999997E-2</v>
      </c>
      <c r="N2689" s="1474">
        <v>1.7815004178557954</v>
      </c>
      <c r="O2689" s="1474"/>
    </row>
    <row r="2690" spans="11:15">
      <c r="K2690" s="1471">
        <v>44747</v>
      </c>
      <c r="L2690" s="1472" t="s">
        <v>2127</v>
      </c>
      <c r="M2690" s="1473">
        <v>4.9036999999999997E-2</v>
      </c>
      <c r="N2690" s="1474">
        <v>1.7823740122156995</v>
      </c>
      <c r="O2690" s="1474"/>
    </row>
    <row r="2691" spans="11:15">
      <c r="K2691" s="1471">
        <v>44748</v>
      </c>
      <c r="L2691" s="1472" t="s">
        <v>2127</v>
      </c>
      <c r="M2691" s="1473">
        <v>4.9036999999999997E-2</v>
      </c>
      <c r="N2691" s="1474">
        <v>1.7832480349600699</v>
      </c>
      <c r="O2691" s="1474"/>
    </row>
    <row r="2692" spans="11:15">
      <c r="K2692" s="1471">
        <v>44749</v>
      </c>
      <c r="L2692" s="1472" t="s">
        <v>2127</v>
      </c>
      <c r="M2692" s="1473">
        <v>4.9036999999999997E-2</v>
      </c>
      <c r="N2692" s="1474">
        <v>1.7841224862989733</v>
      </c>
      <c r="O2692" s="1474"/>
    </row>
    <row r="2693" spans="11:15">
      <c r="K2693" s="1471">
        <v>44750</v>
      </c>
      <c r="L2693" s="1472" t="s">
        <v>2127</v>
      </c>
      <c r="M2693" s="1473">
        <v>4.9036999999999997E-2</v>
      </c>
      <c r="N2693" s="1474">
        <v>1.7849973664425798</v>
      </c>
      <c r="O2693" s="1474"/>
    </row>
    <row r="2694" spans="11:15">
      <c r="K2694" s="1471">
        <v>44751</v>
      </c>
      <c r="L2694" s="1472"/>
      <c r="M2694" s="1473">
        <v>0</v>
      </c>
      <c r="N2694" s="1474">
        <v>1.7849973664425798</v>
      </c>
      <c r="O2694" s="1474"/>
    </row>
    <row r="2695" spans="11:15">
      <c r="K2695" s="1471">
        <v>44752</v>
      </c>
      <c r="L2695" s="1472"/>
      <c r="M2695" s="1473">
        <v>0</v>
      </c>
      <c r="N2695" s="1474">
        <v>1.7849973664425798</v>
      </c>
      <c r="O2695" s="1474"/>
    </row>
    <row r="2696" spans="11:15">
      <c r="K2696" s="1471">
        <v>44753</v>
      </c>
      <c r="L2696" s="1472" t="s">
        <v>2127</v>
      </c>
      <c r="M2696" s="1473">
        <v>4.9036999999999997E-2</v>
      </c>
      <c r="N2696" s="1474">
        <v>1.7858726756011623</v>
      </c>
      <c r="O2696" s="1474"/>
    </row>
    <row r="2697" spans="11:15">
      <c r="K2697" s="1471">
        <v>44754</v>
      </c>
      <c r="L2697" s="1472" t="s">
        <v>2127</v>
      </c>
      <c r="M2697" s="1473">
        <v>4.9036999999999997E-2</v>
      </c>
      <c r="N2697" s="1474">
        <v>1.7867484139850969</v>
      </c>
      <c r="O2697" s="1474"/>
    </row>
    <row r="2698" spans="11:15">
      <c r="K2698" s="1471">
        <v>44755</v>
      </c>
      <c r="L2698" s="1472" t="s">
        <v>2127</v>
      </c>
      <c r="M2698" s="1473">
        <v>4.9036999999999997E-2</v>
      </c>
      <c r="N2698" s="1474">
        <v>1.7876245818048628</v>
      </c>
      <c r="O2698" s="1474"/>
    </row>
    <row r="2699" spans="11:15">
      <c r="K2699" s="1471">
        <v>44756</v>
      </c>
      <c r="L2699" s="1472" t="s">
        <v>2127</v>
      </c>
      <c r="M2699" s="1473">
        <v>4.9036999999999997E-2</v>
      </c>
      <c r="N2699" s="1474">
        <v>1.7885011792710426</v>
      </c>
      <c r="O2699" s="1474"/>
    </row>
    <row r="2700" spans="11:15">
      <c r="K2700" s="1471">
        <v>44757</v>
      </c>
      <c r="L2700" s="1472" t="s">
        <v>2127</v>
      </c>
      <c r="M2700" s="1473">
        <v>4.9036999999999997E-2</v>
      </c>
      <c r="N2700" s="1474">
        <v>1.7893782065943218</v>
      </c>
      <c r="O2700" s="1474"/>
    </row>
    <row r="2701" spans="11:15">
      <c r="K2701" s="1471">
        <v>44758</v>
      </c>
      <c r="L2701" s="1472"/>
      <c r="M2701" s="1473">
        <v>0</v>
      </c>
      <c r="N2701" s="1474">
        <v>1.7893782065943218</v>
      </c>
      <c r="O2701" s="1474"/>
    </row>
    <row r="2702" spans="11:15">
      <c r="K2702" s="1471">
        <v>44759</v>
      </c>
      <c r="L2702" s="1472"/>
      <c r="M2702" s="1473">
        <v>0</v>
      </c>
      <c r="N2702" s="1474">
        <v>1.7893782065943218</v>
      </c>
      <c r="O2702" s="1474"/>
    </row>
    <row r="2703" spans="11:15">
      <c r="K2703" s="1471">
        <v>44760</v>
      </c>
      <c r="L2703" s="1472" t="s">
        <v>2127</v>
      </c>
      <c r="M2703" s="1473">
        <v>4.9036999999999997E-2</v>
      </c>
      <c r="N2703" s="1474">
        <v>1.7902556639854896</v>
      </c>
      <c r="O2703" s="1474"/>
    </row>
    <row r="2704" spans="11:15">
      <c r="K2704" s="1471">
        <v>44761</v>
      </c>
      <c r="L2704" s="1472" t="s">
        <v>2127</v>
      </c>
      <c r="M2704" s="1473">
        <v>4.9036999999999997E-2</v>
      </c>
      <c r="N2704" s="1474">
        <v>1.7911335516554383</v>
      </c>
      <c r="O2704" s="1474"/>
    </row>
    <row r="2705" spans="11:15">
      <c r="K2705" s="1471">
        <v>44762</v>
      </c>
      <c r="L2705" s="1472" t="s">
        <v>2127</v>
      </c>
      <c r="M2705" s="1473">
        <v>4.9036999999999997E-2</v>
      </c>
      <c r="N2705" s="1474">
        <v>1.7920118698151637</v>
      </c>
      <c r="O2705" s="1474"/>
    </row>
    <row r="2706" spans="11:15">
      <c r="K2706" s="1471">
        <v>44763</v>
      </c>
      <c r="L2706" s="1472" t="s">
        <v>2127</v>
      </c>
      <c r="M2706" s="1473">
        <v>4.9036999999999997E-2</v>
      </c>
      <c r="N2706" s="1474">
        <v>1.7928906186757652</v>
      </c>
      <c r="O2706" s="1474"/>
    </row>
    <row r="2707" spans="11:15">
      <c r="K2707" s="1471">
        <v>44764</v>
      </c>
      <c r="L2707" s="1472" t="s">
        <v>2127</v>
      </c>
      <c r="M2707" s="1473">
        <v>4.9036999999999997E-2</v>
      </c>
      <c r="N2707" s="1474">
        <v>1.7937697984484453</v>
      </c>
      <c r="O2707" s="1474"/>
    </row>
    <row r="2708" spans="11:15">
      <c r="K2708" s="1471">
        <v>44765</v>
      </c>
      <c r="L2708" s="1472"/>
      <c r="M2708" s="1473">
        <v>0</v>
      </c>
      <c r="N2708" s="1474">
        <v>1.7937697984484453</v>
      </c>
      <c r="O2708" s="1474"/>
    </row>
    <row r="2709" spans="11:15">
      <c r="K2709" s="1471">
        <v>44766</v>
      </c>
      <c r="L2709" s="1472"/>
      <c r="M2709" s="1473">
        <v>0</v>
      </c>
      <c r="N2709" s="1474">
        <v>1.7937697984484453</v>
      </c>
      <c r="O2709" s="1474"/>
    </row>
    <row r="2710" spans="11:15">
      <c r="K2710" s="1471">
        <v>44767</v>
      </c>
      <c r="L2710" s="1472" t="s">
        <v>2127</v>
      </c>
      <c r="M2710" s="1473">
        <v>4.9036999999999997E-2</v>
      </c>
      <c r="N2710" s="1474">
        <v>1.7946494093445107</v>
      </c>
      <c r="O2710" s="1474"/>
    </row>
    <row r="2711" spans="11:15">
      <c r="K2711" s="1471">
        <v>44768</v>
      </c>
      <c r="L2711" s="1472" t="s">
        <v>2127</v>
      </c>
      <c r="M2711" s="1473">
        <v>4.9036999999999997E-2</v>
      </c>
      <c r="N2711" s="1474">
        <v>1.795529451575371</v>
      </c>
      <c r="O2711" s="1474"/>
    </row>
    <row r="2712" spans="11:15">
      <c r="K2712" s="1471">
        <v>44769</v>
      </c>
      <c r="L2712" s="1472" t="s">
        <v>2127</v>
      </c>
      <c r="M2712" s="1473">
        <v>4.9036999999999997E-2</v>
      </c>
      <c r="N2712" s="1474">
        <v>1.7964099253525401</v>
      </c>
      <c r="O2712" s="1474"/>
    </row>
    <row r="2713" spans="11:15">
      <c r="K2713" s="1471">
        <v>44770</v>
      </c>
      <c r="L2713" s="1472" t="s">
        <v>2127</v>
      </c>
      <c r="M2713" s="1473">
        <v>4.9036999999999997E-2</v>
      </c>
      <c r="N2713" s="1474">
        <v>1.7972908308876354</v>
      </c>
      <c r="O2713" s="1474"/>
    </row>
    <row r="2714" spans="11:15">
      <c r="K2714" s="1471">
        <v>44771</v>
      </c>
      <c r="L2714" s="1472" t="s">
        <v>2127</v>
      </c>
      <c r="M2714" s="1473">
        <v>4.9036999999999997E-2</v>
      </c>
      <c r="N2714" s="1474">
        <v>1.7981721683923779</v>
      </c>
      <c r="O2714" s="1474"/>
    </row>
    <row r="2715" spans="11:15">
      <c r="K2715" s="1471">
        <v>44772</v>
      </c>
      <c r="L2715" s="1472"/>
      <c r="M2715" s="1473">
        <v>0</v>
      </c>
      <c r="N2715" s="1474">
        <v>1.7981721683923779</v>
      </c>
      <c r="O2715" s="1474"/>
    </row>
    <row r="2716" spans="11:15">
      <c r="K2716" s="1471">
        <v>44773</v>
      </c>
      <c r="L2716" s="1472"/>
      <c r="M2716" s="1473">
        <v>0</v>
      </c>
      <c r="N2716" s="1474">
        <v>1.7981721683923779</v>
      </c>
      <c r="O2716" s="1474"/>
    </row>
    <row r="2717" spans="11:15">
      <c r="K2717" s="1471">
        <v>44774</v>
      </c>
      <c r="L2717" s="1472" t="s">
        <v>2127</v>
      </c>
      <c r="M2717" s="1473">
        <v>4.9036999999999997E-2</v>
      </c>
      <c r="N2717" s="1474">
        <v>1.7990539380785926</v>
      </c>
      <c r="O2717" s="1474"/>
    </row>
    <row r="2718" spans="11:15">
      <c r="K2718" s="1471">
        <v>44775</v>
      </c>
      <c r="L2718" s="1472" t="s">
        <v>2127</v>
      </c>
      <c r="M2718" s="1473">
        <v>4.9036999999999997E-2</v>
      </c>
      <c r="N2718" s="1474">
        <v>1.7999361401582084</v>
      </c>
      <c r="O2718" s="1474"/>
    </row>
    <row r="2719" spans="11:15">
      <c r="K2719" s="1471">
        <v>44776</v>
      </c>
      <c r="L2719" s="1472" t="s">
        <v>2127</v>
      </c>
      <c r="M2719" s="1473">
        <v>4.9036999999999997E-2</v>
      </c>
      <c r="N2719" s="1474">
        <v>1.8008187748432578</v>
      </c>
      <c r="O2719" s="1474"/>
    </row>
    <row r="2720" spans="11:15">
      <c r="K2720" s="1471">
        <v>44777</v>
      </c>
      <c r="L2720" s="1472" t="s">
        <v>2127</v>
      </c>
      <c r="M2720" s="1473">
        <v>5.0788E-2</v>
      </c>
      <c r="N2720" s="1474">
        <v>1.8017333746826252</v>
      </c>
      <c r="O2720" s="1474"/>
    </row>
    <row r="2721" spans="11:15">
      <c r="K2721" s="1471">
        <v>44778</v>
      </c>
      <c r="L2721" s="1472" t="s">
        <v>2127</v>
      </c>
      <c r="M2721" s="1473">
        <v>5.0788E-2</v>
      </c>
      <c r="N2721" s="1474">
        <v>1.802648439028959</v>
      </c>
      <c r="O2721" s="1474"/>
    </row>
    <row r="2722" spans="11:15">
      <c r="K2722" s="1471">
        <v>44779</v>
      </c>
      <c r="L2722" s="1472"/>
      <c r="M2722" s="1473">
        <v>0</v>
      </c>
      <c r="N2722" s="1474">
        <v>1.802648439028959</v>
      </c>
      <c r="O2722" s="1474"/>
    </row>
    <row r="2723" spans="11:15">
      <c r="K2723" s="1471">
        <v>44780</v>
      </c>
      <c r="L2723" s="1472"/>
      <c r="M2723" s="1473">
        <v>0</v>
      </c>
      <c r="N2723" s="1474">
        <v>1.802648439028959</v>
      </c>
      <c r="O2723" s="1474"/>
    </row>
    <row r="2724" spans="11:15">
      <c r="K2724" s="1471">
        <v>44781</v>
      </c>
      <c r="L2724" s="1472" t="s">
        <v>2127</v>
      </c>
      <c r="M2724" s="1473">
        <v>5.0788E-2</v>
      </c>
      <c r="N2724" s="1474">
        <v>1.803563968118173</v>
      </c>
      <c r="O2724" s="1474"/>
    </row>
    <row r="2725" spans="11:15">
      <c r="K2725" s="1471">
        <v>44782</v>
      </c>
      <c r="L2725" s="1472" t="s">
        <v>2127</v>
      </c>
      <c r="M2725" s="1473">
        <v>5.0788E-2</v>
      </c>
      <c r="N2725" s="1474">
        <v>1.8044799621863008</v>
      </c>
      <c r="O2725" s="1474"/>
    </row>
    <row r="2726" spans="11:15">
      <c r="K2726" s="1471">
        <v>44783</v>
      </c>
      <c r="L2726" s="1472" t="s">
        <v>2127</v>
      </c>
      <c r="M2726" s="1473">
        <v>5.0788E-2</v>
      </c>
      <c r="N2726" s="1474">
        <v>1.805396421469496</v>
      </c>
      <c r="O2726" s="1474"/>
    </row>
    <row r="2727" spans="11:15">
      <c r="K2727" s="1471">
        <v>44784</v>
      </c>
      <c r="L2727" s="1472" t="s">
        <v>2127</v>
      </c>
      <c r="M2727" s="1473">
        <v>5.0788E-2</v>
      </c>
      <c r="N2727" s="1474">
        <v>1.8063133462040319</v>
      </c>
      <c r="O2727" s="1474"/>
    </row>
    <row r="2728" spans="11:15">
      <c r="K2728" s="1471">
        <v>44785</v>
      </c>
      <c r="L2728" s="1472" t="s">
        <v>2127</v>
      </c>
      <c r="M2728" s="1473">
        <v>5.0788E-2</v>
      </c>
      <c r="N2728" s="1474">
        <v>1.8072307366263021</v>
      </c>
      <c r="O2728" s="1474"/>
    </row>
    <row r="2729" spans="11:15">
      <c r="K2729" s="1471">
        <v>44786</v>
      </c>
      <c r="L2729" s="1472"/>
      <c r="M2729" s="1473">
        <v>0</v>
      </c>
      <c r="N2729" s="1474">
        <v>1.8072307366263021</v>
      </c>
      <c r="O2729" s="1474"/>
    </row>
    <row r="2730" spans="11:15">
      <c r="K2730" s="1471">
        <v>44787</v>
      </c>
      <c r="L2730" s="1472"/>
      <c r="M2730" s="1473">
        <v>0</v>
      </c>
      <c r="N2730" s="1474">
        <v>1.8072307366263021</v>
      </c>
      <c r="O2730" s="1474"/>
    </row>
    <row r="2731" spans="11:15">
      <c r="K2731" s="1471">
        <v>44788</v>
      </c>
      <c r="L2731" s="1472" t="s">
        <v>2127</v>
      </c>
      <c r="M2731" s="1473">
        <v>5.0788E-2</v>
      </c>
      <c r="N2731" s="1474">
        <v>1.8081485929728198</v>
      </c>
      <c r="O2731" s="1474"/>
    </row>
    <row r="2732" spans="11:15">
      <c r="K2732" s="1471">
        <v>44789</v>
      </c>
      <c r="L2732" s="1472" t="s">
        <v>2127</v>
      </c>
      <c r="M2732" s="1473">
        <v>5.0788E-2</v>
      </c>
      <c r="N2732" s="1474">
        <v>1.8090669154802188</v>
      </c>
      <c r="O2732" s="1474"/>
    </row>
    <row r="2733" spans="11:15">
      <c r="K2733" s="1471">
        <v>44790</v>
      </c>
      <c r="L2733" s="1472" t="s">
        <v>2127</v>
      </c>
      <c r="M2733" s="1473">
        <v>5.0788E-2</v>
      </c>
      <c r="N2733" s="1474">
        <v>1.809985704385253</v>
      </c>
      <c r="O2733" s="1474"/>
    </row>
    <row r="2734" spans="11:15">
      <c r="K2734" s="1471">
        <v>44791</v>
      </c>
      <c r="L2734" s="1472" t="s">
        <v>2127</v>
      </c>
      <c r="M2734" s="1473">
        <v>5.0788E-2</v>
      </c>
      <c r="N2734" s="1474">
        <v>1.8109049599247962</v>
      </c>
      <c r="O2734" s="1474"/>
    </row>
    <row r="2735" spans="11:15">
      <c r="K2735" s="1471">
        <v>44792</v>
      </c>
      <c r="L2735" s="1472" t="s">
        <v>2127</v>
      </c>
      <c r="M2735" s="1473">
        <v>5.0788E-2</v>
      </c>
      <c r="N2735" s="1474">
        <v>1.8118246823358428</v>
      </c>
      <c r="O2735" s="1474"/>
    </row>
    <row r="2736" spans="11:15">
      <c r="K2736" s="1471">
        <v>44793</v>
      </c>
      <c r="L2736" s="1472"/>
      <c r="M2736" s="1473">
        <v>0</v>
      </c>
      <c r="N2736" s="1474">
        <v>1.8118246823358428</v>
      </c>
      <c r="O2736" s="1474"/>
    </row>
    <row r="2737" spans="11:15">
      <c r="K2737" s="1471">
        <v>44794</v>
      </c>
      <c r="L2737" s="1472"/>
      <c r="M2737" s="1473">
        <v>0</v>
      </c>
      <c r="N2737" s="1474">
        <v>1.8118246823358428</v>
      </c>
      <c r="O2737" s="1474"/>
    </row>
    <row r="2738" spans="11:15">
      <c r="K2738" s="1471">
        <v>44795</v>
      </c>
      <c r="L2738" s="1472" t="s">
        <v>2127</v>
      </c>
      <c r="M2738" s="1473">
        <v>5.0788E-2</v>
      </c>
      <c r="N2738" s="1474">
        <v>1.8127448718555075</v>
      </c>
      <c r="O2738" s="1474"/>
    </row>
    <row r="2739" spans="11:15">
      <c r="K2739" s="1471">
        <v>44796</v>
      </c>
      <c r="L2739" s="1472" t="s">
        <v>2127</v>
      </c>
      <c r="M2739" s="1473">
        <v>5.0788E-2</v>
      </c>
      <c r="N2739" s="1474">
        <v>1.8136655287210255</v>
      </c>
      <c r="O2739" s="1474"/>
    </row>
    <row r="2740" spans="11:15">
      <c r="K2740" s="1471">
        <v>44797</v>
      </c>
      <c r="L2740" s="1472" t="s">
        <v>2127</v>
      </c>
      <c r="M2740" s="1473">
        <v>5.0788E-2</v>
      </c>
      <c r="N2740" s="1474">
        <v>1.8145866531697523</v>
      </c>
      <c r="O2740" s="1474"/>
    </row>
    <row r="2741" spans="11:15">
      <c r="K2741" s="1471">
        <v>44798</v>
      </c>
      <c r="L2741" s="1472" t="s">
        <v>2127</v>
      </c>
      <c r="M2741" s="1473">
        <v>5.0788E-2</v>
      </c>
      <c r="N2741" s="1474">
        <v>1.8155082454391642</v>
      </c>
      <c r="O2741" s="1474"/>
    </row>
    <row r="2742" spans="11:15">
      <c r="K2742" s="1471">
        <v>44799</v>
      </c>
      <c r="L2742" s="1472" t="s">
        <v>2127</v>
      </c>
      <c r="M2742" s="1473">
        <v>5.0788E-2</v>
      </c>
      <c r="N2742" s="1474">
        <v>1.8164303057668578</v>
      </c>
      <c r="O2742" s="1474"/>
    </row>
    <row r="2743" spans="11:15">
      <c r="K2743" s="1471">
        <v>44800</v>
      </c>
      <c r="L2743" s="1472"/>
      <c r="M2743" s="1473">
        <v>0</v>
      </c>
      <c r="N2743" s="1474">
        <v>1.8164303057668578</v>
      </c>
      <c r="O2743" s="1474"/>
    </row>
    <row r="2744" spans="11:15">
      <c r="K2744" s="1471">
        <v>44801</v>
      </c>
      <c r="L2744" s="1472"/>
      <c r="M2744" s="1473">
        <v>0</v>
      </c>
      <c r="N2744" s="1474">
        <v>1.8164303057668578</v>
      </c>
      <c r="O2744" s="1474"/>
    </row>
    <row r="2745" spans="11:15">
      <c r="K2745" s="1471">
        <v>44802</v>
      </c>
      <c r="L2745" s="1472" t="s">
        <v>2127</v>
      </c>
      <c r="M2745" s="1473">
        <v>5.0788E-2</v>
      </c>
      <c r="N2745" s="1474">
        <v>1.8173528343905507</v>
      </c>
      <c r="O2745" s="1474"/>
    </row>
    <row r="2746" spans="11:15">
      <c r="K2746" s="1471">
        <v>44803</v>
      </c>
      <c r="L2746" s="1472" t="s">
        <v>2127</v>
      </c>
      <c r="M2746" s="1473">
        <v>5.0788E-2</v>
      </c>
      <c r="N2746" s="1474">
        <v>1.8182758315480809</v>
      </c>
      <c r="O2746" s="1474"/>
    </row>
    <row r="2747" spans="11:15">
      <c r="K2747" s="1471">
        <v>44804</v>
      </c>
      <c r="L2747" s="1472" t="s">
        <v>2127</v>
      </c>
      <c r="M2747" s="1473">
        <v>5.0788E-2</v>
      </c>
      <c r="N2747" s="1474">
        <v>1.8191992974774076</v>
      </c>
      <c r="O2747" s="1474"/>
    </row>
    <row r="2748" spans="11:15">
      <c r="K2748" s="1471">
        <v>44805</v>
      </c>
      <c r="L2748" s="1472" t="s">
        <v>2127</v>
      </c>
      <c r="M2748" s="1473">
        <v>5.0788E-2</v>
      </c>
      <c r="N2748" s="1474">
        <v>1.8201232324166106</v>
      </c>
      <c r="O2748" s="1474"/>
    </row>
    <row r="2749" spans="11:15">
      <c r="K2749" s="1471">
        <v>44806</v>
      </c>
      <c r="L2749" s="1472" t="s">
        <v>2127</v>
      </c>
      <c r="M2749" s="1473">
        <v>5.0788E-2</v>
      </c>
      <c r="N2749" s="1474">
        <v>1.8210476366038904</v>
      </c>
      <c r="O2749" s="1474"/>
    </row>
    <row r="2750" spans="11:15">
      <c r="K2750" s="1471">
        <v>44807</v>
      </c>
      <c r="L2750" s="1472"/>
      <c r="M2750" s="1473">
        <v>0</v>
      </c>
      <c r="N2750" s="1474">
        <v>1.8210476366038904</v>
      </c>
      <c r="O2750" s="1474"/>
    </row>
    <row r="2751" spans="11:15">
      <c r="K2751" s="1471">
        <v>44808</v>
      </c>
      <c r="L2751" s="1472"/>
      <c r="M2751" s="1473">
        <v>0</v>
      </c>
      <c r="N2751" s="1474">
        <v>1.8210476366038904</v>
      </c>
      <c r="O2751" s="1474"/>
    </row>
    <row r="2752" spans="11:15">
      <c r="K2752" s="1471">
        <v>44809</v>
      </c>
      <c r="L2752" s="1472" t="s">
        <v>2127</v>
      </c>
      <c r="M2752" s="1473">
        <v>5.0788E-2</v>
      </c>
      <c r="N2752" s="1474">
        <v>1.8219725102775688</v>
      </c>
      <c r="O2752" s="1474"/>
    </row>
    <row r="2753" spans="11:15">
      <c r="K2753" s="1471">
        <v>44810</v>
      </c>
      <c r="L2753" s="1472" t="s">
        <v>2127</v>
      </c>
      <c r="M2753" s="1473">
        <v>5.0788E-2</v>
      </c>
      <c r="N2753" s="1474">
        <v>1.8228978536760887</v>
      </c>
      <c r="O2753" s="1474"/>
    </row>
    <row r="2754" spans="11:15">
      <c r="K2754" s="1471">
        <v>44811</v>
      </c>
      <c r="L2754" s="1472"/>
      <c r="M2754" s="1473">
        <v>0</v>
      </c>
      <c r="N2754" s="1474">
        <v>1.8228978536760887</v>
      </c>
      <c r="O2754" s="1474"/>
    </row>
    <row r="2755" spans="11:15">
      <c r="K2755" s="1471">
        <v>44812</v>
      </c>
      <c r="L2755" s="1472" t="s">
        <v>2127</v>
      </c>
      <c r="M2755" s="1473">
        <v>5.0788E-2</v>
      </c>
      <c r="N2755" s="1474">
        <v>1.8238236670380137</v>
      </c>
      <c r="O2755" s="1474"/>
    </row>
    <row r="2756" spans="11:15">
      <c r="K2756" s="1471">
        <v>44813</v>
      </c>
      <c r="L2756" s="1472" t="s">
        <v>2127</v>
      </c>
      <c r="M2756" s="1473">
        <v>5.0788E-2</v>
      </c>
      <c r="N2756" s="1474">
        <v>1.824749950602029</v>
      </c>
      <c r="O2756" s="1474"/>
    </row>
    <row r="2757" spans="11:15">
      <c r="K2757" s="1471">
        <v>44814</v>
      </c>
      <c r="L2757" s="1472"/>
      <c r="M2757" s="1473">
        <v>0</v>
      </c>
      <c r="N2757" s="1474">
        <v>1.824749950602029</v>
      </c>
      <c r="O2757" s="1474"/>
    </row>
    <row r="2758" spans="11:15">
      <c r="K2758" s="1471">
        <v>44815</v>
      </c>
      <c r="L2758" s="1472"/>
      <c r="M2758" s="1473">
        <v>0</v>
      </c>
      <c r="N2758" s="1474">
        <v>1.824749950602029</v>
      </c>
      <c r="O2758" s="1474"/>
    </row>
    <row r="2759" spans="11:15">
      <c r="K2759" s="1471">
        <v>44816</v>
      </c>
      <c r="L2759" s="1472" t="s">
        <v>2127</v>
      </c>
      <c r="M2759" s="1473">
        <v>5.0788E-2</v>
      </c>
      <c r="N2759" s="1474">
        <v>1.8256767046069409</v>
      </c>
      <c r="O2759" s="1474"/>
    </row>
    <row r="2760" spans="11:15">
      <c r="K2760" s="1471">
        <v>44817</v>
      </c>
      <c r="L2760" s="1472" t="s">
        <v>2127</v>
      </c>
      <c r="M2760" s="1473">
        <v>5.0788E-2</v>
      </c>
      <c r="N2760" s="1474">
        <v>1.8266039292916767</v>
      </c>
      <c r="O2760" s="1474"/>
    </row>
    <row r="2761" spans="11:15">
      <c r="K2761" s="1471">
        <v>44818</v>
      </c>
      <c r="L2761" s="1472" t="s">
        <v>2127</v>
      </c>
      <c r="M2761" s="1473">
        <v>5.0788E-2</v>
      </c>
      <c r="N2761" s="1474">
        <v>1.8275316248952853</v>
      </c>
      <c r="O2761" s="1474"/>
    </row>
    <row r="2762" spans="11:15">
      <c r="K2762" s="1471">
        <v>44819</v>
      </c>
      <c r="L2762" s="1472" t="s">
        <v>2127</v>
      </c>
      <c r="M2762" s="1473">
        <v>5.0788E-2</v>
      </c>
      <c r="N2762" s="1474">
        <v>1.8284597916569372</v>
      </c>
      <c r="O2762" s="1474"/>
    </row>
    <row r="2763" spans="11:15">
      <c r="K2763" s="1471">
        <v>44820</v>
      </c>
      <c r="L2763" s="1472" t="s">
        <v>2127</v>
      </c>
      <c r="M2763" s="1473">
        <v>5.0788E-2</v>
      </c>
      <c r="N2763" s="1474">
        <v>1.829388429815924</v>
      </c>
      <c r="O2763" s="1474"/>
    </row>
    <row r="2764" spans="11:15">
      <c r="K2764" s="1471">
        <v>44821</v>
      </c>
      <c r="L2764" s="1472"/>
      <c r="M2764" s="1473">
        <v>0</v>
      </c>
      <c r="N2764" s="1474">
        <v>1.829388429815924</v>
      </c>
      <c r="O2764" s="1474"/>
    </row>
    <row r="2765" spans="11:15">
      <c r="K2765" s="1471">
        <v>44822</v>
      </c>
      <c r="L2765" s="1472"/>
      <c r="M2765" s="1473">
        <v>0</v>
      </c>
      <c r="N2765" s="1474">
        <v>1.829388429815924</v>
      </c>
      <c r="O2765" s="1474"/>
    </row>
    <row r="2766" spans="11:15">
      <c r="K2766" s="1471">
        <v>44823</v>
      </c>
      <c r="L2766" s="1472" t="s">
        <v>2127</v>
      </c>
      <c r="M2766" s="1473">
        <v>5.0788E-2</v>
      </c>
      <c r="N2766" s="1474">
        <v>1.8303175396116589</v>
      </c>
      <c r="O2766" s="1474"/>
    </row>
    <row r="2767" spans="11:15">
      <c r="K2767" s="1471">
        <v>44824</v>
      </c>
      <c r="L2767" s="1472" t="s">
        <v>2127</v>
      </c>
      <c r="M2767" s="1473">
        <v>5.0788E-2</v>
      </c>
      <c r="N2767" s="1474">
        <v>1.8312471212836769</v>
      </c>
      <c r="O2767" s="1474"/>
    </row>
    <row r="2768" spans="11:15">
      <c r="K2768" s="1471">
        <v>44825</v>
      </c>
      <c r="L2768" s="1472" t="s">
        <v>2127</v>
      </c>
      <c r="M2768" s="1473">
        <v>5.0788E-2</v>
      </c>
      <c r="N2768" s="1474">
        <v>1.8321771750716345</v>
      </c>
      <c r="O2768" s="1474"/>
    </row>
    <row r="2769" spans="11:15">
      <c r="K2769" s="1471">
        <v>44826</v>
      </c>
      <c r="L2769" s="1472" t="s">
        <v>2127</v>
      </c>
      <c r="M2769" s="1473">
        <v>5.0788E-2</v>
      </c>
      <c r="N2769" s="1474">
        <v>1.8331077012153099</v>
      </c>
      <c r="O2769" s="1474"/>
    </row>
    <row r="2770" spans="11:15">
      <c r="K2770" s="1471">
        <v>44827</v>
      </c>
      <c r="L2770" s="1472" t="s">
        <v>2127</v>
      </c>
      <c r="M2770" s="1473">
        <v>5.0788E-2</v>
      </c>
      <c r="N2770" s="1474">
        <v>1.8340386999546032</v>
      </c>
      <c r="O2770" s="1474"/>
    </row>
    <row r="2771" spans="11:15">
      <c r="K2771" s="1471">
        <v>44828</v>
      </c>
      <c r="L2771" s="1472"/>
      <c r="M2771" s="1473">
        <v>0</v>
      </c>
      <c r="N2771" s="1474">
        <v>1.8340386999546032</v>
      </c>
      <c r="O2771" s="1474"/>
    </row>
    <row r="2772" spans="11:15">
      <c r="K2772" s="1471">
        <v>44829</v>
      </c>
      <c r="L2772" s="1472"/>
      <c r="M2772" s="1473">
        <v>0</v>
      </c>
      <c r="N2772" s="1474">
        <v>1.8340386999546032</v>
      </c>
      <c r="O2772" s="1474"/>
    </row>
    <row r="2773" spans="11:15">
      <c r="K2773" s="1471">
        <v>44830</v>
      </c>
      <c r="L2773" s="1472" t="s">
        <v>2127</v>
      </c>
      <c r="M2773" s="1473">
        <v>5.0788E-2</v>
      </c>
      <c r="N2773" s="1474">
        <v>1.8349701715295361</v>
      </c>
      <c r="O2773" s="1474"/>
    </row>
    <row r="2774" spans="11:15">
      <c r="K2774" s="1471">
        <v>44831</v>
      </c>
      <c r="L2774" s="1472" t="s">
        <v>2127</v>
      </c>
      <c r="M2774" s="1473">
        <v>5.0788E-2</v>
      </c>
      <c r="N2774" s="1474">
        <v>1.8359021161802527</v>
      </c>
      <c r="O2774" s="1474"/>
    </row>
    <row r="2775" spans="11:15">
      <c r="K2775" s="1471">
        <v>44832</v>
      </c>
      <c r="L2775" s="1472" t="s">
        <v>2127</v>
      </c>
      <c r="M2775" s="1473">
        <v>5.0788E-2</v>
      </c>
      <c r="N2775" s="1474">
        <v>1.8368345341470182</v>
      </c>
      <c r="O2775" s="1474"/>
    </row>
    <row r="2776" spans="11:15">
      <c r="K2776" s="1471">
        <v>44833</v>
      </c>
      <c r="L2776" s="1472" t="s">
        <v>2127</v>
      </c>
      <c r="M2776" s="1473">
        <v>5.0788E-2</v>
      </c>
      <c r="N2776" s="1474">
        <v>1.8377674256702208</v>
      </c>
      <c r="O2776" s="1474"/>
    </row>
    <row r="2777" spans="11:15">
      <c r="K2777" s="1471">
        <v>44834</v>
      </c>
      <c r="L2777" s="1472" t="s">
        <v>2127</v>
      </c>
      <c r="M2777" s="1473">
        <v>5.0788E-2</v>
      </c>
      <c r="N2777" s="1474">
        <v>1.8387007909903701</v>
      </c>
      <c r="O2777" s="1474"/>
    </row>
    <row r="2778" spans="11:15">
      <c r="K2778" s="1471">
        <v>44835</v>
      </c>
      <c r="L2778" s="1472"/>
      <c r="M2778" s="1473">
        <v>0</v>
      </c>
      <c r="N2778" s="1474">
        <v>1.8387007909903701</v>
      </c>
      <c r="O2778" s="1474"/>
    </row>
    <row r="2779" spans="11:15">
      <c r="K2779" s="1471">
        <v>44836</v>
      </c>
      <c r="L2779" s="1472"/>
      <c r="M2779" s="1473">
        <v>0</v>
      </c>
      <c r="N2779" s="1474">
        <v>1.8387007909903701</v>
      </c>
      <c r="O2779" s="1474"/>
    </row>
    <row r="2780" spans="11:15">
      <c r="K2780" s="1471">
        <v>44837</v>
      </c>
      <c r="L2780" s="1472" t="s">
        <v>2127</v>
      </c>
      <c r="M2780" s="1473">
        <v>5.0788E-2</v>
      </c>
      <c r="N2780" s="1474">
        <v>1.8396346303480984</v>
      </c>
      <c r="O2780" s="1474"/>
    </row>
    <row r="2781" spans="11:15">
      <c r="K2781" s="1471">
        <v>44838</v>
      </c>
      <c r="L2781" s="1472" t="s">
        <v>2127</v>
      </c>
      <c r="M2781" s="1473">
        <v>5.0788E-2</v>
      </c>
      <c r="N2781" s="1474">
        <v>1.8405689439841595</v>
      </c>
      <c r="O2781" s="1474"/>
    </row>
    <row r="2782" spans="11:15">
      <c r="K2782" s="1471">
        <v>44839</v>
      </c>
      <c r="L2782" s="1472" t="s">
        <v>2127</v>
      </c>
      <c r="M2782" s="1473">
        <v>5.0788E-2</v>
      </c>
      <c r="N2782" s="1474">
        <v>1.8415037321394301</v>
      </c>
      <c r="O2782" s="1474"/>
    </row>
    <row r="2783" spans="11:15">
      <c r="K2783" s="1471">
        <v>44840</v>
      </c>
      <c r="L2783" s="1472" t="s">
        <v>2127</v>
      </c>
      <c r="M2783" s="1473">
        <v>5.0788E-2</v>
      </c>
      <c r="N2783" s="1474">
        <v>1.8424389950549092</v>
      </c>
      <c r="O2783" s="1474"/>
    </row>
    <row r="2784" spans="11:15">
      <c r="K2784" s="1471">
        <v>44841</v>
      </c>
      <c r="L2784" s="1472" t="s">
        <v>2127</v>
      </c>
      <c r="M2784" s="1473">
        <v>5.0788E-2</v>
      </c>
      <c r="N2784" s="1474">
        <v>1.8433747329717176</v>
      </c>
      <c r="O2784" s="1474"/>
    </row>
    <row r="2785" spans="11:15">
      <c r="K2785" s="1471">
        <v>44842</v>
      </c>
      <c r="L2785" s="1472"/>
      <c r="M2785" s="1473">
        <v>0</v>
      </c>
      <c r="N2785" s="1474">
        <v>1.8433747329717176</v>
      </c>
      <c r="O2785" s="1474"/>
    </row>
    <row r="2786" spans="11:15">
      <c r="K2786" s="1471">
        <v>44843</v>
      </c>
      <c r="L2786" s="1472"/>
      <c r="M2786" s="1473">
        <v>0</v>
      </c>
      <c r="N2786" s="1474">
        <v>1.8433747329717176</v>
      </c>
      <c r="O2786" s="1474"/>
    </row>
    <row r="2787" spans="11:15">
      <c r="K2787" s="1471">
        <v>44844</v>
      </c>
      <c r="L2787" s="1472" t="s">
        <v>2127</v>
      </c>
      <c r="M2787" s="1473">
        <v>5.0788E-2</v>
      </c>
      <c r="N2787" s="1474">
        <v>1.8443109461310994</v>
      </c>
      <c r="O2787" s="1474"/>
    </row>
    <row r="2788" spans="11:15">
      <c r="K2788" s="1471">
        <v>44845</v>
      </c>
      <c r="L2788" s="1472" t="s">
        <v>2127</v>
      </c>
      <c r="M2788" s="1473">
        <v>5.0788E-2</v>
      </c>
      <c r="N2788" s="1474">
        <v>1.8452476347744204</v>
      </c>
      <c r="O2788" s="1474"/>
    </row>
    <row r="2789" spans="11:15">
      <c r="K2789" s="1471">
        <v>44846</v>
      </c>
      <c r="L2789" s="1472"/>
      <c r="M2789" s="1473">
        <v>0</v>
      </c>
      <c r="N2789" s="1474">
        <v>1.8452476347744204</v>
      </c>
      <c r="O2789" s="1474"/>
    </row>
    <row r="2790" spans="11:15">
      <c r="K2790" s="1471">
        <v>44847</v>
      </c>
      <c r="L2790" s="1472" t="s">
        <v>2127</v>
      </c>
      <c r="M2790" s="1473">
        <v>5.0788E-2</v>
      </c>
      <c r="N2790" s="1474">
        <v>1.8461847991431697</v>
      </c>
      <c r="O2790" s="1474"/>
    </row>
    <row r="2791" spans="11:15">
      <c r="K2791" s="1471">
        <v>44848</v>
      </c>
      <c r="L2791" s="1472" t="s">
        <v>2127</v>
      </c>
      <c r="M2791" s="1473">
        <v>5.0788E-2</v>
      </c>
      <c r="N2791" s="1474">
        <v>1.8471224394789585</v>
      </c>
      <c r="O2791" s="1474"/>
    </row>
    <row r="2792" spans="11:15">
      <c r="K2792" s="1471">
        <v>44849</v>
      </c>
      <c r="L2792" s="1472"/>
      <c r="M2792" s="1473">
        <v>0</v>
      </c>
      <c r="N2792" s="1474">
        <v>1.8471224394789585</v>
      </c>
      <c r="O2792" s="1474"/>
    </row>
    <row r="2793" spans="11:15">
      <c r="K2793" s="1471">
        <v>44850</v>
      </c>
      <c r="L2793" s="1472"/>
      <c r="M2793" s="1473">
        <v>0</v>
      </c>
      <c r="N2793" s="1474">
        <v>1.8471224394789585</v>
      </c>
      <c r="O2793" s="1474"/>
    </row>
    <row r="2794" spans="11:15">
      <c r="K2794" s="1471">
        <v>44851</v>
      </c>
      <c r="L2794" s="1472" t="s">
        <v>2127</v>
      </c>
      <c r="M2794" s="1473">
        <v>5.0788E-2</v>
      </c>
      <c r="N2794" s="1474">
        <v>1.848060556023521</v>
      </c>
      <c r="O2794" s="1474"/>
    </row>
    <row r="2795" spans="11:15">
      <c r="K2795" s="1471">
        <v>44852</v>
      </c>
      <c r="L2795" s="1472" t="s">
        <v>2127</v>
      </c>
      <c r="M2795" s="1473">
        <v>5.0788E-2</v>
      </c>
      <c r="N2795" s="1474">
        <v>1.8489991490187143</v>
      </c>
      <c r="O2795" s="1474"/>
    </row>
    <row r="2796" spans="11:15">
      <c r="K2796" s="1471">
        <v>44853</v>
      </c>
      <c r="L2796" s="1472" t="s">
        <v>2127</v>
      </c>
      <c r="M2796" s="1473">
        <v>5.0788E-2</v>
      </c>
      <c r="N2796" s="1474">
        <v>1.8499382187065179</v>
      </c>
      <c r="O2796" s="1474"/>
    </row>
    <row r="2797" spans="11:15">
      <c r="K2797" s="1471">
        <v>44854</v>
      </c>
      <c r="L2797" s="1472" t="s">
        <v>2127</v>
      </c>
      <c r="M2797" s="1473">
        <v>5.0788E-2</v>
      </c>
      <c r="N2797" s="1474">
        <v>1.8508777653290345</v>
      </c>
      <c r="O2797" s="1474"/>
    </row>
    <row r="2798" spans="11:15">
      <c r="K2798" s="1471">
        <v>44855</v>
      </c>
      <c r="L2798" s="1472" t="s">
        <v>2127</v>
      </c>
      <c r="M2798" s="1473">
        <v>5.0788E-2</v>
      </c>
      <c r="N2798" s="1474">
        <v>1.8518177891284897</v>
      </c>
      <c r="O2798" s="1474"/>
    </row>
    <row r="2799" spans="11:15">
      <c r="K2799" s="1471">
        <v>44856</v>
      </c>
      <c r="L2799" s="1472"/>
      <c r="M2799" s="1473">
        <v>0</v>
      </c>
      <c r="N2799" s="1474">
        <v>1.8518177891284897</v>
      </c>
      <c r="O2799" s="1474"/>
    </row>
    <row r="2800" spans="11:15">
      <c r="K2800" s="1471">
        <v>44857</v>
      </c>
      <c r="L2800" s="1472"/>
      <c r="M2800" s="1473">
        <v>0</v>
      </c>
      <c r="N2800" s="1474">
        <v>1.8518177891284897</v>
      </c>
      <c r="O2800" s="1474"/>
    </row>
    <row r="2801" spans="11:15">
      <c r="K2801" s="1471">
        <v>44858</v>
      </c>
      <c r="L2801" s="1472" t="s">
        <v>2127</v>
      </c>
      <c r="M2801" s="1473">
        <v>5.0788E-2</v>
      </c>
      <c r="N2801" s="1474">
        <v>1.8527582903472324</v>
      </c>
      <c r="O2801" s="1474"/>
    </row>
    <row r="2802" spans="11:15">
      <c r="K2802" s="1471">
        <v>44859</v>
      </c>
      <c r="L2802" s="1472" t="s">
        <v>2127</v>
      </c>
      <c r="M2802" s="1473">
        <v>5.0788E-2</v>
      </c>
      <c r="N2802" s="1474">
        <v>1.8536992692277339</v>
      </c>
      <c r="O2802" s="1474"/>
    </row>
    <row r="2803" spans="11:15">
      <c r="K2803" s="1471">
        <v>44860</v>
      </c>
      <c r="L2803" s="1472" t="s">
        <v>2127</v>
      </c>
      <c r="M2803" s="1473">
        <v>5.0788E-2</v>
      </c>
      <c r="N2803" s="1474">
        <v>1.8546407260125892</v>
      </c>
      <c r="O2803" s="1474"/>
    </row>
    <row r="2804" spans="11:15">
      <c r="K2804" s="1471">
        <v>44861</v>
      </c>
      <c r="L2804" s="1472" t="s">
        <v>2127</v>
      </c>
      <c r="M2804" s="1473">
        <v>5.0788E-2</v>
      </c>
      <c r="N2804" s="1474">
        <v>1.8555826609445165</v>
      </c>
      <c r="O2804" s="1474"/>
    </row>
    <row r="2805" spans="11:15">
      <c r="K2805" s="1471">
        <v>44862</v>
      </c>
      <c r="L2805" s="1472" t="s">
        <v>2127</v>
      </c>
      <c r="M2805" s="1473">
        <v>5.0788E-2</v>
      </c>
      <c r="N2805" s="1474">
        <v>1.856525074266357</v>
      </c>
      <c r="O2805" s="1474"/>
    </row>
    <row r="2806" spans="11:15">
      <c r="K2806" s="1471">
        <v>44863</v>
      </c>
      <c r="L2806" s="1472"/>
      <c r="M2806" s="1473">
        <v>0</v>
      </c>
      <c r="N2806" s="1474">
        <v>1.856525074266357</v>
      </c>
      <c r="O2806" s="1474"/>
    </row>
    <row r="2807" spans="11:15">
      <c r="K2807" s="1471">
        <v>44864</v>
      </c>
      <c r="L2807" s="1472"/>
      <c r="M2807" s="1473">
        <v>0</v>
      </c>
      <c r="N2807" s="1474">
        <v>1.856525074266357</v>
      </c>
      <c r="O2807" s="1474"/>
    </row>
    <row r="2808" spans="11:15">
      <c r="K2808" s="1471">
        <v>44865</v>
      </c>
      <c r="L2808" s="1472" t="s">
        <v>2127</v>
      </c>
      <c r="M2808" s="1473">
        <v>5.0788E-2</v>
      </c>
      <c r="N2808" s="1474">
        <v>1.8574679662210756</v>
      </c>
      <c r="O2808" s="1474"/>
    </row>
    <row r="2809" spans="11:15">
      <c r="K2809" s="1471">
        <v>44866</v>
      </c>
      <c r="L2809" s="1472" t="s">
        <v>2127</v>
      </c>
      <c r="M2809" s="1473">
        <v>5.0788E-2</v>
      </c>
      <c r="N2809" s="1474">
        <v>1.8584113370517599</v>
      </c>
      <c r="O2809" s="1474"/>
    </row>
    <row r="2810" spans="11:15">
      <c r="K2810" s="1471">
        <v>44867</v>
      </c>
      <c r="L2810" s="1472"/>
      <c r="M2810" s="1473">
        <v>0</v>
      </c>
      <c r="N2810" s="1474">
        <v>1.8584113370517599</v>
      </c>
      <c r="O2810" s="1474"/>
    </row>
    <row r="2811" spans="11:15">
      <c r="K2811" s="1471">
        <v>44868</v>
      </c>
      <c r="L2811" s="1472" t="s">
        <v>2127</v>
      </c>
      <c r="M2811" s="1473">
        <v>5.0788E-2</v>
      </c>
      <c r="N2811" s="1474">
        <v>1.8593551870016218</v>
      </c>
      <c r="O2811" s="1474"/>
    </row>
    <row r="2812" spans="11:15">
      <c r="K2812" s="1471">
        <v>44869</v>
      </c>
      <c r="L2812" s="1472" t="s">
        <v>2127</v>
      </c>
      <c r="M2812" s="1473">
        <v>5.0788E-2</v>
      </c>
      <c r="N2812" s="1474">
        <v>1.8602995163139961</v>
      </c>
      <c r="O2812" s="1474"/>
    </row>
    <row r="2813" spans="11:15">
      <c r="K2813" s="1471">
        <v>44870</v>
      </c>
      <c r="L2813" s="1472"/>
      <c r="M2813" s="1473">
        <v>0</v>
      </c>
      <c r="N2813" s="1474">
        <v>1.8602995163139961</v>
      </c>
      <c r="O2813" s="1474"/>
    </row>
    <row r="2814" spans="11:15">
      <c r="K2814" s="1471">
        <v>44871</v>
      </c>
      <c r="L2814" s="1472"/>
      <c r="M2814" s="1473">
        <v>0</v>
      </c>
      <c r="N2814" s="1474">
        <v>1.8602995163139961</v>
      </c>
      <c r="O2814" s="1474"/>
    </row>
    <row r="2815" spans="11:15">
      <c r="K2815" s="1471">
        <v>44872</v>
      </c>
      <c r="L2815" s="1472" t="s">
        <v>2127</v>
      </c>
      <c r="M2815" s="1473">
        <v>5.0788E-2</v>
      </c>
      <c r="N2815" s="1474">
        <v>1.8612443252323416</v>
      </c>
      <c r="O2815" s="1474"/>
    </row>
    <row r="2816" spans="11:15">
      <c r="K2816" s="1471">
        <v>44873</v>
      </c>
      <c r="L2816" s="1472" t="s">
        <v>2127</v>
      </c>
      <c r="M2816" s="1473">
        <v>5.0788E-2</v>
      </c>
      <c r="N2816" s="1474">
        <v>1.8621896140002407</v>
      </c>
      <c r="O2816" s="1474"/>
    </row>
    <row r="2817" spans="11:15">
      <c r="K2817" s="1471">
        <v>44874</v>
      </c>
      <c r="L2817" s="1472" t="s">
        <v>2127</v>
      </c>
      <c r="M2817" s="1473">
        <v>5.0788E-2</v>
      </c>
      <c r="N2817" s="1474">
        <v>1.8631353828613992</v>
      </c>
      <c r="O2817" s="1474"/>
    </row>
    <row r="2818" spans="11:15">
      <c r="K2818" s="1471">
        <v>44875</v>
      </c>
      <c r="L2818" s="1472" t="s">
        <v>2127</v>
      </c>
      <c r="M2818" s="1473">
        <v>5.0788E-2</v>
      </c>
      <c r="N2818" s="1474">
        <v>1.8640816320596469</v>
      </c>
      <c r="O2818" s="1474"/>
    </row>
    <row r="2819" spans="11:15">
      <c r="K2819" s="1471">
        <v>44876</v>
      </c>
      <c r="L2819" s="1472" t="s">
        <v>2127</v>
      </c>
      <c r="M2819" s="1473">
        <v>5.0788E-2</v>
      </c>
      <c r="N2819" s="1474">
        <v>1.8650283618389374</v>
      </c>
      <c r="O2819" s="1474"/>
    </row>
    <row r="2820" spans="11:15">
      <c r="K2820" s="1471">
        <v>44877</v>
      </c>
      <c r="L2820" s="1472"/>
      <c r="M2820" s="1473">
        <v>0</v>
      </c>
      <c r="N2820" s="1474">
        <v>1.8650283618389374</v>
      </c>
      <c r="O2820" s="1474"/>
    </row>
    <row r="2821" spans="11:15">
      <c r="K2821" s="1471">
        <v>44878</v>
      </c>
      <c r="L2821" s="1472"/>
      <c r="M2821" s="1473">
        <v>0</v>
      </c>
      <c r="N2821" s="1474">
        <v>1.8650283618389374</v>
      </c>
      <c r="O2821" s="1474"/>
    </row>
    <row r="2822" spans="11:15">
      <c r="K2822" s="1471">
        <v>44879</v>
      </c>
      <c r="L2822" s="1472" t="s">
        <v>2127</v>
      </c>
      <c r="M2822" s="1473">
        <v>5.0788E-2</v>
      </c>
      <c r="N2822" s="1474">
        <v>1.8659755724433482</v>
      </c>
      <c r="O2822" s="1474"/>
    </row>
    <row r="2823" spans="11:15">
      <c r="K2823" s="1471">
        <v>44880</v>
      </c>
      <c r="L2823" s="1472"/>
      <c r="M2823" s="1473">
        <v>0</v>
      </c>
      <c r="N2823" s="1474">
        <v>1.8659755724433482</v>
      </c>
      <c r="O2823" s="1474"/>
    </row>
    <row r="2824" spans="11:15">
      <c r="K2824" s="1471">
        <v>44881</v>
      </c>
      <c r="L2824" s="1472" t="s">
        <v>2127</v>
      </c>
      <c r="M2824" s="1473">
        <v>5.0788E-2</v>
      </c>
      <c r="N2824" s="1474">
        <v>1.8669232641170808</v>
      </c>
      <c r="O2824" s="1474"/>
    </row>
    <row r="2825" spans="11:15">
      <c r="K2825" s="1471">
        <v>44882</v>
      </c>
      <c r="L2825" s="1472" t="s">
        <v>2127</v>
      </c>
      <c r="M2825" s="1473">
        <v>5.0788E-2</v>
      </c>
      <c r="N2825" s="1474">
        <v>1.8678714371044605</v>
      </c>
      <c r="O2825" s="1474"/>
    </row>
    <row r="2826" spans="11:15">
      <c r="K2826" s="1471">
        <v>44883</v>
      </c>
      <c r="L2826" s="1472" t="s">
        <v>2127</v>
      </c>
      <c r="M2826" s="1473">
        <v>5.0788E-2</v>
      </c>
      <c r="N2826" s="1474">
        <v>1.8688200916499371</v>
      </c>
      <c r="O2826" s="1474"/>
    </row>
    <row r="2827" spans="11:15">
      <c r="K2827" s="1471">
        <v>44884</v>
      </c>
      <c r="L2827" s="1472"/>
      <c r="M2827" s="1473">
        <v>0</v>
      </c>
      <c r="N2827" s="1474">
        <v>1.8688200916499371</v>
      </c>
      <c r="O2827" s="1474"/>
    </row>
    <row r="2828" spans="11:15">
      <c r="K2828" s="1471">
        <v>44885</v>
      </c>
      <c r="L2828" s="1472"/>
      <c r="M2828" s="1473">
        <v>0</v>
      </c>
      <c r="N2828" s="1474">
        <v>1.8688200916499371</v>
      </c>
      <c r="O2828" s="1474"/>
    </row>
    <row r="2829" spans="11:15">
      <c r="K2829" s="1471">
        <v>44886</v>
      </c>
      <c r="L2829" s="1472" t="s">
        <v>2127</v>
      </c>
      <c r="M2829" s="1473">
        <v>5.0788E-2</v>
      </c>
      <c r="N2829" s="1474">
        <v>1.8697692279980844</v>
      </c>
      <c r="O2829" s="1474"/>
    </row>
    <row r="2830" spans="11:15">
      <c r="K2830" s="1471">
        <v>44887</v>
      </c>
      <c r="L2830" s="1472" t="s">
        <v>2127</v>
      </c>
      <c r="M2830" s="1473">
        <v>5.0788E-2</v>
      </c>
      <c r="N2830" s="1474">
        <v>1.8707188463936002</v>
      </c>
      <c r="O2830" s="1474"/>
    </row>
    <row r="2831" spans="11:15">
      <c r="K2831" s="1471">
        <v>44888</v>
      </c>
      <c r="L2831" s="1472" t="s">
        <v>2127</v>
      </c>
      <c r="M2831" s="1473">
        <v>5.0788E-2</v>
      </c>
      <c r="N2831" s="1474">
        <v>1.8716689470813066</v>
      </c>
      <c r="O2831" s="1474"/>
    </row>
    <row r="2832" spans="11:15">
      <c r="K2832" s="1471">
        <v>44889</v>
      </c>
      <c r="L2832" s="1472" t="s">
        <v>2127</v>
      </c>
      <c r="M2832" s="1473">
        <v>5.0788E-2</v>
      </c>
      <c r="N2832" s="1474">
        <v>1.8726195303061504</v>
      </c>
      <c r="O2832" s="1474"/>
    </row>
    <row r="2833" spans="11:15">
      <c r="K2833" s="1471">
        <v>44890</v>
      </c>
      <c r="L2833" s="1472" t="s">
        <v>2127</v>
      </c>
      <c r="M2833" s="1473">
        <v>5.0788E-2</v>
      </c>
      <c r="N2833" s="1474">
        <v>1.8735705963132023</v>
      </c>
      <c r="O2833" s="1474"/>
    </row>
    <row r="2834" spans="11:15">
      <c r="K2834" s="1471">
        <v>44891</v>
      </c>
      <c r="L2834" s="1472"/>
      <c r="M2834" s="1473">
        <v>0</v>
      </c>
      <c r="N2834" s="1474">
        <v>1.8735705963132023</v>
      </c>
      <c r="O2834" s="1474"/>
    </row>
    <row r="2835" spans="11:15">
      <c r="K2835" s="1471">
        <v>44892</v>
      </c>
      <c r="L2835" s="1472"/>
      <c r="M2835" s="1473">
        <v>0</v>
      </c>
      <c r="N2835" s="1474">
        <v>1.8735705963132023</v>
      </c>
      <c r="O2835" s="1474"/>
    </row>
    <row r="2836" spans="11:15">
      <c r="K2836" s="1471">
        <v>44893</v>
      </c>
      <c r="L2836" s="1472" t="s">
        <v>2127</v>
      </c>
      <c r="M2836" s="1473">
        <v>5.0788E-2</v>
      </c>
      <c r="N2836" s="1474">
        <v>1.8745221453476579</v>
      </c>
      <c r="O2836" s="1474"/>
    </row>
    <row r="2837" spans="11:15">
      <c r="K2837" s="1471">
        <v>44894</v>
      </c>
      <c r="L2837" s="1472" t="s">
        <v>2127</v>
      </c>
      <c r="M2837" s="1473">
        <v>5.0788E-2</v>
      </c>
      <c r="N2837" s="1474">
        <v>1.8754741776548371</v>
      </c>
      <c r="O2837" s="1474"/>
    </row>
    <row r="2838" spans="11:15">
      <c r="K2838" s="1471">
        <v>44895</v>
      </c>
      <c r="L2838" s="1472" t="s">
        <v>2127</v>
      </c>
      <c r="M2838" s="1473">
        <v>5.0788E-2</v>
      </c>
      <c r="N2838" s="1474">
        <v>1.8764266934801845</v>
      </c>
      <c r="O2838" s="1474"/>
    </row>
    <row r="2839" spans="11:15">
      <c r="K2839" s="1471">
        <v>44896</v>
      </c>
      <c r="L2839" s="1472" t="s">
        <v>2127</v>
      </c>
      <c r="M2839" s="1473">
        <v>5.0788E-2</v>
      </c>
      <c r="N2839" s="1474">
        <v>1.8773796930692692</v>
      </c>
      <c r="O2839" s="1474"/>
    </row>
    <row r="2840" spans="11:15">
      <c r="K2840" s="1471">
        <v>44897</v>
      </c>
      <c r="L2840" s="1472" t="s">
        <v>2127</v>
      </c>
      <c r="M2840" s="1473">
        <v>5.0788E-2</v>
      </c>
      <c r="N2840" s="1474">
        <v>1.8783331766677853</v>
      </c>
      <c r="O2840" s="1474"/>
    </row>
    <row r="2841" spans="11:15">
      <c r="K2841" s="1471">
        <v>44898</v>
      </c>
      <c r="L2841" s="1472"/>
      <c r="M2841" s="1473">
        <v>0</v>
      </c>
      <c r="N2841" s="1474">
        <v>1.8783331766677853</v>
      </c>
      <c r="O2841" s="1474"/>
    </row>
    <row r="2842" spans="11:15">
      <c r="K2842" s="1471">
        <v>44899</v>
      </c>
      <c r="L2842" s="1472"/>
      <c r="M2842" s="1473">
        <v>0</v>
      </c>
      <c r="N2842" s="1474">
        <v>1.8783331766677853</v>
      </c>
      <c r="O2842" s="1474"/>
    </row>
    <row r="2843" spans="11:15">
      <c r="K2843" s="1471">
        <v>44900</v>
      </c>
      <c r="L2843" s="1472" t="s">
        <v>2127</v>
      </c>
      <c r="M2843" s="1473">
        <v>5.0788E-2</v>
      </c>
      <c r="N2843" s="1474">
        <v>1.8792871445215513</v>
      </c>
      <c r="O2843" s="1474"/>
    </row>
    <row r="2844" spans="11:15">
      <c r="K2844" s="1471">
        <v>44901</v>
      </c>
      <c r="L2844" s="1472" t="s">
        <v>2127</v>
      </c>
      <c r="M2844" s="1473">
        <v>5.0788E-2</v>
      </c>
      <c r="N2844" s="1474">
        <v>1.8802415968765109</v>
      </c>
      <c r="O2844" s="1474"/>
    </row>
    <row r="2845" spans="11:15">
      <c r="K2845" s="1471">
        <v>44902</v>
      </c>
      <c r="L2845" s="1472" t="s">
        <v>2127</v>
      </c>
      <c r="M2845" s="1473">
        <v>5.0788E-2</v>
      </c>
      <c r="N2845" s="1474">
        <v>1.8811965339787327</v>
      </c>
      <c r="O2845" s="1474"/>
    </row>
    <row r="2846" spans="11:15">
      <c r="K2846" s="1471">
        <v>44903</v>
      </c>
      <c r="L2846" s="1472" t="s">
        <v>2127</v>
      </c>
      <c r="M2846" s="1473">
        <v>5.0788E-2</v>
      </c>
      <c r="N2846" s="1474">
        <v>1.8821519560744098</v>
      </c>
      <c r="O2846" s="1474"/>
    </row>
    <row r="2847" spans="11:15">
      <c r="K2847" s="1471">
        <v>44904</v>
      </c>
      <c r="L2847" s="1472" t="s">
        <v>2127</v>
      </c>
      <c r="M2847" s="1473">
        <v>5.0788E-2</v>
      </c>
      <c r="N2847" s="1474">
        <v>1.8831078634098608</v>
      </c>
      <c r="O2847" s="1474"/>
    </row>
    <row r="2848" spans="11:15">
      <c r="K2848" s="1471">
        <v>44905</v>
      </c>
      <c r="L2848" s="1472"/>
      <c r="M2848" s="1473">
        <v>0</v>
      </c>
      <c r="N2848" s="1474">
        <v>1.8831078634098608</v>
      </c>
      <c r="O2848" s="1474"/>
    </row>
    <row r="2849" spans="11:15">
      <c r="K2849" s="1471">
        <v>44906</v>
      </c>
      <c r="L2849" s="1472"/>
      <c r="M2849" s="1473">
        <v>0</v>
      </c>
      <c r="N2849" s="1474">
        <v>1.8831078634098608</v>
      </c>
      <c r="O2849" s="1474"/>
    </row>
    <row r="2850" spans="11:15">
      <c r="K2850" s="1471">
        <v>44907</v>
      </c>
      <c r="L2850" s="1472" t="s">
        <v>2127</v>
      </c>
      <c r="M2850" s="1473">
        <v>5.0788E-2</v>
      </c>
      <c r="N2850" s="1474">
        <v>1.8840642562315295</v>
      </c>
      <c r="O2850" s="1474"/>
    </row>
    <row r="2851" spans="11:15">
      <c r="K2851" s="1471">
        <v>44908</v>
      </c>
      <c r="L2851" s="1472" t="s">
        <v>2127</v>
      </c>
      <c r="M2851" s="1473">
        <v>5.0788E-2</v>
      </c>
      <c r="N2851" s="1474">
        <v>1.8850211347859844</v>
      </c>
      <c r="O2851" s="1474"/>
    </row>
    <row r="2852" spans="11:15">
      <c r="K2852" s="1471">
        <v>44909</v>
      </c>
      <c r="L2852" s="1472" t="s">
        <v>2127</v>
      </c>
      <c r="M2852" s="1473">
        <v>5.0788E-2</v>
      </c>
      <c r="N2852" s="1474">
        <v>1.8859784993199196</v>
      </c>
      <c r="O2852" s="1474"/>
    </row>
    <row r="2853" spans="11:15">
      <c r="K2853" s="1471">
        <v>44910</v>
      </c>
      <c r="L2853" s="1472" t="s">
        <v>2127</v>
      </c>
      <c r="M2853" s="1473">
        <v>5.0788E-2</v>
      </c>
      <c r="N2853" s="1474">
        <v>1.8869363500801541</v>
      </c>
      <c r="O2853" s="1474"/>
    </row>
    <row r="2854" spans="11:15">
      <c r="K2854" s="1471">
        <v>44911</v>
      </c>
      <c r="L2854" s="1472" t="s">
        <v>2127</v>
      </c>
      <c r="M2854" s="1473">
        <v>5.0788E-2</v>
      </c>
      <c r="N2854" s="1474">
        <v>1.8878946873136329</v>
      </c>
      <c r="O2854" s="1474"/>
    </row>
    <row r="2855" spans="11:15">
      <c r="K2855" s="1471">
        <v>44912</v>
      </c>
      <c r="L2855" s="1472"/>
      <c r="M2855" s="1473">
        <v>0</v>
      </c>
      <c r="N2855" s="1474">
        <v>1.8878946873136329</v>
      </c>
      <c r="O2855" s="1474"/>
    </row>
    <row r="2856" spans="11:15">
      <c r="K2856" s="1471">
        <v>44913</v>
      </c>
      <c r="L2856" s="1472"/>
      <c r="M2856" s="1473">
        <v>0</v>
      </c>
      <c r="N2856" s="1474">
        <v>1.8878946873136329</v>
      </c>
      <c r="O2856" s="1474"/>
    </row>
    <row r="2857" spans="11:15">
      <c r="K2857" s="1471">
        <v>44914</v>
      </c>
      <c r="L2857" s="1472" t="s">
        <v>2127</v>
      </c>
      <c r="M2857" s="1473">
        <v>5.0788E-2</v>
      </c>
      <c r="N2857" s="1474">
        <v>1.8888535112674258</v>
      </c>
      <c r="O2857" s="1474"/>
    </row>
    <row r="2858" spans="11:15">
      <c r="K2858" s="1471">
        <v>44915</v>
      </c>
      <c r="L2858" s="1472" t="s">
        <v>2127</v>
      </c>
      <c r="M2858" s="1473">
        <v>5.0788E-2</v>
      </c>
      <c r="N2858" s="1474">
        <v>1.8898128221887285</v>
      </c>
      <c r="O2858" s="1474"/>
    </row>
    <row r="2859" spans="11:15">
      <c r="K2859" s="1471">
        <v>44916</v>
      </c>
      <c r="L2859" s="1472" t="s">
        <v>2127</v>
      </c>
      <c r="M2859" s="1473">
        <v>5.0788E-2</v>
      </c>
      <c r="N2859" s="1474">
        <v>1.8907726203248618</v>
      </c>
      <c r="O2859" s="1474"/>
    </row>
    <row r="2860" spans="11:15">
      <c r="K2860" s="1471">
        <v>44917</v>
      </c>
      <c r="L2860" s="1472" t="s">
        <v>2127</v>
      </c>
      <c r="M2860" s="1473">
        <v>5.0788E-2</v>
      </c>
      <c r="N2860" s="1474">
        <v>1.8917329059232724</v>
      </c>
      <c r="O2860" s="1474"/>
    </row>
    <row r="2861" spans="11:15">
      <c r="K2861" s="1471">
        <v>44918</v>
      </c>
      <c r="L2861" s="1472" t="s">
        <v>2127</v>
      </c>
      <c r="M2861" s="1473">
        <v>5.0788E-2</v>
      </c>
      <c r="N2861" s="1474">
        <v>1.8926936792315328</v>
      </c>
      <c r="O2861" s="1474"/>
    </row>
    <row r="2862" spans="11:15">
      <c r="K2862" s="1471">
        <v>44919</v>
      </c>
      <c r="L2862" s="1472"/>
      <c r="M2862" s="1473">
        <v>0</v>
      </c>
      <c r="N2862" s="1474">
        <v>1.8926936792315328</v>
      </c>
      <c r="O2862" s="1474"/>
    </row>
    <row r="2863" spans="11:15">
      <c r="K2863" s="1471">
        <v>44920</v>
      </c>
      <c r="L2863" s="1472"/>
      <c r="M2863" s="1473">
        <v>0</v>
      </c>
      <c r="N2863" s="1474">
        <v>1.8926936792315328</v>
      </c>
      <c r="O2863" s="1474"/>
    </row>
    <row r="2864" spans="11:15">
      <c r="K2864" s="1471">
        <v>44921</v>
      </c>
      <c r="L2864" s="1472" t="s">
        <v>2127</v>
      </c>
      <c r="M2864" s="1473">
        <v>5.0788E-2</v>
      </c>
      <c r="N2864" s="1474">
        <v>1.8936549404973408</v>
      </c>
      <c r="O2864" s="1474"/>
    </row>
    <row r="2865" spans="11:15">
      <c r="K2865" s="1471">
        <v>44922</v>
      </c>
      <c r="L2865" s="1472" t="s">
        <v>2127</v>
      </c>
      <c r="M2865" s="1473">
        <v>5.0788E-2</v>
      </c>
      <c r="N2865" s="1474">
        <v>1.8946166899685206</v>
      </c>
      <c r="O2865" s="1474"/>
    </row>
    <row r="2866" spans="11:15">
      <c r="K2866" s="1471">
        <v>44923</v>
      </c>
      <c r="L2866" s="1472" t="s">
        <v>2127</v>
      </c>
      <c r="M2866" s="1473">
        <v>5.0788E-2</v>
      </c>
      <c r="N2866" s="1474">
        <v>1.895578927893022</v>
      </c>
      <c r="O2866" s="1474"/>
    </row>
    <row r="2867" spans="11:15">
      <c r="K2867" s="1471">
        <v>44924</v>
      </c>
      <c r="L2867" s="1472" t="s">
        <v>2127</v>
      </c>
      <c r="M2867" s="1473">
        <v>5.0788E-2</v>
      </c>
      <c r="N2867" s="1474">
        <v>1.8965416545189202</v>
      </c>
      <c r="O2867" s="1474"/>
    </row>
    <row r="2868" spans="11:15">
      <c r="K2868" s="1471">
        <v>44925</v>
      </c>
      <c r="L2868" s="1472" t="s">
        <v>2127</v>
      </c>
      <c r="M2868" s="1473">
        <v>5.0788E-2</v>
      </c>
      <c r="N2868" s="1474">
        <v>1.8975048700944173</v>
      </c>
      <c r="O2868" s="1474"/>
    </row>
    <row r="2869" spans="11:15">
      <c r="K2869" s="1471">
        <v>44926</v>
      </c>
      <c r="L2869" s="1472"/>
      <c r="M2869" s="1473">
        <v>0</v>
      </c>
      <c r="N2869" s="1474">
        <v>1.8975048700944173</v>
      </c>
      <c r="O2869" s="1474"/>
    </row>
    <row r="2870" spans="11:15">
      <c r="K2870" s="1471">
        <v>44927</v>
      </c>
      <c r="L2870" s="1472"/>
      <c r="M2870" s="1473">
        <v>0</v>
      </c>
      <c r="N2870" s="1474">
        <v>1.8975048700944173</v>
      </c>
      <c r="O2870" s="1474"/>
    </row>
    <row r="2871" spans="11:15">
      <c r="K2871" s="1471">
        <v>44928</v>
      </c>
      <c r="L2871" s="1472" t="s">
        <v>2127</v>
      </c>
      <c r="M2871" s="1473">
        <v>5.0788E-2</v>
      </c>
      <c r="N2871" s="1474">
        <v>1.8984685748678409</v>
      </c>
      <c r="O2871" s="1474"/>
    </row>
    <row r="2872" spans="11:15">
      <c r="K2872" s="1471">
        <v>44929</v>
      </c>
      <c r="L2872" s="1472" t="s">
        <v>2127</v>
      </c>
      <c r="M2872" s="1473">
        <v>5.0788E-2</v>
      </c>
      <c r="N2872" s="1474">
        <v>1.8994327690876449</v>
      </c>
      <c r="O2872" s="1474"/>
    </row>
    <row r="2873" spans="11:15">
      <c r="K2873" s="1471">
        <v>44930</v>
      </c>
      <c r="L2873" s="1472" t="s">
        <v>2127</v>
      </c>
      <c r="M2873" s="1473">
        <v>5.0788E-2</v>
      </c>
      <c r="N2873" s="1474">
        <v>1.9003974530024093</v>
      </c>
      <c r="O2873" s="1474"/>
    </row>
    <row r="2874" spans="11:15">
      <c r="K2874" s="1471">
        <v>44931</v>
      </c>
      <c r="L2874" s="1472" t="s">
        <v>2127</v>
      </c>
      <c r="M2874" s="1473">
        <v>5.0788E-2</v>
      </c>
      <c r="N2874" s="1474">
        <v>1.9013626268608401</v>
      </c>
      <c r="O2874" s="1474"/>
    </row>
    <row r="2875" spans="11:15">
      <c r="K2875" s="1471">
        <v>44932</v>
      </c>
      <c r="L2875" s="1472" t="s">
        <v>2127</v>
      </c>
      <c r="M2875" s="1473">
        <v>5.0788E-2</v>
      </c>
      <c r="N2875" s="1474">
        <v>1.9023282909117702</v>
      </c>
      <c r="O2875" s="1474"/>
    </row>
    <row r="2876" spans="11:15">
      <c r="K2876" s="1471">
        <v>44933</v>
      </c>
      <c r="L2876" s="1472"/>
      <c r="M2876" s="1473">
        <v>0</v>
      </c>
      <c r="N2876" s="1474">
        <v>1.9023282909117702</v>
      </c>
      <c r="O2876" s="1474"/>
    </row>
    <row r="2877" spans="11:15">
      <c r="K2877" s="1471">
        <v>44934</v>
      </c>
      <c r="L2877" s="1472"/>
      <c r="M2877" s="1473">
        <v>0</v>
      </c>
      <c r="N2877" s="1474">
        <v>1.9023282909117702</v>
      </c>
      <c r="O2877" s="1474"/>
    </row>
    <row r="2878" spans="11:15">
      <c r="K2878" s="1471">
        <v>44935</v>
      </c>
      <c r="L2878" s="1472" t="s">
        <v>2127</v>
      </c>
      <c r="M2878" s="1473">
        <v>5.0788E-2</v>
      </c>
      <c r="N2878" s="1474">
        <v>1.9032944454041585</v>
      </c>
      <c r="O2878" s="1474"/>
    </row>
    <row r="2879" spans="11:15">
      <c r="K2879" s="1471">
        <v>44936</v>
      </c>
      <c r="L2879" s="1472" t="s">
        <v>2127</v>
      </c>
      <c r="M2879" s="1473">
        <v>5.0788E-2</v>
      </c>
      <c r="N2879" s="1474">
        <v>1.9042610905870905</v>
      </c>
      <c r="O2879" s="1474"/>
    </row>
    <row r="2880" spans="11:15">
      <c r="K2880" s="1471">
        <v>44937</v>
      </c>
      <c r="L2880" s="1472" t="s">
        <v>2127</v>
      </c>
      <c r="M2880" s="1473">
        <v>5.0788E-2</v>
      </c>
      <c r="N2880" s="1474">
        <v>1.905228226709778</v>
      </c>
      <c r="O2880" s="1474"/>
    </row>
    <row r="2881" spans="11:15">
      <c r="K2881" s="1471">
        <v>44938</v>
      </c>
      <c r="L2881" s="1472" t="s">
        <v>2127</v>
      </c>
      <c r="M2881" s="1473">
        <v>5.0788E-2</v>
      </c>
      <c r="N2881" s="1474">
        <v>1.9061958540215593</v>
      </c>
      <c r="O2881" s="1474"/>
    </row>
    <row r="2882" spans="11:15">
      <c r="K2882" s="1471">
        <v>44939</v>
      </c>
      <c r="L2882" s="1472" t="s">
        <v>2127</v>
      </c>
      <c r="M2882" s="1473">
        <v>5.0788E-2</v>
      </c>
      <c r="N2882" s="1474">
        <v>1.9071639727718999</v>
      </c>
      <c r="O2882" s="1474"/>
    </row>
    <row r="2883" spans="11:15">
      <c r="K2883" s="1471">
        <v>44940</v>
      </c>
      <c r="L2883" s="1472"/>
      <c r="M2883" s="1473">
        <v>0</v>
      </c>
      <c r="N2883" s="1474">
        <v>1.9071639727718999</v>
      </c>
      <c r="O2883" s="1474"/>
    </row>
    <row r="2884" spans="11:15">
      <c r="K2884" s="1471">
        <v>44941</v>
      </c>
      <c r="L2884" s="1472"/>
      <c r="M2884" s="1473">
        <v>0</v>
      </c>
      <c r="N2884" s="1474">
        <v>1.9071639727718999</v>
      </c>
      <c r="O2884" s="1474"/>
    </row>
    <row r="2885" spans="11:15">
      <c r="K2885" s="1471">
        <v>44942</v>
      </c>
      <c r="L2885" s="1472" t="s">
        <v>2127</v>
      </c>
      <c r="M2885" s="1473">
        <v>5.0788E-2</v>
      </c>
      <c r="N2885" s="1474">
        <v>1.9081325832103913</v>
      </c>
      <c r="O2885" s="1474"/>
    </row>
    <row r="2886" spans="11:15">
      <c r="K2886" s="1471">
        <v>44943</v>
      </c>
      <c r="L2886" s="1472" t="s">
        <v>2127</v>
      </c>
      <c r="M2886" s="1473">
        <v>5.0788E-2</v>
      </c>
      <c r="N2886" s="1474">
        <v>1.9091016855867522</v>
      </c>
      <c r="O2886" s="1474"/>
    </row>
    <row r="2887" spans="11:15">
      <c r="K2887" s="1471">
        <v>44944</v>
      </c>
      <c r="L2887" s="1472" t="s">
        <v>2127</v>
      </c>
      <c r="M2887" s="1473">
        <v>5.0788E-2</v>
      </c>
      <c r="N2887" s="1474">
        <v>1.9100712801508279</v>
      </c>
      <c r="O2887" s="1474"/>
    </row>
    <row r="2888" spans="11:15">
      <c r="K2888" s="1471">
        <v>44945</v>
      </c>
      <c r="L2888" s="1472" t="s">
        <v>2127</v>
      </c>
      <c r="M2888" s="1473">
        <v>5.0788E-2</v>
      </c>
      <c r="N2888" s="1474">
        <v>1.911041367152591</v>
      </c>
      <c r="O2888" s="1474"/>
    </row>
    <row r="2889" spans="11:15">
      <c r="K2889" s="1471">
        <v>44946</v>
      </c>
      <c r="L2889" s="1472" t="s">
        <v>2127</v>
      </c>
      <c r="M2889" s="1473">
        <v>5.0788E-2</v>
      </c>
      <c r="N2889" s="1474">
        <v>1.9120119468421404</v>
      </c>
      <c r="O2889" s="1474"/>
    </row>
    <row r="2890" spans="11:15">
      <c r="K2890" s="1471">
        <v>44947</v>
      </c>
      <c r="L2890" s="1472"/>
      <c r="M2890" s="1473">
        <v>0</v>
      </c>
      <c r="N2890" s="1474">
        <v>1.9120119468421404</v>
      </c>
      <c r="O2890" s="1474"/>
    </row>
    <row r="2891" spans="11:15">
      <c r="K2891" s="1471">
        <v>44948</v>
      </c>
      <c r="L2891" s="1472"/>
      <c r="M2891" s="1473">
        <v>0</v>
      </c>
      <c r="N2891" s="1474">
        <v>1.9120119468421404</v>
      </c>
      <c r="O2891" s="1474"/>
    </row>
    <row r="2892" spans="11:15">
      <c r="K2892" s="1471">
        <v>44949</v>
      </c>
      <c r="L2892" s="1472" t="s">
        <v>2127</v>
      </c>
      <c r="M2892" s="1473">
        <v>5.0788E-2</v>
      </c>
      <c r="N2892" s="1474">
        <v>1.9129830194697026</v>
      </c>
      <c r="O2892" s="1474"/>
    </row>
    <row r="2893" spans="11:15">
      <c r="K2893" s="1471">
        <v>44950</v>
      </c>
      <c r="L2893" s="1472" t="s">
        <v>2127</v>
      </c>
      <c r="M2893" s="1473">
        <v>5.0788E-2</v>
      </c>
      <c r="N2893" s="1474">
        <v>1.913954585285631</v>
      </c>
      <c r="O2893" s="1474"/>
    </row>
    <row r="2894" spans="11:15">
      <c r="K2894" s="1471">
        <v>44951</v>
      </c>
      <c r="L2894" s="1472" t="s">
        <v>2127</v>
      </c>
      <c r="M2894" s="1473">
        <v>5.0788E-2</v>
      </c>
      <c r="N2894" s="1474">
        <v>1.9149266445404058</v>
      </c>
      <c r="O2894" s="1474"/>
    </row>
    <row r="2895" spans="11:15">
      <c r="K2895" s="1471">
        <v>44952</v>
      </c>
      <c r="L2895" s="1472" t="s">
        <v>2127</v>
      </c>
      <c r="M2895" s="1473">
        <v>5.0788E-2</v>
      </c>
      <c r="N2895" s="1474">
        <v>1.9158991974846351</v>
      </c>
      <c r="O2895" s="1474"/>
    </row>
    <row r="2896" spans="11:15">
      <c r="K2896" s="1471">
        <v>44953</v>
      </c>
      <c r="L2896" s="1472" t="s">
        <v>2127</v>
      </c>
      <c r="M2896" s="1473">
        <v>5.0788E-2</v>
      </c>
      <c r="N2896" s="1474">
        <v>1.9168722443690536</v>
      </c>
      <c r="O2896" s="1474"/>
    </row>
    <row r="2897" spans="11:15">
      <c r="K2897" s="1471">
        <v>44954</v>
      </c>
      <c r="L2897" s="1472"/>
      <c r="M2897" s="1473">
        <v>0</v>
      </c>
      <c r="N2897" s="1474">
        <v>1.9168722443690536</v>
      </c>
      <c r="O2897" s="1474"/>
    </row>
    <row r="2898" spans="11:15">
      <c r="K2898" s="1471">
        <v>44955</v>
      </c>
      <c r="L2898" s="1472"/>
      <c r="M2898" s="1473">
        <v>0</v>
      </c>
      <c r="N2898" s="1474">
        <v>1.9168722443690536</v>
      </c>
      <c r="O2898" s="1474"/>
    </row>
    <row r="2899" spans="11:15">
      <c r="K2899" s="1471">
        <v>44956</v>
      </c>
      <c r="L2899" s="1472" t="s">
        <v>2127</v>
      </c>
      <c r="M2899" s="1473">
        <v>5.0788E-2</v>
      </c>
      <c r="N2899" s="1474">
        <v>1.9178457854445237</v>
      </c>
      <c r="O2899" s="1474"/>
    </row>
    <row r="2900" spans="11:15">
      <c r="K2900" s="1471">
        <v>44957</v>
      </c>
      <c r="L2900" s="1472" t="s">
        <v>2127</v>
      </c>
      <c r="M2900" s="1473">
        <v>5.0788E-2</v>
      </c>
      <c r="N2900" s="1474">
        <v>1.9188198209620353</v>
      </c>
      <c r="O2900" s="1474"/>
    </row>
    <row r="2901" spans="11:15">
      <c r="K2901" s="1471">
        <v>44958</v>
      </c>
      <c r="L2901" s="1472" t="s">
        <v>2127</v>
      </c>
      <c r="M2901" s="1473">
        <v>5.0788E-2</v>
      </c>
      <c r="N2901" s="1474">
        <v>1.9197943511727056</v>
      </c>
      <c r="O2901" s="1474"/>
    </row>
    <row r="2902" spans="11:15">
      <c r="K2902" s="1471">
        <v>44959</v>
      </c>
      <c r="L2902" s="1472" t="s">
        <v>2127</v>
      </c>
      <c r="M2902" s="1473">
        <v>5.0788E-2</v>
      </c>
      <c r="N2902" s="1474">
        <v>1.9207693763277791</v>
      </c>
      <c r="O2902" s="1474"/>
    </row>
    <row r="2903" spans="11:15">
      <c r="K2903" s="1471">
        <v>44960</v>
      </c>
      <c r="L2903" s="1472" t="s">
        <v>2127</v>
      </c>
      <c r="M2903" s="1473">
        <v>5.0788E-2</v>
      </c>
      <c r="N2903" s="1474">
        <v>1.9217448966786286</v>
      </c>
      <c r="O2903" s="1474"/>
    </row>
    <row r="2904" spans="11:15">
      <c r="K2904" s="1471">
        <v>44961</v>
      </c>
      <c r="L2904" s="1472"/>
      <c r="M2904" s="1473">
        <v>0</v>
      </c>
      <c r="N2904" s="1474">
        <v>1.9217448966786286</v>
      </c>
      <c r="O2904" s="1474"/>
    </row>
    <row r="2905" spans="11:15">
      <c r="K2905" s="1471">
        <v>44962</v>
      </c>
      <c r="L2905" s="1472"/>
      <c r="M2905" s="1473">
        <v>0</v>
      </c>
      <c r="N2905" s="1474">
        <v>1.9217448966786286</v>
      </c>
      <c r="O2905" s="1474"/>
    </row>
    <row r="2906" spans="11:15">
      <c r="K2906" s="1471">
        <v>44963</v>
      </c>
      <c r="L2906" s="1472" t="s">
        <v>2127</v>
      </c>
      <c r="M2906" s="1473">
        <v>5.0788E-2</v>
      </c>
      <c r="N2906" s="1474">
        <v>1.9227209124767537</v>
      </c>
      <c r="O2906" s="1474"/>
    </row>
    <row r="2907" spans="11:15">
      <c r="K2907" s="1471">
        <v>44964</v>
      </c>
      <c r="L2907" s="1472" t="s">
        <v>2127</v>
      </c>
      <c r="M2907" s="1473">
        <v>5.0788E-2</v>
      </c>
      <c r="N2907" s="1474">
        <v>1.9236974239737825</v>
      </c>
      <c r="O2907" s="1474"/>
    </row>
    <row r="2908" spans="11:15">
      <c r="K2908" s="1471">
        <v>44965</v>
      </c>
      <c r="L2908" s="1472" t="s">
        <v>2127</v>
      </c>
      <c r="M2908" s="1473">
        <v>5.0788E-2</v>
      </c>
      <c r="N2908" s="1474">
        <v>1.9246744314214703</v>
      </c>
      <c r="O2908" s="1474"/>
    </row>
    <row r="2909" spans="11:15">
      <c r="K2909" s="1471">
        <v>44966</v>
      </c>
      <c r="L2909" s="1472" t="s">
        <v>2127</v>
      </c>
      <c r="M2909" s="1473">
        <v>5.0788E-2</v>
      </c>
      <c r="N2909" s="1474">
        <v>1.9256519350717007</v>
      </c>
      <c r="O2909" s="1474"/>
    </row>
    <row r="2910" spans="11:15">
      <c r="K2910" s="1471">
        <v>44967</v>
      </c>
      <c r="L2910" s="1472" t="s">
        <v>2127</v>
      </c>
      <c r="M2910" s="1473">
        <v>5.0788E-2</v>
      </c>
      <c r="N2910" s="1474">
        <v>1.9266299351764851</v>
      </c>
      <c r="O2910" s="1474"/>
    </row>
    <row r="2911" spans="11:15">
      <c r="K2911" s="1471">
        <v>44968</v>
      </c>
      <c r="L2911" s="1472"/>
      <c r="M2911" s="1473">
        <v>0</v>
      </c>
      <c r="N2911" s="1474">
        <v>1.9266299351764851</v>
      </c>
      <c r="O2911" s="1474"/>
    </row>
    <row r="2912" spans="11:15">
      <c r="K2912" s="1471">
        <v>44969</v>
      </c>
      <c r="L2912" s="1472"/>
      <c r="M2912" s="1473">
        <v>0</v>
      </c>
      <c r="N2912" s="1474">
        <v>1.9266299351764851</v>
      </c>
      <c r="O2912" s="1474"/>
    </row>
    <row r="2913" spans="11:15">
      <c r="K2913" s="1471">
        <v>44970</v>
      </c>
      <c r="L2913" s="1472" t="s">
        <v>2127</v>
      </c>
      <c r="M2913" s="1473">
        <v>5.0788E-2</v>
      </c>
      <c r="N2913" s="1474">
        <v>1.9276084319879625</v>
      </c>
      <c r="O2913" s="1474"/>
    </row>
    <row r="2914" spans="11:15">
      <c r="K2914" s="1471">
        <v>44971</v>
      </c>
      <c r="L2914" s="1472" t="s">
        <v>2127</v>
      </c>
      <c r="M2914" s="1473">
        <v>5.0788E-2</v>
      </c>
      <c r="N2914" s="1474">
        <v>1.9285874257584006</v>
      </c>
      <c r="O2914" s="1474"/>
    </row>
    <row r="2915" spans="11:15">
      <c r="K2915" s="1471">
        <v>44972</v>
      </c>
      <c r="L2915" s="1472" t="s">
        <v>2127</v>
      </c>
      <c r="M2915" s="1473">
        <v>5.0788E-2</v>
      </c>
      <c r="N2915" s="1474">
        <v>1.9295669167401948</v>
      </c>
      <c r="O2915" s="1474"/>
    </row>
    <row r="2916" spans="11:15">
      <c r="K2916" s="1471">
        <v>44973</v>
      </c>
      <c r="L2916" s="1472" t="s">
        <v>2127</v>
      </c>
      <c r="M2916" s="1473">
        <v>5.0788E-2</v>
      </c>
      <c r="N2916" s="1474">
        <v>1.9305469051858688</v>
      </c>
      <c r="O2916" s="1474"/>
    </row>
    <row r="2917" spans="11:15">
      <c r="K2917" s="1471">
        <v>44974</v>
      </c>
      <c r="L2917" s="1472" t="s">
        <v>2127</v>
      </c>
      <c r="M2917" s="1473">
        <v>5.0788E-2</v>
      </c>
      <c r="N2917" s="1474">
        <v>1.9315273913480746</v>
      </c>
      <c r="O2917" s="1474"/>
    </row>
    <row r="2918" spans="11:15">
      <c r="K2918" s="1471">
        <v>44975</v>
      </c>
      <c r="L2918" s="1472"/>
      <c r="M2918" s="1473">
        <v>0</v>
      </c>
      <c r="N2918" s="1474">
        <v>1.9315273913480746</v>
      </c>
      <c r="O2918" s="1474"/>
    </row>
    <row r="2919" spans="11:15">
      <c r="K2919" s="1471">
        <v>44976</v>
      </c>
      <c r="L2919" s="1472"/>
      <c r="M2919" s="1473">
        <v>0</v>
      </c>
      <c r="N2919" s="1474">
        <v>1.9315273913480746</v>
      </c>
      <c r="O2919" s="1474"/>
    </row>
    <row r="2920" spans="11:15">
      <c r="K2920" s="1471">
        <v>44977</v>
      </c>
      <c r="L2920" s="1472"/>
      <c r="M2920" s="1473">
        <v>0</v>
      </c>
      <c r="N2920" s="1474">
        <v>1.9315273913480746</v>
      </c>
      <c r="O2920" s="1474"/>
    </row>
    <row r="2921" spans="11:15">
      <c r="K2921" s="1471">
        <v>44978</v>
      </c>
      <c r="L2921" s="1472"/>
      <c r="M2921" s="1473">
        <v>0</v>
      </c>
      <c r="N2921" s="1474">
        <v>1.9315273913480746</v>
      </c>
      <c r="O2921" s="1474"/>
    </row>
    <row r="2922" spans="11:15">
      <c r="K2922" s="1471">
        <v>44979</v>
      </c>
      <c r="L2922" s="1472" t="s">
        <v>2127</v>
      </c>
      <c r="M2922" s="1473">
        <v>5.0788E-2</v>
      </c>
      <c r="N2922" s="1474">
        <v>1.9325083754795924</v>
      </c>
      <c r="O2922" s="1474"/>
    </row>
    <row r="2923" spans="11:15">
      <c r="K2923" s="1471">
        <v>44980</v>
      </c>
      <c r="L2923" s="1472" t="s">
        <v>2127</v>
      </c>
      <c r="M2923" s="1473">
        <v>5.0788E-2</v>
      </c>
      <c r="N2923" s="1474">
        <v>1.933489857833331</v>
      </c>
      <c r="O2923" s="1474"/>
    </row>
    <row r="2924" spans="11:15">
      <c r="K2924" s="1471">
        <v>44981</v>
      </c>
      <c r="L2924" s="1472" t="s">
        <v>2127</v>
      </c>
      <c r="M2924" s="1473">
        <v>5.0788E-2</v>
      </c>
      <c r="N2924" s="1474">
        <v>1.9344718386623274</v>
      </c>
      <c r="O2924" s="1474"/>
    </row>
    <row r="2925" spans="11:15">
      <c r="K2925" s="1471">
        <v>44982</v>
      </c>
      <c r="L2925" s="1472"/>
      <c r="M2925" s="1473">
        <v>0</v>
      </c>
      <c r="N2925" s="1474">
        <v>1.9344718386623274</v>
      </c>
      <c r="O2925" s="1474"/>
    </row>
    <row r="2926" spans="11:15">
      <c r="K2926" s="1471">
        <v>44983</v>
      </c>
      <c r="L2926" s="1472"/>
      <c r="M2926" s="1473">
        <v>0</v>
      </c>
      <c r="N2926" s="1474">
        <v>1.9344718386623274</v>
      </c>
      <c r="O2926" s="1474"/>
    </row>
    <row r="2927" spans="11:15">
      <c r="K2927" s="1471">
        <v>44984</v>
      </c>
      <c r="L2927" s="1472" t="s">
        <v>2127</v>
      </c>
      <c r="M2927" s="1473">
        <v>5.0788E-2</v>
      </c>
      <c r="N2927" s="1474">
        <v>1.9354543182197472</v>
      </c>
      <c r="O2927" s="1474"/>
    </row>
    <row r="2928" spans="11:15">
      <c r="K2928" s="1471">
        <v>44985</v>
      </c>
      <c r="L2928" s="1472" t="s">
        <v>2127</v>
      </c>
      <c r="M2928" s="1473">
        <v>5.0788E-2</v>
      </c>
      <c r="N2928" s="1474">
        <v>1.9364372967588848</v>
      </c>
      <c r="O2928" s="1474"/>
    </row>
    <row r="2929" spans="11:15">
      <c r="K2929" s="1471">
        <v>44986</v>
      </c>
      <c r="L2929" s="1472" t="s">
        <v>2127</v>
      </c>
      <c r="M2929" s="1473">
        <v>5.0788E-2</v>
      </c>
      <c r="N2929" s="1474">
        <v>1.9374207745331626</v>
      </c>
      <c r="O2929" s="1474"/>
    </row>
    <row r="2930" spans="11:15">
      <c r="K2930" s="1471">
        <v>44987</v>
      </c>
      <c r="L2930" s="1475" t="s">
        <v>2127</v>
      </c>
      <c r="M2930" s="851">
        <v>5.0788E-2</v>
      </c>
      <c r="N2930" s="1475">
        <v>1.9384047517961325</v>
      </c>
      <c r="O2930" s="1475"/>
    </row>
    <row r="2931" spans="11:15">
      <c r="K2931" s="1471">
        <v>44988</v>
      </c>
      <c r="L2931" s="1475" t="s">
        <v>2127</v>
      </c>
      <c r="M2931" s="851">
        <v>5.0788E-2</v>
      </c>
      <c r="N2931" s="1475">
        <v>1.9393892288014747</v>
      </c>
      <c r="O2931" s="1475"/>
    </row>
    <row r="2932" spans="11:15">
      <c r="K2932" s="1471">
        <v>44989</v>
      </c>
      <c r="L2932" s="1475"/>
      <c r="M2932" s="851">
        <v>0</v>
      </c>
      <c r="N2932" s="1475">
        <v>1.9393892288014747</v>
      </c>
      <c r="O2932" s="1475"/>
    </row>
    <row r="2933" spans="11:15">
      <c r="K2933" s="1471">
        <v>44990</v>
      </c>
      <c r="L2933" s="1475"/>
      <c r="M2933" s="851">
        <v>0</v>
      </c>
      <c r="N2933" s="1475">
        <v>1.9393892288014747</v>
      </c>
      <c r="O2933" s="1475"/>
    </row>
    <row r="2934" spans="11:15">
      <c r="K2934" s="1471">
        <v>44991</v>
      </c>
      <c r="L2934" s="1475" t="s">
        <v>2127</v>
      </c>
      <c r="M2934" s="851">
        <v>5.0788E-2</v>
      </c>
      <c r="N2934" s="1475">
        <v>1.9403742058029985</v>
      </c>
      <c r="O2934" s="1475"/>
    </row>
    <row r="2935" spans="11:15">
      <c r="K2935" s="1471">
        <v>44992</v>
      </c>
      <c r="L2935" s="1475" t="s">
        <v>2127</v>
      </c>
      <c r="M2935" s="851">
        <v>5.0788E-2</v>
      </c>
      <c r="N2935" s="1475">
        <v>1.9413596830546418</v>
      </c>
      <c r="O2935" s="1475"/>
    </row>
    <row r="2936" spans="11:15">
      <c r="K2936" s="1471">
        <v>44993</v>
      </c>
      <c r="L2936" s="1475" t="s">
        <v>2127</v>
      </c>
      <c r="M2936" s="851">
        <v>5.0788E-2</v>
      </c>
      <c r="N2936" s="1475">
        <v>1.9423456608104717</v>
      </c>
      <c r="O2936" s="1475"/>
    </row>
    <row r="2937" spans="11:15">
      <c r="K2937" s="1471">
        <v>44994</v>
      </c>
      <c r="L2937" s="1475" t="s">
        <v>2127</v>
      </c>
      <c r="M2937" s="851">
        <v>5.0788E-2</v>
      </c>
      <c r="N2937" s="1475">
        <v>1.9433321393246841</v>
      </c>
      <c r="O2937" s="1475"/>
    </row>
    <row r="2938" spans="11:15">
      <c r="K2938" s="1471">
        <v>44995</v>
      </c>
      <c r="L2938" s="1475" t="s">
        <v>2127</v>
      </c>
      <c r="M2938" s="851">
        <v>5.0788E-2</v>
      </c>
      <c r="N2938" s="1475">
        <v>1.9443191188516042</v>
      </c>
      <c r="O2938" s="1475"/>
    </row>
    <row r="2939" spans="11:15">
      <c r="K2939" s="1471">
        <v>44996</v>
      </c>
      <c r="L2939" s="1475"/>
      <c r="M2939" s="851">
        <v>0</v>
      </c>
      <c r="N2939" s="1475">
        <v>1.9443191188516042</v>
      </c>
      <c r="O2939" s="1475"/>
    </row>
    <row r="2940" spans="11:15">
      <c r="K2940" s="1471">
        <v>44997</v>
      </c>
      <c r="L2940" s="1475"/>
      <c r="M2940" s="851">
        <v>0</v>
      </c>
      <c r="N2940" s="1475">
        <v>1.9443191188516042</v>
      </c>
      <c r="O2940" s="1475"/>
    </row>
    <row r="2941" spans="11:15">
      <c r="K2941" s="1471">
        <v>44998</v>
      </c>
      <c r="L2941" s="1475" t="s">
        <v>2127</v>
      </c>
      <c r="M2941" s="851">
        <v>5.0788E-2</v>
      </c>
      <c r="N2941" s="1475">
        <v>1.9453065996456866</v>
      </c>
      <c r="O2941" s="1475"/>
    </row>
    <row r="2942" spans="11:15">
      <c r="K2942" s="1471">
        <v>44999</v>
      </c>
      <c r="L2942" s="1475" t="s">
        <v>2127</v>
      </c>
      <c r="M2942" s="851">
        <v>5.0788E-2</v>
      </c>
      <c r="N2942" s="1475">
        <v>1.9462945819615147</v>
      </c>
      <c r="O2942" s="1475"/>
    </row>
    <row r="2943" spans="11:15">
      <c r="K2943" s="1471">
        <v>45000</v>
      </c>
      <c r="L2943" s="1475" t="s">
        <v>2127</v>
      </c>
      <c r="M2943" s="851">
        <v>5.0788E-2</v>
      </c>
      <c r="N2943" s="1475">
        <v>1.9472830660538014</v>
      </c>
      <c r="O2943" s="1475"/>
    </row>
    <row r="2944" spans="11:15">
      <c r="K2944" s="1471">
        <v>45001</v>
      </c>
      <c r="L2944" s="1475" t="s">
        <v>2127</v>
      </c>
      <c r="M2944" s="851">
        <v>5.0788E-2</v>
      </c>
      <c r="N2944" s="1475">
        <v>1.9482720521773889</v>
      </c>
      <c r="O2944" s="1475"/>
    </row>
    <row r="2945" spans="11:15">
      <c r="K2945" s="1471">
        <v>45002</v>
      </c>
      <c r="L2945" s="1475" t="s">
        <v>2127</v>
      </c>
      <c r="M2945" s="851">
        <v>5.0788E-2</v>
      </c>
      <c r="N2945" s="1475">
        <v>1.9492615405872487</v>
      </c>
      <c r="O2945" s="1475"/>
    </row>
    <row r="2946" spans="11:15">
      <c r="K2946" s="1471">
        <v>45003</v>
      </c>
      <c r="L2946" s="1475"/>
      <c r="M2946" s="851">
        <v>0</v>
      </c>
      <c r="N2946" s="1475">
        <v>1.9492615405872487</v>
      </c>
      <c r="O2946" s="1475"/>
    </row>
    <row r="2947" spans="11:15">
      <c r="K2947" s="1471">
        <v>45004</v>
      </c>
      <c r="L2947" s="1475"/>
      <c r="M2947" s="851">
        <v>0</v>
      </c>
      <c r="N2947" s="1475">
        <v>1.9492615405872487</v>
      </c>
      <c r="O2947" s="1475"/>
    </row>
    <row r="2948" spans="11:15">
      <c r="K2948" s="1471">
        <v>45005</v>
      </c>
      <c r="L2948" s="1475" t="s">
        <v>2127</v>
      </c>
      <c r="M2948" s="851">
        <v>5.0788E-2</v>
      </c>
      <c r="N2948" s="1475">
        <v>1.9502515315384821</v>
      </c>
      <c r="O2948" s="1475"/>
    </row>
    <row r="2949" spans="11:15">
      <c r="K2949" s="1471">
        <v>45006</v>
      </c>
      <c r="L2949" s="1475" t="s">
        <v>2127</v>
      </c>
      <c r="M2949" s="851">
        <v>5.0788E-2</v>
      </c>
      <c r="N2949" s="1475">
        <v>1.9512420252863198</v>
      </c>
      <c r="O2949" s="1475"/>
    </row>
    <row r="2950" spans="11:15">
      <c r="K2950" s="1471">
        <v>45007</v>
      </c>
      <c r="L2950" s="1475" t="s">
        <v>2127</v>
      </c>
      <c r="M2950" s="851">
        <v>5.0788E-2</v>
      </c>
      <c r="N2950" s="1475">
        <v>1.9522330220861224</v>
      </c>
      <c r="O2950" s="1475"/>
    </row>
    <row r="2951" spans="11:15">
      <c r="K2951" s="1471">
        <v>45008</v>
      </c>
      <c r="L2951" s="1475" t="s">
        <v>2127</v>
      </c>
      <c r="M2951" s="851">
        <v>5.0788E-2</v>
      </c>
      <c r="N2951" s="1475">
        <v>1.9532245221933795</v>
      </c>
      <c r="O2951" s="1475"/>
    </row>
    <row r="2952" spans="11:15">
      <c r="K2952" s="1471">
        <v>45009</v>
      </c>
      <c r="L2952" s="1475" t="s">
        <v>2127</v>
      </c>
      <c r="M2952" s="851">
        <v>5.0788E-2</v>
      </c>
      <c r="N2952" s="1475">
        <v>1.9542165258637112</v>
      </c>
      <c r="O2952" s="1475"/>
    </row>
    <row r="2953" spans="11:15">
      <c r="K2953" s="1471">
        <v>45010</v>
      </c>
      <c r="L2953" s="1475"/>
      <c r="M2953" s="851">
        <v>0</v>
      </c>
      <c r="N2953" s="1475">
        <v>1.9542165258637112</v>
      </c>
      <c r="O2953" s="1475"/>
    </row>
    <row r="2954" spans="11:15">
      <c r="K2954" s="1471">
        <v>45011</v>
      </c>
      <c r="L2954" s="1475"/>
      <c r="M2954" s="851">
        <v>0</v>
      </c>
      <c r="N2954" s="1475">
        <v>1.9542165258637112</v>
      </c>
      <c r="O2954" s="1475"/>
    </row>
    <row r="2955" spans="11:15">
      <c r="K2955" s="1471">
        <v>45012</v>
      </c>
      <c r="L2955" s="1475" t="s">
        <v>2127</v>
      </c>
      <c r="M2955" s="851">
        <v>5.0788E-2</v>
      </c>
      <c r="N2955" s="1475">
        <v>1.9552090333528669</v>
      </c>
      <c r="O2955" s="1475"/>
    </row>
    <row r="2956" spans="11:15">
      <c r="K2956" s="1471">
        <v>45013</v>
      </c>
      <c r="L2956" s="1475" t="s">
        <v>2127</v>
      </c>
      <c r="M2956" s="851">
        <v>5.0788E-2</v>
      </c>
      <c r="N2956" s="1475">
        <v>1.9562020449167261</v>
      </c>
      <c r="O2956" s="1475"/>
    </row>
    <row r="2957" spans="11:15">
      <c r="K2957" s="1471">
        <v>45014</v>
      </c>
      <c r="L2957" s="1475" t="s">
        <v>2127</v>
      </c>
      <c r="M2957" s="851">
        <v>5.0788E-2</v>
      </c>
      <c r="N2957" s="1475">
        <v>1.9571955608112985</v>
      </c>
      <c r="O2957" s="1475"/>
    </row>
    <row r="2958" spans="11:15">
      <c r="K2958" s="1471">
        <v>45015</v>
      </c>
      <c r="L2958" s="1475" t="s">
        <v>2127</v>
      </c>
      <c r="M2958" s="851">
        <v>5.0788E-2</v>
      </c>
      <c r="N2958" s="1475">
        <v>1.9581895812927235</v>
      </c>
      <c r="O2958" s="1475"/>
    </row>
    <row r="2959" spans="11:15">
      <c r="K2959" s="1471">
        <v>45016</v>
      </c>
      <c r="L2959" s="1475" t="s">
        <v>2127</v>
      </c>
      <c r="M2959" s="851">
        <v>5.0788E-2</v>
      </c>
      <c r="N2959" s="1475">
        <v>1.9591841066172704</v>
      </c>
      <c r="O2959" s="1475"/>
    </row>
    <row r="2960" spans="11:15">
      <c r="K2960" s="1471">
        <v>45017</v>
      </c>
      <c r="L2960" s="1475"/>
      <c r="M2960" s="851">
        <v>0</v>
      </c>
      <c r="N2960" s="1475">
        <v>1.9591841066172704</v>
      </c>
      <c r="O2960" s="1475"/>
    </row>
    <row r="2961" spans="11:15">
      <c r="K2961" s="1471">
        <v>45018</v>
      </c>
      <c r="L2961" s="1475"/>
      <c r="M2961" s="851">
        <v>0</v>
      </c>
      <c r="N2961" s="1475">
        <v>1.9591841066172704</v>
      </c>
      <c r="O2961" s="1475"/>
    </row>
    <row r="2962" spans="11:15">
      <c r="K2962" s="1471">
        <v>45019</v>
      </c>
      <c r="L2962" s="1475" t="s">
        <v>2127</v>
      </c>
      <c r="M2962" s="851">
        <v>5.0788E-2</v>
      </c>
      <c r="N2962" s="1475">
        <v>1.9601791370413393</v>
      </c>
      <c r="O2962" s="1475"/>
    </row>
    <row r="2963" spans="11:15">
      <c r="K2963" s="1471">
        <v>45020</v>
      </c>
      <c r="L2963" s="1475" t="s">
        <v>2127</v>
      </c>
      <c r="M2963" s="851">
        <v>5.0788E-2</v>
      </c>
      <c r="N2963" s="1475">
        <v>1.9611746728214599</v>
      </c>
      <c r="O2963" s="1475"/>
    </row>
    <row r="2964" spans="11:15">
      <c r="K2964" s="1471">
        <v>45021</v>
      </c>
      <c r="L2964" s="1475" t="s">
        <v>2127</v>
      </c>
      <c r="M2964" s="851">
        <v>5.0788E-2</v>
      </c>
      <c r="N2964" s="1475">
        <v>1.9621707142142923</v>
      </c>
      <c r="O2964" s="1475"/>
    </row>
    <row r="2965" spans="11:15">
      <c r="K2965" s="1471">
        <v>45022</v>
      </c>
      <c r="L2965" s="1475" t="s">
        <v>2127</v>
      </c>
      <c r="M2965" s="851">
        <v>5.0788E-2</v>
      </c>
      <c r="N2965" s="1475">
        <v>1.9631672614766276</v>
      </c>
      <c r="O2965" s="1475"/>
    </row>
    <row r="2966" spans="11:15">
      <c r="K2966" s="1471">
        <v>45023</v>
      </c>
      <c r="L2966" s="1475"/>
      <c r="M2966" s="851">
        <v>0</v>
      </c>
      <c r="N2966" s="1475">
        <v>1.9631672614766276</v>
      </c>
      <c r="O2966" s="1475"/>
    </row>
    <row r="2967" spans="11:15">
      <c r="K2967" s="1471">
        <v>45024</v>
      </c>
      <c r="L2967" s="1475"/>
      <c r="M2967" s="851">
        <v>0</v>
      </c>
      <c r="N2967" s="1475">
        <v>1.9631672614766276</v>
      </c>
      <c r="O2967" s="1475"/>
    </row>
    <row r="2968" spans="11:15">
      <c r="K2968" s="1471">
        <v>45025</v>
      </c>
      <c r="L2968" s="1475"/>
      <c r="M2968" s="851">
        <v>0</v>
      </c>
      <c r="N2968" s="1475">
        <v>1.9631672614766276</v>
      </c>
      <c r="O2968" s="1475"/>
    </row>
    <row r="2969" spans="11:15">
      <c r="K2969" s="1471">
        <v>45026</v>
      </c>
      <c r="L2969" s="1475" t="s">
        <v>2127</v>
      </c>
      <c r="M2969" s="851">
        <v>5.0788E-2</v>
      </c>
      <c r="N2969" s="1475">
        <v>1.9641643148653865</v>
      </c>
      <c r="O2969" s="1475"/>
    </row>
    <row r="2970" spans="11:15">
      <c r="K2970" s="1471">
        <v>45027</v>
      </c>
      <c r="L2970" s="1475" t="s">
        <v>2127</v>
      </c>
      <c r="M2970" s="851">
        <v>5.0788E-2</v>
      </c>
      <c r="N2970" s="1475">
        <v>1.9651618746376203</v>
      </c>
      <c r="O2970" s="1475"/>
    </row>
    <row r="2971" spans="11:15">
      <c r="K2971" s="1471">
        <v>45028</v>
      </c>
      <c r="L2971" s="1475" t="s">
        <v>2127</v>
      </c>
      <c r="M2971" s="851">
        <v>5.0788E-2</v>
      </c>
      <c r="N2971" s="1475">
        <v>1.9661599410505113</v>
      </c>
      <c r="O2971" s="1475"/>
    </row>
    <row r="2972" spans="11:15">
      <c r="K2972" s="1471">
        <v>45029</v>
      </c>
      <c r="L2972" s="1475" t="s">
        <v>2127</v>
      </c>
      <c r="M2972" s="851">
        <v>5.0788E-2</v>
      </c>
      <c r="N2972" s="1475">
        <v>1.9671585143613721</v>
      </c>
      <c r="O2972" s="1475"/>
    </row>
    <row r="2973" spans="11:15">
      <c r="K2973" s="1471">
        <v>45030</v>
      </c>
      <c r="L2973" s="1475" t="s">
        <v>2127</v>
      </c>
      <c r="M2973" s="851">
        <v>5.0788E-2</v>
      </c>
      <c r="N2973" s="1475">
        <v>1.968157594827646</v>
      </c>
      <c r="O2973" s="1475"/>
    </row>
    <row r="2974" spans="11:15">
      <c r="K2974" s="1471">
        <v>45031</v>
      </c>
      <c r="L2974" s="1475"/>
      <c r="M2974" s="851">
        <v>0</v>
      </c>
      <c r="N2974" s="1475">
        <v>1.968157594827646</v>
      </c>
      <c r="O2974" s="1475"/>
    </row>
    <row r="2975" spans="11:15">
      <c r="K2975" s="1471">
        <v>45032</v>
      </c>
      <c r="L2975" s="1475"/>
      <c r="M2975" s="851">
        <v>0</v>
      </c>
      <c r="N2975" s="1475">
        <v>1.968157594827646</v>
      </c>
      <c r="O2975" s="1475"/>
    </row>
    <row r="2976" spans="11:15">
      <c r="K2976" s="1471">
        <v>45033</v>
      </c>
      <c r="L2976" s="1475" t="s">
        <v>2127</v>
      </c>
      <c r="M2976" s="851">
        <v>5.0788E-2</v>
      </c>
      <c r="N2976" s="1475">
        <v>1.969157182706907</v>
      </c>
      <c r="O2976" s="1475"/>
    </row>
    <row r="2977" spans="11:15">
      <c r="K2977" s="1471">
        <v>45034</v>
      </c>
      <c r="L2977" s="1475" t="s">
        <v>2127</v>
      </c>
      <c r="M2977" s="851">
        <v>5.0788E-2</v>
      </c>
      <c r="N2977" s="1475">
        <v>1.9701572782568602</v>
      </c>
      <c r="O2977" s="1475"/>
    </row>
    <row r="2978" spans="11:15">
      <c r="K2978" s="1471">
        <v>45035</v>
      </c>
      <c r="L2978" s="1475" t="s">
        <v>2127</v>
      </c>
      <c r="M2978" s="851">
        <v>5.0788E-2</v>
      </c>
      <c r="N2978" s="1475">
        <v>1.9711578817353412</v>
      </c>
      <c r="O2978" s="1475"/>
    </row>
    <row r="2979" spans="11:15">
      <c r="K2979" s="1471">
        <v>45036</v>
      </c>
      <c r="L2979" s="1475" t="s">
        <v>2127</v>
      </c>
      <c r="M2979" s="851">
        <v>5.0788E-2</v>
      </c>
      <c r="N2979" s="1475">
        <v>1.972158993400317</v>
      </c>
      <c r="O2979" s="1475"/>
    </row>
    <row r="2980" spans="11:15">
      <c r="K2980" s="1471">
        <v>45037</v>
      </c>
      <c r="L2980" s="1475"/>
      <c r="M2980" s="851">
        <v>0</v>
      </c>
      <c r="N2980" s="1475">
        <v>1.972158993400317</v>
      </c>
      <c r="O2980" s="1475"/>
    </row>
    <row r="2981" spans="11:15">
      <c r="K2981" s="1471">
        <v>45038</v>
      </c>
      <c r="L2981" s="1475"/>
      <c r="M2981" s="851">
        <v>0</v>
      </c>
      <c r="N2981" s="1475">
        <v>1.972158993400317</v>
      </c>
      <c r="O2981" s="1475"/>
    </row>
    <row r="2982" spans="11:15">
      <c r="K2982" s="1471">
        <v>45039</v>
      </c>
      <c r="L2982" s="1475"/>
      <c r="M2982" s="851">
        <v>0</v>
      </c>
      <c r="N2982" s="1475">
        <v>1.972158993400317</v>
      </c>
      <c r="O2982" s="1475"/>
    </row>
    <row r="2983" spans="11:15">
      <c r="K2983" s="1471">
        <v>45040</v>
      </c>
      <c r="L2983" s="1475" t="s">
        <v>2127</v>
      </c>
      <c r="M2983" s="851">
        <v>5.0788E-2</v>
      </c>
      <c r="N2983" s="1475">
        <v>1.9731606135098851</v>
      </c>
      <c r="O2983" s="1475"/>
    </row>
    <row r="2984" spans="11:15">
      <c r="K2984" s="1471">
        <v>45041</v>
      </c>
      <c r="L2984" s="1475" t="s">
        <v>2127</v>
      </c>
      <c r="M2984" s="851">
        <v>5.0788E-2</v>
      </c>
      <c r="N2984" s="1475">
        <v>1.9741627423222745</v>
      </c>
      <c r="O2984" s="1475"/>
    </row>
    <row r="2985" spans="11:15">
      <c r="K2985" s="1471">
        <v>45042</v>
      </c>
      <c r="L2985" s="1475" t="s">
        <v>2127</v>
      </c>
      <c r="M2985" s="851">
        <v>5.0788E-2</v>
      </c>
      <c r="N2985" s="1475">
        <v>1.9751653800958451</v>
      </c>
      <c r="O2985" s="1475"/>
    </row>
    <row r="2986" spans="11:15">
      <c r="K2986" s="1471">
        <v>45043</v>
      </c>
      <c r="L2986" s="1475" t="s">
        <v>2127</v>
      </c>
      <c r="M2986" s="851">
        <v>5.0788E-2</v>
      </c>
      <c r="N2986" s="1475">
        <v>1.9761685270890883</v>
      </c>
      <c r="O2986" s="1475"/>
    </row>
    <row r="2987" spans="11:15">
      <c r="K2987" s="1471">
        <v>45044</v>
      </c>
      <c r="L2987" s="1475" t="s">
        <v>2127</v>
      </c>
      <c r="M2987" s="851">
        <v>5.0788E-2</v>
      </c>
      <c r="N2987" s="1475">
        <v>1.9771721835606264</v>
      </c>
      <c r="O2987" s="1475"/>
    </row>
    <row r="2988" spans="11:15">
      <c r="K2988" s="1471">
        <v>45045</v>
      </c>
      <c r="L2988" s="1475"/>
      <c r="M2988" s="851">
        <v>0</v>
      </c>
      <c r="N2988" s="1475">
        <v>1.9771721835606264</v>
      </c>
      <c r="O2988" s="1475"/>
    </row>
    <row r="2989" spans="11:15">
      <c r="K2989" s="1471">
        <v>45046</v>
      </c>
      <c r="L2989" s="1475"/>
      <c r="M2989" s="851">
        <v>0</v>
      </c>
      <c r="N2989" s="1475">
        <v>1.9771721835606264</v>
      </c>
      <c r="O2989" s="1475"/>
    </row>
    <row r="2990" spans="11:15">
      <c r="K2990" s="1471">
        <v>45047</v>
      </c>
      <c r="L2990" s="1475"/>
      <c r="M2990" s="851">
        <v>0</v>
      </c>
      <c r="N2990" s="1475">
        <v>1.9771721835606264</v>
      </c>
      <c r="O2990" s="1475"/>
    </row>
    <row r="2991" spans="11:15">
      <c r="K2991" s="1471">
        <v>45048</v>
      </c>
      <c r="L2991" s="1475" t="s">
        <v>2127</v>
      </c>
      <c r="M2991" s="851">
        <v>5.0788E-2</v>
      </c>
      <c r="N2991" s="1475">
        <v>1.9781763497692133</v>
      </c>
      <c r="O2991" s="1475"/>
    </row>
    <row r="2992" spans="11:15">
      <c r="K2992" s="1471">
        <v>45049</v>
      </c>
      <c r="L2992" s="1475" t="s">
        <v>2127</v>
      </c>
      <c r="M2992" s="851">
        <v>5.0788E-2</v>
      </c>
      <c r="N2992" s="1475">
        <v>1.9791810259737341</v>
      </c>
      <c r="O2992" s="1475"/>
    </row>
    <row r="2993" spans="11:15">
      <c r="K2993" s="1471">
        <v>45050</v>
      </c>
      <c r="L2993" s="1475" t="s">
        <v>2127</v>
      </c>
      <c r="M2993" s="851">
        <v>5.0788E-2</v>
      </c>
      <c r="N2993" s="1475">
        <v>1.9801862124332057</v>
      </c>
      <c r="O2993" s="1475"/>
    </row>
    <row r="2994" spans="11:15">
      <c r="K2994" s="1471">
        <v>45051</v>
      </c>
      <c r="L2994" s="1475" t="s">
        <v>2127</v>
      </c>
      <c r="M2994" s="851">
        <v>5.0788E-2</v>
      </c>
      <c r="N2994" s="1475">
        <v>1.9811919094067763</v>
      </c>
      <c r="O2994" s="1475"/>
    </row>
    <row r="2995" spans="11:15">
      <c r="K2995" s="1471">
        <v>45052</v>
      </c>
      <c r="L2995" s="1475"/>
      <c r="M2995" s="851">
        <v>0</v>
      </c>
      <c r="N2995" s="1475">
        <v>1.9811919094067763</v>
      </c>
      <c r="O2995" s="1475"/>
    </row>
    <row r="2996" spans="11:15">
      <c r="K2996" s="1471">
        <v>45053</v>
      </c>
      <c r="L2996" s="1475"/>
      <c r="M2996" s="851">
        <v>0</v>
      </c>
      <c r="N2996" s="1475">
        <v>1.9811919094067763</v>
      </c>
      <c r="O2996" s="1475"/>
    </row>
    <row r="2997" spans="11:15">
      <c r="K2997" s="1471">
        <v>45054</v>
      </c>
      <c r="L2997" s="1475" t="s">
        <v>2127</v>
      </c>
      <c r="M2997" s="851">
        <v>5.0788E-2</v>
      </c>
      <c r="N2997" s="1475">
        <v>1.9821981171537257</v>
      </c>
      <c r="O2997" s="1475"/>
    </row>
    <row r="2998" spans="11:15">
      <c r="K2998" s="1471">
        <v>45055</v>
      </c>
      <c r="L2998" s="1475" t="s">
        <v>2127</v>
      </c>
      <c r="M2998" s="851">
        <v>5.0788E-2</v>
      </c>
      <c r="N2998" s="1475">
        <v>1.9832048359334657</v>
      </c>
      <c r="O2998" s="1475"/>
    </row>
    <row r="2999" spans="11:15">
      <c r="K2999" s="1471">
        <v>45056</v>
      </c>
      <c r="L2999" s="1475" t="s">
        <v>2127</v>
      </c>
      <c r="M2999" s="851">
        <v>5.0788E-2</v>
      </c>
      <c r="N2999" s="1475">
        <v>1.9842120660055396</v>
      </c>
      <c r="O2999" s="1475"/>
    </row>
    <row r="3000" spans="11:15">
      <c r="K3000" s="1471">
        <v>45057</v>
      </c>
      <c r="L3000" s="1475" t="s">
        <v>2127</v>
      </c>
      <c r="M3000" s="851">
        <v>5.0788E-2</v>
      </c>
      <c r="N3000" s="1475">
        <v>1.9852198076296226</v>
      </c>
      <c r="O3000" s="1475"/>
    </row>
    <row r="3001" spans="11:15">
      <c r="K3001" s="1471">
        <v>45058</v>
      </c>
      <c r="L3001" s="1475" t="s">
        <v>2127</v>
      </c>
      <c r="M3001" s="851">
        <v>5.0788E-2</v>
      </c>
      <c r="N3001" s="1475">
        <v>1.9862280610655216</v>
      </c>
      <c r="O3001" s="1475"/>
    </row>
    <row r="3002" spans="11:15">
      <c r="K3002" s="1471">
        <v>45059</v>
      </c>
      <c r="L3002" s="1475"/>
      <c r="M3002" s="851">
        <v>0</v>
      </c>
      <c r="N3002" s="1475">
        <v>1.9862280610655216</v>
      </c>
      <c r="O3002" s="1475"/>
    </row>
    <row r="3003" spans="11:15">
      <c r="K3003" s="1471">
        <v>45060</v>
      </c>
      <c r="L3003" s="1475"/>
      <c r="M3003" s="851">
        <v>0</v>
      </c>
      <c r="N3003" s="1475">
        <v>1.9862280610655216</v>
      </c>
      <c r="O3003" s="1475"/>
    </row>
    <row r="3004" spans="11:15">
      <c r="K3004" s="1471">
        <v>45061</v>
      </c>
      <c r="L3004" s="1475" t="s">
        <v>2127</v>
      </c>
      <c r="M3004" s="851">
        <v>5.0788E-2</v>
      </c>
      <c r="N3004" s="1475">
        <v>1.9872368265731757</v>
      </c>
      <c r="O3004" s="1475"/>
    </row>
    <row r="3005" spans="11:15">
      <c r="K3005" s="1471">
        <v>45062</v>
      </c>
      <c r="L3005" s="1475" t="s">
        <v>2127</v>
      </c>
      <c r="M3005" s="851">
        <v>5.0788E-2</v>
      </c>
      <c r="N3005" s="1475">
        <v>1.9882461044126558</v>
      </c>
      <c r="O3005" s="1475"/>
    </row>
    <row r="3006" spans="11:15">
      <c r="K3006" s="1471">
        <v>45063</v>
      </c>
      <c r="L3006" s="1475" t="s">
        <v>2127</v>
      </c>
      <c r="M3006" s="851">
        <v>5.0788E-2</v>
      </c>
      <c r="N3006" s="1475">
        <v>1.989255894844165</v>
      </c>
      <c r="O3006" s="1475"/>
    </row>
    <row r="3007" spans="11:15">
      <c r="K3007" s="1471">
        <v>45064</v>
      </c>
      <c r="L3007" s="1475" t="s">
        <v>2127</v>
      </c>
      <c r="M3007" s="851">
        <v>5.0788E-2</v>
      </c>
      <c r="N3007" s="1475">
        <v>1.9902661981280385</v>
      </c>
      <c r="O3007" s="1475"/>
    </row>
    <row r="3008" spans="11:15">
      <c r="K3008" s="1471">
        <v>45065</v>
      </c>
      <c r="L3008" s="1475" t="s">
        <v>2127</v>
      </c>
      <c r="M3008" s="851">
        <v>5.0788E-2</v>
      </c>
      <c r="N3008" s="1475">
        <v>1.9912770145247438</v>
      </c>
      <c r="O3008" s="1475"/>
    </row>
    <row r="3009" spans="11:15">
      <c r="K3009" s="1471">
        <v>45066</v>
      </c>
      <c r="L3009" s="1475"/>
      <c r="M3009" s="851">
        <v>0</v>
      </c>
      <c r="N3009" s="1475">
        <v>1.9912770145247438</v>
      </c>
      <c r="O3009" s="1475"/>
    </row>
    <row r="3010" spans="11:15">
      <c r="K3010" s="1471">
        <v>45067</v>
      </c>
      <c r="L3010" s="1475"/>
      <c r="M3010" s="851">
        <v>0</v>
      </c>
      <c r="N3010" s="1475">
        <v>1.9912770145247438</v>
      </c>
      <c r="O3010" s="1475"/>
    </row>
    <row r="3011" spans="11:15">
      <c r="K3011" s="1471">
        <v>45068</v>
      </c>
      <c r="L3011" s="1475" t="s">
        <v>2127</v>
      </c>
      <c r="M3011" s="851">
        <v>5.0788E-2</v>
      </c>
      <c r="N3011" s="1475">
        <v>1.9922883442948807</v>
      </c>
      <c r="O3011" s="1475"/>
    </row>
    <row r="3012" spans="11:15">
      <c r="K3012" s="1471">
        <v>45069</v>
      </c>
      <c r="L3012" s="1475" t="s">
        <v>2127</v>
      </c>
      <c r="M3012" s="851">
        <v>5.0788E-2</v>
      </c>
      <c r="N3012" s="1475">
        <v>1.9933001876991812</v>
      </c>
      <c r="O3012" s="1475"/>
    </row>
    <row r="3013" spans="11:15">
      <c r="K3013" s="1471">
        <v>45070</v>
      </c>
      <c r="L3013" s="1475" t="s">
        <v>2127</v>
      </c>
      <c r="M3013" s="851">
        <v>5.0788E-2</v>
      </c>
      <c r="N3013" s="1475">
        <v>1.9943125449985097</v>
      </c>
      <c r="O3013" s="1475"/>
    </row>
    <row r="3014" spans="11:15">
      <c r="K3014" s="1471">
        <v>45071</v>
      </c>
      <c r="L3014" s="1475" t="s">
        <v>2127</v>
      </c>
      <c r="M3014" s="851">
        <v>5.0788E-2</v>
      </c>
      <c r="N3014" s="1475">
        <v>1.9953254164538636</v>
      </c>
      <c r="O3014" s="1475"/>
    </row>
    <row r="3015" spans="11:15">
      <c r="K3015" s="1471">
        <v>45072</v>
      </c>
      <c r="L3015" s="1475" t="s">
        <v>2127</v>
      </c>
      <c r="M3015" s="851">
        <v>5.0788E-2</v>
      </c>
      <c r="N3015" s="1475">
        <v>1.9963388023263722</v>
      </c>
      <c r="O3015" s="1475"/>
    </row>
    <row r="3016" spans="11:15">
      <c r="K3016" s="1471">
        <v>45073</v>
      </c>
      <c r="L3016" s="1475"/>
      <c r="M3016" s="851">
        <v>0</v>
      </c>
      <c r="N3016" s="1475">
        <v>1.9963388023263722</v>
      </c>
      <c r="O3016" s="1475"/>
    </row>
    <row r="3017" spans="11:15">
      <c r="K3017" s="1471">
        <v>45074</v>
      </c>
      <c r="L3017" s="1475"/>
      <c r="M3017" s="851">
        <v>0</v>
      </c>
      <c r="N3017" s="1475">
        <v>1.9963388023263722</v>
      </c>
      <c r="O3017" s="1475"/>
    </row>
    <row r="3018" spans="11:15">
      <c r="K3018" s="1471">
        <v>45075</v>
      </c>
      <c r="L3018" s="1475" t="s">
        <v>2127</v>
      </c>
      <c r="M3018" s="851">
        <v>5.0788E-2</v>
      </c>
      <c r="N3018" s="1475">
        <v>1.9973527028772977</v>
      </c>
      <c r="O3018" s="1475"/>
    </row>
    <row r="3019" spans="11:15">
      <c r="K3019" s="1471">
        <v>45076</v>
      </c>
      <c r="L3019" s="1475" t="s">
        <v>2127</v>
      </c>
      <c r="M3019" s="851">
        <v>5.0788E-2</v>
      </c>
      <c r="N3019" s="1475">
        <v>1.9983671183680352</v>
      </c>
      <c r="O3019" s="1475"/>
    </row>
    <row r="3020" spans="11:15">
      <c r="K3020" s="1471">
        <v>45077</v>
      </c>
      <c r="L3020" s="1475" t="s">
        <v>2127</v>
      </c>
      <c r="M3020" s="851">
        <v>5.0788E-2</v>
      </c>
      <c r="N3020" s="1475">
        <v>1.999382049060112</v>
      </c>
      <c r="O3020" s="1475"/>
    </row>
    <row r="3021" spans="11:15">
      <c r="K3021" s="1471">
        <v>45078</v>
      </c>
      <c r="L3021" s="1475" t="s">
        <v>2127</v>
      </c>
      <c r="M3021" s="851">
        <v>5.0788E-2</v>
      </c>
      <c r="N3021" s="1475">
        <v>2.0003974952151888</v>
      </c>
      <c r="O3021" s="1475"/>
    </row>
    <row r="3022" spans="11:15">
      <c r="K3022" s="1471">
        <v>45079</v>
      </c>
      <c r="L3022" s="1475" t="s">
        <v>2127</v>
      </c>
      <c r="M3022" s="851">
        <v>5.0788E-2</v>
      </c>
      <c r="N3022" s="1475">
        <v>2.0014134570950586</v>
      </c>
      <c r="O3022" s="1475"/>
    </row>
    <row r="3023" spans="11:15">
      <c r="K3023" s="1471">
        <v>45080</v>
      </c>
      <c r="L3023" s="1475"/>
      <c r="M3023" s="851">
        <v>0</v>
      </c>
      <c r="N3023" s="1475">
        <v>2.0014134570950586</v>
      </c>
      <c r="O3023" s="1475"/>
    </row>
    <row r="3024" spans="11:15">
      <c r="K3024" s="1471">
        <v>45081</v>
      </c>
      <c r="L3024" s="1475"/>
      <c r="M3024" s="851">
        <v>0</v>
      </c>
      <c r="N3024" s="1475">
        <v>2.0014134570950586</v>
      </c>
      <c r="O3024" s="1475"/>
    </row>
    <row r="3025" spans="11:15">
      <c r="K3025" s="1471">
        <v>45082</v>
      </c>
      <c r="L3025" s="1475" t="s">
        <v>2127</v>
      </c>
      <c r="M3025" s="851">
        <v>5.0788E-2</v>
      </c>
      <c r="N3025" s="1475">
        <v>2.0024299349616479</v>
      </c>
      <c r="O3025" s="1475"/>
    </row>
    <row r="3026" spans="11:15">
      <c r="K3026" s="1471">
        <v>45083</v>
      </c>
      <c r="L3026" s="1475" t="s">
        <v>2127</v>
      </c>
      <c r="M3026" s="851">
        <v>5.0788E-2</v>
      </c>
      <c r="N3026" s="1475">
        <v>2.003446929077016</v>
      </c>
      <c r="O3026" s="1475"/>
    </row>
    <row r="3027" spans="11:15">
      <c r="K3027" s="1471">
        <v>45084</v>
      </c>
      <c r="L3027" s="1475" t="s">
        <v>2127</v>
      </c>
      <c r="M3027" s="851">
        <v>5.0788E-2</v>
      </c>
      <c r="N3027" s="1475">
        <v>2.0044644397033555</v>
      </c>
      <c r="O3027" s="1475"/>
    </row>
    <row r="3028" spans="11:15">
      <c r="K3028" s="1471">
        <v>45085</v>
      </c>
      <c r="L3028" s="1475"/>
      <c r="M3028" s="851">
        <v>0</v>
      </c>
      <c r="N3028" s="1475">
        <v>2.0044644397033555</v>
      </c>
      <c r="O3028" s="1475"/>
    </row>
    <row r="3029" spans="11:15">
      <c r="K3029" s="1471">
        <v>45086</v>
      </c>
      <c r="L3029" s="1475" t="s">
        <v>2127</v>
      </c>
      <c r="M3029" s="851">
        <v>5.0788E-2</v>
      </c>
      <c r="N3029" s="1475">
        <v>2.0054824671029921</v>
      </c>
      <c r="O3029" s="1475"/>
    </row>
    <row r="3030" spans="11:15">
      <c r="K3030" s="1471">
        <v>45087</v>
      </c>
      <c r="L3030" s="1475"/>
      <c r="M3030" s="851">
        <v>0</v>
      </c>
      <c r="N3030" s="1475">
        <v>2.0054824671029921</v>
      </c>
      <c r="O3030" s="1475"/>
    </row>
    <row r="3031" spans="11:15">
      <c r="K3031" s="1471">
        <v>45088</v>
      </c>
      <c r="L3031" s="1475"/>
      <c r="M3031" s="851">
        <v>0</v>
      </c>
      <c r="N3031" s="1475">
        <v>2.0054824671029921</v>
      </c>
      <c r="O3031" s="1475"/>
    </row>
    <row r="3032" spans="11:15">
      <c r="K3032" s="1471">
        <v>45089</v>
      </c>
      <c r="L3032" s="1475" t="s">
        <v>2127</v>
      </c>
      <c r="M3032" s="851">
        <v>5.0788E-2</v>
      </c>
      <c r="N3032" s="1475">
        <v>2.0065010115383846</v>
      </c>
      <c r="O3032" s="1475"/>
    </row>
    <row r="3033" spans="11:15">
      <c r="K3033" s="1471">
        <v>45090</v>
      </c>
      <c r="L3033" s="1475" t="s">
        <v>2127</v>
      </c>
      <c r="M3033" s="851">
        <v>5.0788E-2</v>
      </c>
      <c r="N3033" s="1475">
        <v>2.0075200732721248</v>
      </c>
      <c r="O3033" s="1475"/>
    </row>
    <row r="3034" spans="11:15">
      <c r="K3034" s="1471">
        <v>45091</v>
      </c>
      <c r="L3034" s="1475" t="s">
        <v>2127</v>
      </c>
      <c r="M3034" s="851">
        <v>5.0788E-2</v>
      </c>
      <c r="N3034" s="1475">
        <v>2.0085396525669381</v>
      </c>
      <c r="O3034" s="1475"/>
    </row>
    <row r="3035" spans="11:15">
      <c r="K3035" s="1471">
        <v>45092</v>
      </c>
      <c r="L3035" s="1475" t="s">
        <v>2127</v>
      </c>
      <c r="M3035" s="851">
        <v>5.0788E-2</v>
      </c>
      <c r="N3035" s="1475">
        <v>2.0095597496856836</v>
      </c>
      <c r="O3035" s="1475"/>
    </row>
    <row r="3036" spans="11:15">
      <c r="K3036" s="1471">
        <v>45093</v>
      </c>
      <c r="L3036" s="1475" t="s">
        <v>2127</v>
      </c>
      <c r="M3036" s="851">
        <v>5.0788E-2</v>
      </c>
      <c r="N3036" s="1475">
        <v>2.0105803648913541</v>
      </c>
      <c r="O3036" s="1475"/>
    </row>
    <row r="3037" spans="11:15">
      <c r="K3037" s="1471">
        <v>45094</v>
      </c>
      <c r="L3037" s="1475"/>
      <c r="M3037" s="851">
        <v>0</v>
      </c>
      <c r="N3037" s="1475">
        <v>2.0105803648913541</v>
      </c>
      <c r="O3037" s="1475"/>
    </row>
    <row r="3038" spans="11:15">
      <c r="K3038" s="1471">
        <v>45095</v>
      </c>
      <c r="L3038" s="1475"/>
      <c r="M3038" s="851">
        <v>0</v>
      </c>
      <c r="N3038" s="1475">
        <v>2.0105803648913541</v>
      </c>
      <c r="O3038" s="1475"/>
    </row>
    <row r="3039" spans="11:15">
      <c r="K3039" s="1471">
        <v>45096</v>
      </c>
      <c r="L3039" s="1475" t="s">
        <v>2127</v>
      </c>
      <c r="M3039" s="851">
        <v>5.0788E-2</v>
      </c>
      <c r="N3039" s="1475">
        <v>2.0116014984470749</v>
      </c>
      <c r="O3039" s="1475"/>
    </row>
    <row r="3040" spans="11:15">
      <c r="K3040" s="1471">
        <v>45097</v>
      </c>
      <c r="L3040" s="1475" t="s">
        <v>2127</v>
      </c>
      <c r="M3040" s="851">
        <v>5.0788E-2</v>
      </c>
      <c r="N3040" s="1475">
        <v>2.0126231506161063</v>
      </c>
      <c r="O3040" s="1475"/>
    </row>
    <row r="3041" spans="11:15">
      <c r="K3041" s="1471">
        <v>45098</v>
      </c>
      <c r="L3041" s="1475" t="s">
        <v>2127</v>
      </c>
      <c r="M3041" s="851">
        <v>5.0788E-2</v>
      </c>
      <c r="N3041" s="1475">
        <v>2.0136453216618411</v>
      </c>
      <c r="O3041" s="1475"/>
    </row>
    <row r="3042" spans="11:15">
      <c r="K3042" s="1471">
        <v>45099</v>
      </c>
      <c r="L3042" s="1475" t="s">
        <v>2127</v>
      </c>
      <c r="M3042" s="851">
        <v>5.0788E-2</v>
      </c>
      <c r="N3042" s="1475">
        <v>2.0146680118478066</v>
      </c>
      <c r="O3042" s="1475"/>
    </row>
    <row r="3043" spans="11:15">
      <c r="K3043" s="1471">
        <v>45100</v>
      </c>
      <c r="L3043" s="1475" t="s">
        <v>2127</v>
      </c>
      <c r="M3043" s="851">
        <v>5.0788E-2</v>
      </c>
      <c r="N3043" s="1475">
        <v>2.0156912214376641</v>
      </c>
      <c r="O3043" s="1475"/>
    </row>
    <row r="3044" spans="11:15">
      <c r="K3044" s="1471">
        <v>45101</v>
      </c>
      <c r="L3044" s="1475"/>
      <c r="M3044" s="851">
        <v>0</v>
      </c>
      <c r="N3044" s="1475">
        <v>2.0156912214376641</v>
      </c>
      <c r="O3044" s="1475"/>
    </row>
    <row r="3045" spans="11:15">
      <c r="K3045" s="1471">
        <v>45102</v>
      </c>
      <c r="L3045" s="1475"/>
      <c r="M3045" s="851">
        <v>0</v>
      </c>
      <c r="N3045" s="1475">
        <v>2.0156912214376641</v>
      </c>
      <c r="O3045" s="1475"/>
    </row>
    <row r="3046" spans="11:15">
      <c r="K3046" s="1471">
        <v>45103</v>
      </c>
      <c r="L3046" s="1475" t="s">
        <v>2127</v>
      </c>
      <c r="M3046" s="851">
        <v>5.0788E-2</v>
      </c>
      <c r="N3046" s="1475">
        <v>2.0167149506952078</v>
      </c>
      <c r="O3046" s="1475"/>
    </row>
    <row r="3047" spans="11:15">
      <c r="K3047" s="1471">
        <v>45104</v>
      </c>
      <c r="L3047" s="1475" t="s">
        <v>2127</v>
      </c>
      <c r="M3047" s="851">
        <v>5.0788E-2</v>
      </c>
      <c r="N3047" s="1475">
        <v>2.017739199884367</v>
      </c>
      <c r="O3047" s="1475"/>
    </row>
    <row r="3048" spans="11:15">
      <c r="K3048" s="1471">
        <v>45105</v>
      </c>
      <c r="L3048" s="1475" t="s">
        <v>2127</v>
      </c>
      <c r="M3048" s="851">
        <v>5.0788E-2</v>
      </c>
      <c r="N3048" s="1475">
        <v>2.0187639692692043</v>
      </c>
      <c r="O3048" s="1475"/>
    </row>
    <row r="3049" spans="11:15">
      <c r="K3049" s="1471">
        <v>45106</v>
      </c>
      <c r="L3049" s="1475" t="s">
        <v>2127</v>
      </c>
      <c r="M3049" s="851">
        <v>5.0788E-2</v>
      </c>
      <c r="N3049" s="1475">
        <v>2.0197892591139168</v>
      </c>
      <c r="O3049" s="1475"/>
    </row>
    <row r="3050" spans="11:15">
      <c r="K3050" s="1471">
        <v>45107</v>
      </c>
      <c r="L3050" s="1475" t="s">
        <v>2127</v>
      </c>
      <c r="M3050" s="851">
        <v>5.0788E-2</v>
      </c>
      <c r="N3050" s="1475">
        <v>2.0208150696828358</v>
      </c>
      <c r="O3050" s="1475"/>
    </row>
    <row r="3051" spans="11:15">
      <c r="K3051" s="1471">
        <v>45108</v>
      </c>
      <c r="L3051" s="1475"/>
      <c r="M3051" s="851">
        <v>0</v>
      </c>
      <c r="N3051" s="1475">
        <v>2.0208150696828358</v>
      </c>
      <c r="O3051" s="1475"/>
    </row>
    <row r="3052" spans="11:15">
      <c r="K3052" s="1471">
        <v>45109</v>
      </c>
      <c r="L3052" s="1475"/>
      <c r="M3052" s="851">
        <v>0</v>
      </c>
      <c r="N3052" s="1475">
        <v>2.0208150696828358</v>
      </c>
      <c r="O3052" s="1475"/>
    </row>
    <row r="3053" spans="11:15">
      <c r="K3053" s="1471">
        <v>45110</v>
      </c>
      <c r="L3053" s="1475" t="s">
        <v>2127</v>
      </c>
      <c r="M3053" s="851">
        <v>5.0788E-2</v>
      </c>
      <c r="N3053" s="1475">
        <v>2.0218414012404264</v>
      </c>
      <c r="O3053" s="1475"/>
    </row>
    <row r="3054" spans="11:15">
      <c r="K3054" s="1471">
        <v>45111</v>
      </c>
      <c r="L3054" s="1475" t="s">
        <v>2127</v>
      </c>
      <c r="M3054" s="851">
        <v>5.0788E-2</v>
      </c>
      <c r="N3054" s="1475">
        <v>2.0228682540512883</v>
      </c>
      <c r="O3054" s="1475"/>
    </row>
    <row r="3055" spans="11:15">
      <c r="K3055" s="1471">
        <v>45112</v>
      </c>
      <c r="L3055" s="1475" t="s">
        <v>2127</v>
      </c>
      <c r="M3055" s="851">
        <v>5.0788E-2</v>
      </c>
      <c r="N3055" s="1475">
        <v>2.0238956283801559</v>
      </c>
      <c r="O3055" s="1475"/>
    </row>
    <row r="3056" spans="11:15">
      <c r="K3056" s="1471">
        <v>45113</v>
      </c>
      <c r="L3056" s="1475" t="s">
        <v>2127</v>
      </c>
      <c r="M3056" s="851">
        <v>5.0788E-2</v>
      </c>
      <c r="N3056" s="1475">
        <v>2.0249235244918977</v>
      </c>
      <c r="O3056" s="1475"/>
    </row>
    <row r="3057" spans="11:15">
      <c r="K3057" s="1471">
        <v>45114</v>
      </c>
      <c r="L3057" s="1475" t="s">
        <v>2127</v>
      </c>
      <c r="M3057" s="851">
        <v>5.0788E-2</v>
      </c>
      <c r="N3057" s="1475">
        <v>2.0259519426515169</v>
      </c>
      <c r="O3057" s="1475"/>
    </row>
    <row r="3058" spans="11:15">
      <c r="K3058" s="1471">
        <v>45115</v>
      </c>
      <c r="L3058" s="1475"/>
      <c r="M3058" s="851">
        <v>0</v>
      </c>
      <c r="N3058" s="1475">
        <v>2.0259519426515169</v>
      </c>
      <c r="O3058" s="1475"/>
    </row>
    <row r="3059" spans="11:15">
      <c r="K3059" s="1471">
        <v>45116</v>
      </c>
      <c r="L3059" s="1475"/>
      <c r="M3059" s="851">
        <v>0</v>
      </c>
      <c r="N3059" s="1475">
        <v>2.0259519426515169</v>
      </c>
      <c r="O3059" s="1475"/>
    </row>
    <row r="3060" spans="11:15">
      <c r="K3060" s="1471">
        <v>45117</v>
      </c>
      <c r="L3060" s="1475" t="s">
        <v>2127</v>
      </c>
      <c r="M3060" s="851">
        <v>5.0788E-2</v>
      </c>
      <c r="N3060" s="1475">
        <v>2.0269808831241507</v>
      </c>
      <c r="O3060" s="1475"/>
    </row>
    <row r="3061" spans="11:15">
      <c r="K3061" s="1471">
        <v>45118</v>
      </c>
      <c r="L3061" s="1475" t="s">
        <v>2127</v>
      </c>
      <c r="M3061" s="851">
        <v>5.0788E-2</v>
      </c>
      <c r="N3061" s="1475">
        <v>2.0280103461750718</v>
      </c>
      <c r="O3061" s="1475"/>
    </row>
    <row r="3062" spans="11:15">
      <c r="K3062" s="1471">
        <v>45119</v>
      </c>
      <c r="L3062" s="1475" t="s">
        <v>2127</v>
      </c>
      <c r="M3062" s="851">
        <v>5.0788E-2</v>
      </c>
      <c r="N3062" s="1475">
        <v>2.029040332069687</v>
      </c>
      <c r="O3062" s="1475"/>
    </row>
    <row r="3063" spans="11:15">
      <c r="K3063" s="1471">
        <v>45120</v>
      </c>
      <c r="L3063" s="1475" t="s">
        <v>2127</v>
      </c>
      <c r="M3063" s="851">
        <v>5.0788E-2</v>
      </c>
      <c r="N3063" s="1475">
        <v>2.0300708410735386</v>
      </c>
      <c r="O3063" s="1475"/>
    </row>
    <row r="3064" spans="11:15">
      <c r="K3064" s="1471">
        <v>45121</v>
      </c>
      <c r="L3064" s="1475" t="s">
        <v>2127</v>
      </c>
      <c r="M3064" s="851">
        <v>5.0788E-2</v>
      </c>
      <c r="N3064" s="1475">
        <v>2.031101873452303</v>
      </c>
      <c r="O3064" s="1475"/>
    </row>
    <row r="3065" spans="11:15">
      <c r="K3065" s="1471">
        <v>45122</v>
      </c>
      <c r="L3065" s="1475"/>
      <c r="M3065" s="851">
        <v>0</v>
      </c>
      <c r="N3065" s="1475">
        <v>2.031101873452303</v>
      </c>
      <c r="O3065" s="1475"/>
    </row>
    <row r="3066" spans="11:15">
      <c r="K3066" s="1471">
        <v>45123</v>
      </c>
      <c r="L3066" s="1475"/>
      <c r="M3066" s="851">
        <v>0</v>
      </c>
      <c r="N3066" s="1475">
        <v>2.031101873452303</v>
      </c>
      <c r="O3066" s="1475"/>
    </row>
    <row r="3067" spans="11:15">
      <c r="K3067" s="1471">
        <v>45124</v>
      </c>
      <c r="L3067" s="1475" t="s">
        <v>2127</v>
      </c>
      <c r="M3067" s="851">
        <v>5.0788E-2</v>
      </c>
      <c r="N3067" s="1475">
        <v>2.0321334294717919</v>
      </c>
      <c r="O3067" s="1475"/>
    </row>
    <row r="3068" spans="11:15">
      <c r="K3068" s="1471">
        <v>45125</v>
      </c>
      <c r="L3068" s="1475" t="s">
        <v>2127</v>
      </c>
      <c r="M3068" s="851">
        <v>5.0788E-2</v>
      </c>
      <c r="N3068" s="1475">
        <v>2.0331655093979522</v>
      </c>
      <c r="O3068" s="1475"/>
    </row>
    <row r="3069" spans="11:15">
      <c r="K3069" s="1471">
        <v>45126</v>
      </c>
      <c r="L3069" s="1475" t="s">
        <v>2127</v>
      </c>
      <c r="M3069" s="851">
        <v>5.0788E-2</v>
      </c>
      <c r="N3069" s="1475">
        <v>2.0341981134968652</v>
      </c>
      <c r="O3069" s="1475"/>
    </row>
    <row r="3070" spans="11:15">
      <c r="K3070" s="1471">
        <v>45127</v>
      </c>
      <c r="L3070" s="1475" t="s">
        <v>2127</v>
      </c>
      <c r="M3070" s="851">
        <v>5.0788E-2</v>
      </c>
      <c r="N3070" s="1475">
        <v>2.0352312420347478</v>
      </c>
      <c r="O3070" s="1475"/>
    </row>
    <row r="3071" spans="11:15">
      <c r="K3071" s="1471">
        <v>45128</v>
      </c>
      <c r="L3071" s="1475" t="s">
        <v>2127</v>
      </c>
      <c r="M3071" s="851">
        <v>5.0788E-2</v>
      </c>
      <c r="N3071" s="1475">
        <v>2.0362648952779523</v>
      </c>
      <c r="O3071" s="1475"/>
    </row>
    <row r="3072" spans="11:15">
      <c r="K3072" s="1471">
        <v>45129</v>
      </c>
      <c r="L3072" s="1475"/>
      <c r="M3072" s="851">
        <v>0</v>
      </c>
      <c r="N3072" s="1475">
        <v>2.0362648952779523</v>
      </c>
      <c r="O3072" s="1475"/>
    </row>
    <row r="3073" spans="11:15">
      <c r="K3073" s="1471">
        <v>45130</v>
      </c>
      <c r="L3073" s="1475"/>
      <c r="M3073" s="851">
        <v>0</v>
      </c>
      <c r="N3073" s="1475">
        <v>2.0362648952779523</v>
      </c>
      <c r="O3073" s="1475"/>
    </row>
    <row r="3074" spans="11:15">
      <c r="K3074" s="1471">
        <v>45131</v>
      </c>
      <c r="L3074" s="1475" t="s">
        <v>2127</v>
      </c>
      <c r="M3074" s="851">
        <v>5.0788E-2</v>
      </c>
      <c r="N3074" s="1475">
        <v>2.0372990734929659</v>
      </c>
      <c r="O3074" s="1475"/>
    </row>
    <row r="3075" spans="11:15">
      <c r="K3075" s="1471">
        <v>45132</v>
      </c>
      <c r="L3075" s="1475" t="s">
        <v>2127</v>
      </c>
      <c r="M3075" s="851">
        <v>5.0788E-2</v>
      </c>
      <c r="N3075" s="1475">
        <v>2.0383337769464114</v>
      </c>
      <c r="O3075" s="1475"/>
    </row>
    <row r="3076" spans="11:15">
      <c r="K3076" s="1471">
        <v>45133</v>
      </c>
      <c r="L3076" s="1475" t="s">
        <v>2127</v>
      </c>
      <c r="M3076" s="851">
        <v>5.0788E-2</v>
      </c>
      <c r="N3076" s="1475">
        <v>2.0393690059050469</v>
      </c>
      <c r="O3076" s="1475"/>
    </row>
    <row r="3077" spans="11:15">
      <c r="K3077" s="1471">
        <v>45134</v>
      </c>
      <c r="L3077" s="1475" t="s">
        <v>2127</v>
      </c>
      <c r="M3077" s="851">
        <v>5.0788E-2</v>
      </c>
      <c r="N3077" s="1475">
        <v>2.040404760635766</v>
      </c>
      <c r="O3077" s="1475"/>
    </row>
    <row r="3078" spans="11:15">
      <c r="K3078" s="1471">
        <v>45135</v>
      </c>
      <c r="L3078" s="1475" t="s">
        <v>2127</v>
      </c>
      <c r="M3078" s="851">
        <v>5.0788E-2</v>
      </c>
      <c r="N3078" s="1475">
        <v>2.0414410414055979</v>
      </c>
      <c r="O3078" s="1475"/>
    </row>
    <row r="3079" spans="11:15">
      <c r="K3079" s="1471">
        <v>45136</v>
      </c>
      <c r="L3079" s="1475"/>
      <c r="M3079" s="851">
        <v>0</v>
      </c>
      <c r="N3079" s="1475">
        <v>2.0414410414055979</v>
      </c>
      <c r="O3079" s="1475"/>
    </row>
    <row r="3080" spans="11:15">
      <c r="K3080" s="1471">
        <v>45137</v>
      </c>
      <c r="L3080" s="1475"/>
      <c r="M3080" s="851">
        <v>0</v>
      </c>
      <c r="N3080" s="1475">
        <v>2.0414410414055979</v>
      </c>
      <c r="O3080" s="1475"/>
    </row>
    <row r="3081" spans="11:15">
      <c r="K3081" s="1471">
        <v>45138</v>
      </c>
      <c r="L3081" s="1475" t="s">
        <v>2127</v>
      </c>
      <c r="M3081" s="851">
        <v>5.0788E-2</v>
      </c>
      <c r="N3081" s="1475">
        <v>2.042477848481707</v>
      </c>
      <c r="O3081" s="1475"/>
    </row>
    <row r="3082" spans="11:15">
      <c r="K3082" s="1471">
        <v>45139</v>
      </c>
      <c r="L3082" s="1475" t="s">
        <v>2127</v>
      </c>
      <c r="M3082" s="851">
        <v>5.0788E-2</v>
      </c>
      <c r="N3082" s="1475">
        <v>2.0435151821313937</v>
      </c>
      <c r="O3082" s="1475"/>
    </row>
    <row r="3083" spans="11:15">
      <c r="K3083" s="1471">
        <v>45140</v>
      </c>
      <c r="L3083" s="1475" t="s">
        <v>2127</v>
      </c>
      <c r="M3083" s="851">
        <v>5.0788E-2</v>
      </c>
      <c r="N3083" s="1475">
        <v>2.0445530426220948</v>
      </c>
      <c r="O3083" s="1475"/>
    </row>
    <row r="3084" spans="11:15">
      <c r="K3084" s="1471">
        <v>45141</v>
      </c>
      <c r="L3084" s="1475" t="s">
        <v>2127</v>
      </c>
      <c r="M3084" s="851">
        <v>5.0788E-2</v>
      </c>
      <c r="N3084" s="1475">
        <v>2.0455914302213816</v>
      </c>
      <c r="O3084" s="1475"/>
    </row>
    <row r="3085" spans="11:15">
      <c r="K3085" s="1471">
        <v>45142</v>
      </c>
      <c r="L3085" s="1475" t="s">
        <v>2127</v>
      </c>
      <c r="M3085" s="851">
        <v>5.0788E-2</v>
      </c>
      <c r="N3085" s="1475">
        <v>2.0466303451969625</v>
      </c>
      <c r="O3085" s="1475"/>
    </row>
    <row r="3086" spans="11:15">
      <c r="K3086" s="1471">
        <v>45143</v>
      </c>
      <c r="L3086" s="1475"/>
      <c r="M3086" s="851">
        <v>0</v>
      </c>
      <c r="N3086" s="1475">
        <v>2.0466303451969625</v>
      </c>
      <c r="O3086" s="1475"/>
    </row>
    <row r="3087" spans="11:15">
      <c r="K3087" s="1471">
        <v>45144</v>
      </c>
      <c r="L3087" s="1475"/>
      <c r="M3087" s="851">
        <v>0</v>
      </c>
      <c r="N3087" s="1475">
        <v>2.0466303451969625</v>
      </c>
      <c r="O3087" s="1475"/>
    </row>
    <row r="3088" spans="11:15">
      <c r="K3088" s="1471">
        <v>45145</v>
      </c>
      <c r="L3088" s="1475" t="s">
        <v>2127</v>
      </c>
      <c r="M3088" s="851">
        <v>5.0788E-2</v>
      </c>
      <c r="N3088" s="1475">
        <v>2.0476697878166812</v>
      </c>
      <c r="O3088" s="1475"/>
    </row>
    <row r="3089" spans="11:15">
      <c r="K3089" s="1471">
        <v>45146</v>
      </c>
      <c r="L3089" s="1475" t="s">
        <v>2127</v>
      </c>
      <c r="M3089" s="851">
        <v>5.0788E-2</v>
      </c>
      <c r="N3089" s="1475">
        <v>2.0487097583485174</v>
      </c>
      <c r="O3089" s="1475"/>
    </row>
    <row r="3090" spans="11:15">
      <c r="K3090" s="1471">
        <v>45147</v>
      </c>
      <c r="L3090" s="1475" t="s">
        <v>2127</v>
      </c>
      <c r="M3090" s="851">
        <v>5.0788E-2</v>
      </c>
      <c r="N3090" s="1475">
        <v>2.0497502570605874</v>
      </c>
      <c r="O3090" s="1475"/>
    </row>
    <row r="3091" spans="11:15">
      <c r="K3091" s="1471">
        <v>45148</v>
      </c>
      <c r="L3091" s="1475" t="s">
        <v>2127</v>
      </c>
      <c r="M3091" s="851">
        <v>5.0788E-2</v>
      </c>
      <c r="N3091" s="1475">
        <v>2.0507912842211433</v>
      </c>
      <c r="O3091" s="1475"/>
    </row>
    <row r="3092" spans="11:15">
      <c r="K3092" s="1471">
        <v>45149</v>
      </c>
      <c r="L3092" s="1475" t="s">
        <v>2127</v>
      </c>
      <c r="M3092" s="851">
        <v>5.0788E-2</v>
      </c>
      <c r="N3092" s="1475">
        <v>2.0518328400985735</v>
      </c>
      <c r="O3092" s="1475"/>
    </row>
    <row r="3093" spans="11:15">
      <c r="K3093" s="1471">
        <v>45150</v>
      </c>
      <c r="L3093" s="1475"/>
      <c r="M3093" s="851">
        <v>0</v>
      </c>
      <c r="N3093" s="1475">
        <v>2.0518328400985735</v>
      </c>
      <c r="O3093" s="1475"/>
    </row>
    <row r="3094" spans="11:15">
      <c r="K3094" s="1471">
        <v>45151</v>
      </c>
      <c r="L3094" s="1475"/>
      <c r="M3094" s="851">
        <v>0</v>
      </c>
      <c r="N3094" s="1475">
        <v>2.0518328400985735</v>
      </c>
      <c r="O3094" s="1475"/>
    </row>
    <row r="3095" spans="11:15">
      <c r="K3095" s="1471">
        <v>45152</v>
      </c>
      <c r="L3095" s="1475" t="s">
        <v>2127</v>
      </c>
      <c r="M3095" s="851">
        <v>5.0788E-2</v>
      </c>
      <c r="N3095" s="1475">
        <v>2.0528749249614027</v>
      </c>
      <c r="O3095" s="1475"/>
    </row>
    <row r="3096" spans="11:15">
      <c r="K3096" s="1471">
        <v>45153</v>
      </c>
      <c r="L3096" s="1475" t="s">
        <v>2127</v>
      </c>
      <c r="M3096" s="851">
        <v>5.0788E-2</v>
      </c>
      <c r="N3096" s="1475">
        <v>2.053917539078292</v>
      </c>
      <c r="O3096" s="1475"/>
    </row>
    <row r="3097" spans="11:15">
      <c r="K3097" s="1471">
        <v>45154</v>
      </c>
      <c r="L3097" s="1475" t="s">
        <v>2127</v>
      </c>
      <c r="M3097" s="851">
        <v>5.0788E-2</v>
      </c>
      <c r="N3097" s="1475">
        <v>2.0549606827180393</v>
      </c>
      <c r="O3097" s="1475"/>
    </row>
    <row r="3098" spans="11:15">
      <c r="K3098" s="1471">
        <v>45155</v>
      </c>
      <c r="L3098" s="1475" t="s">
        <v>2127</v>
      </c>
      <c r="M3098" s="851">
        <v>5.0788E-2</v>
      </c>
      <c r="N3098" s="1475">
        <v>2.056004356149578</v>
      </c>
      <c r="O3098" s="1475"/>
    </row>
    <row r="3099" spans="11:15">
      <c r="K3099" s="1471">
        <v>45156</v>
      </c>
      <c r="L3099" s="1475" t="s">
        <v>2127</v>
      </c>
      <c r="M3099" s="851">
        <v>5.0788E-2</v>
      </c>
      <c r="N3099" s="1475">
        <v>2.0570485596419794</v>
      </c>
      <c r="O3099" s="1475"/>
    </row>
    <row r="3100" spans="11:15">
      <c r="K3100" s="1471">
        <v>45157</v>
      </c>
      <c r="L3100" s="1475"/>
      <c r="M3100" s="851">
        <v>0</v>
      </c>
      <c r="N3100" s="1475">
        <v>2.0570485596419794</v>
      </c>
      <c r="O3100" s="1475"/>
    </row>
    <row r="3101" spans="11:15">
      <c r="K3101" s="1471">
        <v>45158</v>
      </c>
      <c r="L3101" s="1475"/>
      <c r="M3101" s="851">
        <v>0</v>
      </c>
      <c r="N3101" s="1475">
        <v>2.0570485596419794</v>
      </c>
      <c r="O3101" s="1475"/>
    </row>
    <row r="3102" spans="11:15">
      <c r="K3102" s="1471">
        <v>45159</v>
      </c>
      <c r="L3102" s="1475" t="s">
        <v>2127</v>
      </c>
      <c r="M3102" s="851">
        <v>5.0788E-2</v>
      </c>
      <c r="N3102" s="1475">
        <v>2.0580932934644505</v>
      </c>
      <c r="O3102" s="1475"/>
    </row>
    <row r="3103" spans="11:15">
      <c r="K3103" s="1471">
        <v>45160</v>
      </c>
      <c r="L3103" s="1475" t="s">
        <v>2127</v>
      </c>
      <c r="M3103" s="851">
        <v>5.0788E-2</v>
      </c>
      <c r="N3103" s="1475">
        <v>2.0591385578863353</v>
      </c>
      <c r="O3103" s="1475"/>
    </row>
    <row r="3104" spans="11:15">
      <c r="K3104" s="1471">
        <v>45161</v>
      </c>
      <c r="L3104" s="1475" t="s">
        <v>2127</v>
      </c>
      <c r="M3104" s="851">
        <v>5.0788E-2</v>
      </c>
      <c r="N3104" s="1475">
        <v>2.0601843531771147</v>
      </c>
      <c r="O3104" s="1475"/>
    </row>
    <row r="3105" spans="11:15">
      <c r="K3105" s="1471">
        <v>45162</v>
      </c>
      <c r="L3105" s="1475" t="s">
        <v>2127</v>
      </c>
      <c r="M3105" s="851">
        <v>5.0788E-2</v>
      </c>
      <c r="N3105" s="1475">
        <v>2.0612306796064064</v>
      </c>
      <c r="O3105" s="1475"/>
    </row>
    <row r="3106" spans="11:15">
      <c r="K3106" s="1471">
        <v>45163</v>
      </c>
      <c r="L3106" s="1475" t="s">
        <v>2127</v>
      </c>
      <c r="M3106" s="851">
        <v>5.0788E-2</v>
      </c>
      <c r="N3106" s="1475">
        <v>2.0622775374439648</v>
      </c>
      <c r="O3106" s="1475"/>
    </row>
    <row r="3107" spans="11:15">
      <c r="K3107" s="1471">
        <v>45164</v>
      </c>
      <c r="L3107" s="1475"/>
      <c r="M3107" s="851">
        <v>0</v>
      </c>
      <c r="N3107" s="1475">
        <v>2.0622775374439648</v>
      </c>
      <c r="O3107" s="1475"/>
    </row>
    <row r="3108" spans="11:15">
      <c r="K3108" s="1471">
        <v>45165</v>
      </c>
      <c r="L3108" s="1475"/>
      <c r="M3108" s="851">
        <v>0</v>
      </c>
      <c r="N3108" s="1475">
        <v>2.0622775374439648</v>
      </c>
      <c r="O3108" s="1475"/>
    </row>
    <row r="3109" spans="11:15">
      <c r="K3109" s="1471">
        <v>45166</v>
      </c>
      <c r="L3109" s="1475" t="s">
        <v>2127</v>
      </c>
      <c r="M3109" s="851">
        <v>5.0788E-2</v>
      </c>
      <c r="N3109" s="1475">
        <v>2.0633249269596821</v>
      </c>
      <c r="O3109" s="1475"/>
    </row>
    <row r="3110" spans="11:15">
      <c r="K3110" s="1471">
        <v>45167</v>
      </c>
      <c r="L3110" s="1475" t="s">
        <v>2127</v>
      </c>
      <c r="M3110" s="851">
        <v>5.0788E-2</v>
      </c>
      <c r="N3110" s="1475">
        <v>2.0643728484235866</v>
      </c>
      <c r="O3110" s="1475"/>
    </row>
    <row r="3111" spans="11:15">
      <c r="K3111" s="1471">
        <v>45168</v>
      </c>
      <c r="L3111" s="1475" t="s">
        <v>2127</v>
      </c>
      <c r="M3111" s="851">
        <v>5.0788E-2</v>
      </c>
      <c r="N3111" s="1475">
        <v>2.0654213021058441</v>
      </c>
      <c r="O3111" s="1475"/>
    </row>
    <row r="3112" spans="11:15">
      <c r="K3112" s="1471">
        <v>45169</v>
      </c>
      <c r="L3112" s="1475" t="s">
        <v>2127</v>
      </c>
      <c r="M3112" s="851">
        <v>5.0788E-2</v>
      </c>
      <c r="N3112" s="1475">
        <v>2.0664702882767578</v>
      </c>
      <c r="O3112" s="1475"/>
    </row>
    <row r="3113" spans="11:15">
      <c r="K3113" s="1471">
        <v>45170</v>
      </c>
      <c r="L3113" s="1475" t="s">
        <v>2127</v>
      </c>
      <c r="M3113" s="851">
        <v>5.0788E-2</v>
      </c>
      <c r="N3113" s="1475">
        <v>2.067519807206768</v>
      </c>
      <c r="O3113" s="1475"/>
    </row>
    <row r="3114" spans="11:15">
      <c r="K3114" s="1471">
        <v>45171</v>
      </c>
      <c r="L3114" s="1475"/>
      <c r="M3114" s="851">
        <v>0</v>
      </c>
      <c r="N3114" s="1475">
        <v>2.067519807206768</v>
      </c>
      <c r="O3114" s="1475"/>
    </row>
    <row r="3115" spans="11:15">
      <c r="K3115" s="1471">
        <v>45172</v>
      </c>
      <c r="L3115" s="1475"/>
      <c r="M3115" s="851">
        <v>0</v>
      </c>
      <c r="N3115" s="1475">
        <v>2.067519807206768</v>
      </c>
      <c r="O3115" s="1475"/>
    </row>
    <row r="3116" spans="11:15">
      <c r="K3116" s="1471">
        <v>45173</v>
      </c>
      <c r="L3116" s="1475" t="s">
        <v>2127</v>
      </c>
      <c r="M3116" s="851">
        <v>5.0788E-2</v>
      </c>
      <c r="N3116" s="1475">
        <v>2.0685698591664523</v>
      </c>
      <c r="O3116" s="1475"/>
    </row>
    <row r="3117" spans="11:15">
      <c r="K3117" s="1471">
        <v>45174</v>
      </c>
      <c r="L3117" s="1475" t="s">
        <v>2127</v>
      </c>
      <c r="M3117" s="851">
        <v>5.0788E-2</v>
      </c>
      <c r="N3117" s="1475">
        <v>2.0696204444265258</v>
      </c>
      <c r="O3117" s="1475"/>
    </row>
    <row r="3118" spans="11:15">
      <c r="K3118" s="1471">
        <v>45175</v>
      </c>
      <c r="L3118" s="1475" t="s">
        <v>2127</v>
      </c>
      <c r="M3118" s="851">
        <v>5.0788E-2</v>
      </c>
      <c r="N3118" s="1475">
        <v>2.0706715632578412</v>
      </c>
      <c r="O3118" s="1475"/>
    </row>
    <row r="3119" spans="11:15">
      <c r="K3119" s="1471">
        <v>45176</v>
      </c>
      <c r="L3119" s="1475"/>
      <c r="M3119" s="851">
        <v>0</v>
      </c>
      <c r="N3119" s="1475">
        <v>2.0706715632578412</v>
      </c>
      <c r="O3119" s="1475"/>
    </row>
    <row r="3120" spans="11:15">
      <c r="K3120" s="1471">
        <v>45177</v>
      </c>
      <c r="L3120" s="1475" t="s">
        <v>2127</v>
      </c>
      <c r="M3120" s="851">
        <v>5.0788E-2</v>
      </c>
      <c r="N3120" s="1475">
        <v>2.0717232159313888</v>
      </c>
      <c r="O3120" s="1475"/>
    </row>
    <row r="3121" spans="11:15">
      <c r="K3121" s="1471">
        <v>45178</v>
      </c>
      <c r="L3121" s="1475"/>
      <c r="M3121" s="851">
        <v>0</v>
      </c>
      <c r="N3121" s="1475">
        <v>2.0717232159313888</v>
      </c>
      <c r="O3121" s="1475"/>
    </row>
    <row r="3122" spans="11:15">
      <c r="K3122" s="1471">
        <v>45179</v>
      </c>
      <c r="L3122" s="1475"/>
      <c r="M3122" s="851">
        <v>0</v>
      </c>
      <c r="N3122" s="1475">
        <v>2.0717232159313888</v>
      </c>
      <c r="O3122" s="1475"/>
    </row>
    <row r="3123" spans="11:15">
      <c r="K3123" s="1471">
        <v>45180</v>
      </c>
      <c r="L3123" s="1475" t="s">
        <v>2127</v>
      </c>
      <c r="M3123" s="851">
        <v>5.0788E-2</v>
      </c>
      <c r="N3123" s="1475">
        <v>2.0727754027182961</v>
      </c>
      <c r="O3123" s="1475"/>
    </row>
    <row r="3124" spans="11:15">
      <c r="K3124" s="1471">
        <v>45181</v>
      </c>
      <c r="L3124" s="1475" t="s">
        <v>2127</v>
      </c>
      <c r="M3124" s="851">
        <v>5.0788E-2</v>
      </c>
      <c r="N3124" s="1475">
        <v>2.0738281238898288</v>
      </c>
      <c r="O3124" s="1475"/>
    </row>
    <row r="3125" spans="11:15">
      <c r="K3125" s="1471">
        <v>45182</v>
      </c>
      <c r="L3125" s="1475" t="s">
        <v>2127</v>
      </c>
      <c r="M3125" s="851">
        <v>5.0788E-2</v>
      </c>
      <c r="N3125" s="1475">
        <v>2.07488137971739</v>
      </c>
      <c r="O3125" s="1475"/>
    </row>
    <row r="3126" spans="11:15">
      <c r="K3126" s="1471">
        <v>45183</v>
      </c>
      <c r="L3126" s="1475" t="s">
        <v>2127</v>
      </c>
      <c r="M3126" s="851">
        <v>5.0788E-2</v>
      </c>
      <c r="N3126" s="1475">
        <v>2.0759351704725209</v>
      </c>
      <c r="O3126" s="1475"/>
    </row>
    <row r="3127" spans="11:15">
      <c r="K3127" s="1471">
        <v>45184</v>
      </c>
      <c r="L3127" s="1475" t="s">
        <v>2127</v>
      </c>
      <c r="M3127" s="851">
        <v>5.0788E-2</v>
      </c>
      <c r="N3127" s="1475">
        <v>2.0769894964269007</v>
      </c>
      <c r="O3127" s="1475"/>
    </row>
    <row r="3128" spans="11:15">
      <c r="K3128" s="1471">
        <v>45185</v>
      </c>
      <c r="L3128" s="1475"/>
      <c r="M3128" s="851">
        <v>0</v>
      </c>
      <c r="N3128" s="1475">
        <v>2.0769894964269007</v>
      </c>
      <c r="O3128" s="1475"/>
    </row>
    <row r="3129" spans="11:15">
      <c r="K3129" s="1471">
        <v>45186</v>
      </c>
      <c r="L3129" s="1475"/>
      <c r="M3129" s="851">
        <v>0</v>
      </c>
      <c r="N3129" s="1475">
        <v>2.0769894964269007</v>
      </c>
      <c r="O3129" s="1475"/>
    </row>
    <row r="3130" spans="11:15">
      <c r="K3130" s="1471">
        <v>45187</v>
      </c>
      <c r="L3130" s="1475" t="s">
        <v>2127</v>
      </c>
      <c r="M3130" s="851">
        <v>5.0788E-2</v>
      </c>
      <c r="N3130" s="1475">
        <v>2.0780443578523462</v>
      </c>
      <c r="O3130" s="1475"/>
    </row>
    <row r="3131" spans="11:15">
      <c r="K3131" s="1471">
        <v>45188</v>
      </c>
      <c r="L3131" s="1475" t="s">
        <v>2127</v>
      </c>
      <c r="M3131" s="851">
        <v>5.0788E-2</v>
      </c>
      <c r="N3131" s="1475">
        <v>2.0790997550208123</v>
      </c>
      <c r="O3131" s="1475"/>
    </row>
    <row r="3132" spans="11:15">
      <c r="K3132" s="1471">
        <v>45189</v>
      </c>
      <c r="L3132" s="1475" t="s">
        <v>2127</v>
      </c>
      <c r="M3132" s="851">
        <v>5.0788E-2</v>
      </c>
      <c r="N3132" s="1475">
        <v>2.0801556882043926</v>
      </c>
      <c r="O3132" s="1475"/>
    </row>
    <row r="3133" spans="11:15">
      <c r="K3133" s="1471">
        <v>45190</v>
      </c>
      <c r="L3133" s="1475" t="s">
        <v>2127</v>
      </c>
      <c r="M3133" s="851">
        <v>5.0788E-2</v>
      </c>
      <c r="N3133" s="1475">
        <v>2.081212157675318</v>
      </c>
      <c r="O3133" s="1475"/>
    </row>
    <row r="3134" spans="11:15">
      <c r="K3134" s="1471">
        <v>45191</v>
      </c>
      <c r="L3134" s="1475" t="s">
        <v>2127</v>
      </c>
      <c r="M3134" s="851">
        <v>5.0788E-2</v>
      </c>
      <c r="N3134" s="1475">
        <v>2.0822691637059583</v>
      </c>
      <c r="O3134" s="1475"/>
    </row>
    <row r="3135" spans="11:15">
      <c r="K3135" s="1471">
        <v>45192</v>
      </c>
      <c r="L3135" s="1475"/>
      <c r="M3135" s="851">
        <v>0</v>
      </c>
      <c r="N3135" s="1475">
        <v>2.0822691637059583</v>
      </c>
      <c r="O3135" s="1475"/>
    </row>
    <row r="3136" spans="11:15">
      <c r="K3136" s="1471">
        <v>45193</v>
      </c>
      <c r="L3136" s="1475"/>
      <c r="M3136" s="851">
        <v>0</v>
      </c>
      <c r="N3136" s="1475">
        <v>2.0822691637059583</v>
      </c>
      <c r="O3136" s="1475"/>
    </row>
    <row r="3137" spans="11:15">
      <c r="K3137" s="1471">
        <v>45194</v>
      </c>
      <c r="L3137" s="1475" t="s">
        <v>2127</v>
      </c>
      <c r="M3137" s="851">
        <v>5.0788E-2</v>
      </c>
      <c r="N3137" s="1475">
        <v>2.0833267065688212</v>
      </c>
      <c r="O3137" s="1475"/>
    </row>
    <row r="3138" spans="11:15">
      <c r="K3138" s="1471">
        <v>45195</v>
      </c>
      <c r="L3138" s="1475" t="s">
        <v>2127</v>
      </c>
      <c r="M3138" s="851">
        <v>5.0788E-2</v>
      </c>
      <c r="N3138" s="1475">
        <v>2.0843847865365532</v>
      </c>
      <c r="O3138" s="1475"/>
    </row>
    <row r="3139" spans="11:15">
      <c r="K3139" s="1471">
        <v>45196</v>
      </c>
      <c r="L3139" s="1475" t="s">
        <v>2127</v>
      </c>
      <c r="M3139" s="851">
        <v>5.0788E-2</v>
      </c>
      <c r="N3139" s="1475">
        <v>2.0854434038819396</v>
      </c>
      <c r="O3139" s="1475"/>
    </row>
    <row r="3140" spans="11:15">
      <c r="K3140" s="1471">
        <v>45197</v>
      </c>
      <c r="L3140" s="1475" t="s">
        <v>2127</v>
      </c>
      <c r="M3140" s="851">
        <v>5.0788E-2</v>
      </c>
      <c r="N3140" s="1475">
        <v>2.0865025588779034</v>
      </c>
      <c r="O3140" s="1475"/>
    </row>
    <row r="3141" spans="11:15">
      <c r="K3141" s="1471">
        <v>45198</v>
      </c>
      <c r="L3141" s="1475" t="s">
        <v>2127</v>
      </c>
      <c r="M3141" s="851">
        <v>5.0788E-2</v>
      </c>
      <c r="N3141" s="1475">
        <v>2.0875622517975061</v>
      </c>
      <c r="O3141" s="1475"/>
    </row>
    <row r="3142" spans="11:15">
      <c r="K3142" s="1471">
        <v>45199</v>
      </c>
      <c r="L3142" s="1475"/>
      <c r="M3142" s="851">
        <v>0</v>
      </c>
      <c r="N3142" s="1475">
        <v>2.0875622517975061</v>
      </c>
      <c r="O3142" s="1475"/>
    </row>
    <row r="3143" spans="11:15">
      <c r="K3143" s="1471">
        <v>45200</v>
      </c>
      <c r="L3143" s="1475"/>
      <c r="M3143" s="851">
        <v>0</v>
      </c>
      <c r="N3143" s="1475">
        <v>2.0875622517975061</v>
      </c>
      <c r="O3143" s="1475"/>
    </row>
    <row r="3144" spans="11:15">
      <c r="K3144" s="1471">
        <v>45201</v>
      </c>
      <c r="L3144" s="1475" t="s">
        <v>2127</v>
      </c>
      <c r="M3144" s="851">
        <v>5.0788E-2</v>
      </c>
      <c r="N3144" s="1475">
        <v>2.0886224829139493</v>
      </c>
      <c r="O3144" s="1475"/>
    </row>
    <row r="3145" spans="11:15">
      <c r="K3145" s="1471">
        <v>45202</v>
      </c>
      <c r="L3145" s="1475" t="s">
        <v>2127</v>
      </c>
      <c r="M3145" s="851">
        <v>5.0788E-2</v>
      </c>
      <c r="N3145" s="1475">
        <v>2.0896832525005715</v>
      </c>
      <c r="O3145" s="1475"/>
    </row>
    <row r="3146" spans="11:15">
      <c r="K3146" s="1471">
        <v>45203</v>
      </c>
      <c r="L3146" s="1475" t="s">
        <v>2127</v>
      </c>
      <c r="M3146" s="851">
        <v>5.0788E-2</v>
      </c>
      <c r="N3146" s="1475">
        <v>2.0907445608308515</v>
      </c>
      <c r="O3146" s="1475"/>
    </row>
    <row r="3147" spans="11:15">
      <c r="K3147" s="1471">
        <v>45204</v>
      </c>
      <c r="L3147" s="1475" t="s">
        <v>2127</v>
      </c>
      <c r="M3147" s="851">
        <v>5.0788E-2</v>
      </c>
      <c r="N3147" s="1475">
        <v>2.0918064081784062</v>
      </c>
      <c r="O3147" s="1475"/>
    </row>
    <row r="3148" spans="11:15">
      <c r="K3148" s="1471">
        <v>45205</v>
      </c>
      <c r="L3148" s="1475" t="s">
        <v>2127</v>
      </c>
      <c r="M3148" s="851">
        <v>5.0788E-2</v>
      </c>
      <c r="N3148" s="1475">
        <v>2.092868794816992</v>
      </c>
      <c r="O3148" s="1475"/>
    </row>
    <row r="3149" spans="11:15">
      <c r="K3149" s="1471">
        <v>45206</v>
      </c>
      <c r="L3149" s="1475"/>
      <c r="M3149" s="851">
        <v>0</v>
      </c>
      <c r="N3149" s="1475">
        <v>2.092868794816992</v>
      </c>
      <c r="O3149" s="1475"/>
    </row>
    <row r="3150" spans="11:15">
      <c r="K3150" s="1471">
        <v>45207</v>
      </c>
      <c r="L3150" s="1475"/>
      <c r="M3150" s="851">
        <v>0</v>
      </c>
      <c r="N3150" s="1475">
        <v>2.092868794816992</v>
      </c>
      <c r="O3150" s="1475"/>
    </row>
    <row r="3151" spans="11:15">
      <c r="K3151" s="1471">
        <v>45208</v>
      </c>
      <c r="L3151" s="1475" t="s">
        <v>2127</v>
      </c>
      <c r="M3151" s="851">
        <v>5.0788E-2</v>
      </c>
      <c r="N3151" s="1475">
        <v>2.0939317210205037</v>
      </c>
      <c r="O3151" s="1475"/>
    </row>
    <row r="3152" spans="11:15">
      <c r="K3152" s="1471">
        <v>45209</v>
      </c>
      <c r="L3152" s="1475" t="s">
        <v>2127</v>
      </c>
      <c r="M3152" s="851">
        <v>5.0788E-2</v>
      </c>
      <c r="N3152" s="1475">
        <v>2.0949951870629757</v>
      </c>
      <c r="O3152" s="1475"/>
    </row>
    <row r="3153" spans="11:15">
      <c r="K3153" s="1471">
        <v>45210</v>
      </c>
      <c r="L3153" s="1475" t="s">
        <v>2127</v>
      </c>
      <c r="M3153" s="851">
        <v>5.0788E-2</v>
      </c>
      <c r="N3153" s="1475">
        <v>2.0960591932185815</v>
      </c>
      <c r="O3153" s="1475"/>
    </row>
    <row r="3154" spans="11:15">
      <c r="K3154" s="1471">
        <v>45211</v>
      </c>
      <c r="L3154" s="1475"/>
      <c r="M3154" s="851">
        <v>0</v>
      </c>
      <c r="N3154" s="1475">
        <v>2.0960591932185815</v>
      </c>
      <c r="O3154" s="1475"/>
    </row>
    <row r="3155" spans="11:15">
      <c r="K3155" s="1471">
        <v>45212</v>
      </c>
      <c r="L3155" s="1475" t="s">
        <v>2127</v>
      </c>
      <c r="M3155" s="851">
        <v>5.0788E-2</v>
      </c>
      <c r="N3155" s="1475">
        <v>2.0971237397616336</v>
      </c>
      <c r="O3155" s="1475"/>
    </row>
    <row r="3156" spans="11:15">
      <c r="K3156" s="1471">
        <v>45213</v>
      </c>
      <c r="L3156" s="1475"/>
      <c r="M3156" s="851">
        <v>0</v>
      </c>
      <c r="N3156" s="1475">
        <v>2.0971237397616336</v>
      </c>
      <c r="O3156" s="1475"/>
    </row>
    <row r="3157" spans="11:15">
      <c r="K3157" s="1471">
        <v>45214</v>
      </c>
      <c r="L3157" s="1475"/>
      <c r="M3157" s="851">
        <v>0</v>
      </c>
      <c r="N3157" s="1475">
        <v>2.0971237397616336</v>
      </c>
      <c r="O3157" s="1475"/>
    </row>
    <row r="3158" spans="11:15">
      <c r="K3158" s="1471">
        <v>45215</v>
      </c>
      <c r="L3158" s="1475" t="s">
        <v>2127</v>
      </c>
      <c r="M3158" s="851">
        <v>5.0788E-2</v>
      </c>
      <c r="N3158" s="1475">
        <v>2.0981888269665836</v>
      </c>
      <c r="O3158" s="1475"/>
    </row>
    <row r="3159" spans="11:15">
      <c r="K3159" s="1471">
        <v>45216</v>
      </c>
      <c r="L3159" s="1475" t="s">
        <v>2127</v>
      </c>
      <c r="M3159" s="851">
        <v>5.0788E-2</v>
      </c>
      <c r="N3159" s="1475">
        <v>2.0992544551080234</v>
      </c>
      <c r="O3159" s="1475"/>
    </row>
    <row r="3160" spans="11:15">
      <c r="K3160" s="1471">
        <v>45217</v>
      </c>
      <c r="L3160" s="1475" t="s">
        <v>2127</v>
      </c>
      <c r="M3160" s="851">
        <v>5.0788E-2</v>
      </c>
      <c r="N3160" s="1475">
        <v>2.1003206244606836</v>
      </c>
      <c r="O3160" s="1475"/>
    </row>
    <row r="3161" spans="11:15">
      <c r="K3161" s="1471">
        <v>45218</v>
      </c>
      <c r="L3161" s="1475" t="s">
        <v>2127</v>
      </c>
      <c r="M3161" s="851">
        <v>5.0788E-2</v>
      </c>
      <c r="N3161" s="1475">
        <v>2.1013873352994348</v>
      </c>
      <c r="O3161" s="1475"/>
    </row>
    <row r="3162" spans="11:15">
      <c r="K3162" s="1471">
        <v>45219</v>
      </c>
      <c r="L3162" s="1475" t="s">
        <v>2127</v>
      </c>
      <c r="M3162" s="851">
        <v>5.0788E-2</v>
      </c>
      <c r="N3162" s="1475">
        <v>2.1024545878992869</v>
      </c>
      <c r="O3162" s="1475"/>
    </row>
    <row r="3163" spans="11:15">
      <c r="K3163" s="1471">
        <v>45220</v>
      </c>
      <c r="L3163" s="1475"/>
      <c r="M3163" s="851">
        <v>0</v>
      </c>
      <c r="N3163" s="1475">
        <v>2.1024545878992869</v>
      </c>
      <c r="O3163" s="1475"/>
    </row>
    <row r="3164" spans="11:15">
      <c r="K3164" s="1471">
        <v>45221</v>
      </c>
      <c r="L3164" s="1475"/>
      <c r="M3164" s="851">
        <v>0</v>
      </c>
      <c r="N3164" s="1475">
        <v>2.1024545878992869</v>
      </c>
      <c r="O3164" s="1475"/>
    </row>
    <row r="3165" spans="11:15">
      <c r="K3165" s="1471">
        <v>45222</v>
      </c>
      <c r="L3165" s="1475" t="s">
        <v>2127</v>
      </c>
      <c r="M3165" s="851">
        <v>5.0788E-2</v>
      </c>
      <c r="N3165" s="1475">
        <v>2.103522382535389</v>
      </c>
      <c r="O3165" s="1475"/>
    </row>
    <row r="3166" spans="11:15">
      <c r="K3166" s="1471">
        <v>45223</v>
      </c>
      <c r="L3166" s="1475" t="s">
        <v>2127</v>
      </c>
      <c r="M3166" s="851">
        <v>5.0788E-2</v>
      </c>
      <c r="N3166" s="1475">
        <v>2.1045907194830313</v>
      </c>
      <c r="O3166" s="1475"/>
    </row>
    <row r="3167" spans="11:15">
      <c r="K3167" s="1471">
        <v>45224</v>
      </c>
      <c r="L3167" s="1475" t="s">
        <v>2127</v>
      </c>
      <c r="M3167" s="851">
        <v>5.0788E-2</v>
      </c>
      <c r="N3167" s="1475">
        <v>2.1056595990176423</v>
      </c>
      <c r="O3167" s="1475"/>
    </row>
    <row r="3168" spans="11:15">
      <c r="K3168" s="1471">
        <v>45225</v>
      </c>
      <c r="L3168" s="1475" t="s">
        <v>2127</v>
      </c>
      <c r="M3168" s="851">
        <v>5.0788E-2</v>
      </c>
      <c r="N3168" s="1475">
        <v>2.1067290214147913</v>
      </c>
      <c r="O3168" s="1475"/>
    </row>
    <row r="3169" spans="11:15">
      <c r="K3169" s="1471">
        <v>45226</v>
      </c>
      <c r="L3169" s="1475" t="s">
        <v>2127</v>
      </c>
      <c r="M3169" s="851">
        <v>5.0788E-2</v>
      </c>
      <c r="N3169" s="1475">
        <v>2.1077989869501876</v>
      </c>
      <c r="O3169" s="1475"/>
    </row>
    <row r="3170" spans="11:15">
      <c r="K3170" s="1471">
        <v>45227</v>
      </c>
      <c r="L3170" s="1475"/>
      <c r="M3170" s="851">
        <v>0</v>
      </c>
      <c r="N3170" s="1475">
        <v>2.1077989869501876</v>
      </c>
      <c r="O3170" s="1475"/>
    </row>
    <row r="3171" spans="11:15">
      <c r="K3171" s="1471">
        <v>45228</v>
      </c>
      <c r="L3171" s="1475"/>
      <c r="M3171" s="851">
        <v>0</v>
      </c>
      <c r="N3171" s="1475">
        <v>2.1077989869501876</v>
      </c>
      <c r="O3171" s="1475"/>
    </row>
    <row r="3172" spans="11:15">
      <c r="K3172" s="1471">
        <v>45229</v>
      </c>
      <c r="L3172" s="1475" t="s">
        <v>2127</v>
      </c>
      <c r="M3172" s="851">
        <v>5.0788E-2</v>
      </c>
      <c r="N3172" s="1475">
        <v>2.1088694958996799</v>
      </c>
      <c r="O3172" s="1475"/>
    </row>
    <row r="3173" spans="11:15">
      <c r="K3173" s="1471">
        <v>45230</v>
      </c>
      <c r="L3173" s="1475" t="s">
        <v>2127</v>
      </c>
      <c r="M3173" s="851">
        <v>5.0788E-2</v>
      </c>
      <c r="N3173" s="1475">
        <v>2.1099405485392575</v>
      </c>
      <c r="O3173" s="1475"/>
    </row>
    <row r="3174" spans="11:15">
      <c r="K3174" s="1471">
        <v>45231</v>
      </c>
      <c r="L3174" s="1475" t="s">
        <v>2127</v>
      </c>
      <c r="M3174" s="851">
        <v>5.0788E-2</v>
      </c>
      <c r="N3174" s="1475">
        <v>2.1110121451450499</v>
      </c>
      <c r="O3174" s="1475"/>
    </row>
    <row r="3175" spans="11:15">
      <c r="K3175" s="1471">
        <v>45232</v>
      </c>
      <c r="L3175" s="1475"/>
      <c r="M3175" s="851">
        <v>0</v>
      </c>
      <c r="N3175" s="1475">
        <v>2.1110121451450499</v>
      </c>
      <c r="O3175" s="1475"/>
    </row>
    <row r="3176" spans="11:15">
      <c r="K3176" s="1471">
        <v>45233</v>
      </c>
      <c r="L3176" s="1475" t="s">
        <v>2127</v>
      </c>
      <c r="M3176" s="851">
        <v>5.0788E-2</v>
      </c>
      <c r="N3176" s="1475">
        <v>2.1120842859933262</v>
      </c>
      <c r="O3176" s="1475"/>
    </row>
    <row r="3177" spans="11:15">
      <c r="K3177" s="1471">
        <v>45234</v>
      </c>
      <c r="L3177" s="1475"/>
      <c r="M3177" s="851">
        <v>0</v>
      </c>
      <c r="N3177" s="1475">
        <v>2.1120842859933262</v>
      </c>
      <c r="O3177" s="1475"/>
    </row>
    <row r="3178" spans="11:15">
      <c r="K3178" s="1471">
        <v>45235</v>
      </c>
      <c r="L3178" s="1475"/>
      <c r="M3178" s="851">
        <v>0</v>
      </c>
      <c r="N3178" s="1475">
        <v>2.1120842859933262</v>
      </c>
      <c r="O3178" s="1475"/>
    </row>
    <row r="3179" spans="11:15">
      <c r="K3179" s="1471">
        <v>45236</v>
      </c>
      <c r="L3179" s="1475" t="s">
        <v>2127</v>
      </c>
      <c r="M3179" s="851">
        <v>5.0788E-2</v>
      </c>
      <c r="N3179" s="1475">
        <v>2.1131569713604965</v>
      </c>
      <c r="O3179" s="1475"/>
    </row>
    <row r="3180" spans="11:15">
      <c r="K3180" s="1471">
        <v>45237</v>
      </c>
      <c r="L3180" s="1475" t="s">
        <v>2127</v>
      </c>
      <c r="M3180" s="851">
        <v>5.0788E-2</v>
      </c>
      <c r="N3180" s="1475">
        <v>2.1142302015231111</v>
      </c>
      <c r="O3180" s="1475"/>
    </row>
    <row r="3181" spans="11:15">
      <c r="K3181" s="1471">
        <v>45238</v>
      </c>
      <c r="L3181" s="1475" t="s">
        <v>2127</v>
      </c>
      <c r="M3181" s="851">
        <v>5.0788E-2</v>
      </c>
      <c r="N3181" s="1475">
        <v>2.1153039767578607</v>
      </c>
      <c r="O3181" s="1475"/>
    </row>
    <row r="3182" spans="11:15">
      <c r="K3182" s="1471">
        <v>45239</v>
      </c>
      <c r="L3182" s="1475" t="s">
        <v>2127</v>
      </c>
      <c r="M3182" s="851">
        <v>5.0788E-2</v>
      </c>
      <c r="N3182" s="1475">
        <v>2.1163782973415768</v>
      </c>
      <c r="O3182" s="1475"/>
    </row>
    <row r="3183" spans="11:15">
      <c r="K3183" s="1471">
        <v>45240</v>
      </c>
      <c r="L3183" s="1475" t="s">
        <v>2127</v>
      </c>
      <c r="M3183" s="851">
        <v>5.0788E-2</v>
      </c>
      <c r="N3183" s="1475">
        <v>2.1174531635512306</v>
      </c>
      <c r="O3183" s="1475"/>
    </row>
    <row r="3184" spans="11:15">
      <c r="K3184" s="1471">
        <v>45241</v>
      </c>
      <c r="L3184" s="1475"/>
      <c r="M3184" s="851">
        <v>0</v>
      </c>
      <c r="N3184" s="1475">
        <v>2.1174531635512306</v>
      </c>
      <c r="O3184" s="1475"/>
    </row>
    <row r="3185" spans="11:15">
      <c r="K3185" s="1471">
        <v>45242</v>
      </c>
      <c r="L3185" s="1475"/>
      <c r="M3185" s="851">
        <v>0</v>
      </c>
      <c r="N3185" s="1475">
        <v>2.1174531635512306</v>
      </c>
      <c r="O3185" s="1475"/>
    </row>
    <row r="3186" spans="11:15">
      <c r="K3186" s="1471">
        <v>45243</v>
      </c>
      <c r="L3186" s="1475" t="s">
        <v>2127</v>
      </c>
      <c r="M3186" s="851">
        <v>5.0788E-2</v>
      </c>
      <c r="N3186" s="1475">
        <v>2.1185285756639352</v>
      </c>
      <c r="O3186" s="1475"/>
    </row>
    <row r="3187" spans="11:15">
      <c r="K3187" s="1471">
        <v>45244</v>
      </c>
      <c r="L3187" s="1475" t="s">
        <v>2127</v>
      </c>
      <c r="M3187" s="851">
        <v>5.0788E-2</v>
      </c>
      <c r="N3187" s="1475">
        <v>2.1196045339569434</v>
      </c>
      <c r="O3187" s="1475"/>
    </row>
    <row r="3188" spans="11:15">
      <c r="K3188" s="1471">
        <v>45245</v>
      </c>
      <c r="L3188" s="1475"/>
      <c r="M3188" s="851">
        <v>0</v>
      </c>
      <c r="N3188" s="1475">
        <v>2.1196045339569434</v>
      </c>
      <c r="O3188" s="1475"/>
    </row>
    <row r="3189" spans="11:15">
      <c r="K3189" s="1471">
        <v>45246</v>
      </c>
      <c r="L3189" s="1475" t="s">
        <v>2127</v>
      </c>
      <c r="M3189" s="851">
        <v>5.0788E-2</v>
      </c>
      <c r="N3189" s="1475">
        <v>2.1206810387076493</v>
      </c>
      <c r="O3189" s="1475"/>
    </row>
    <row r="3190" spans="11:15">
      <c r="K3190" s="1471">
        <v>45247</v>
      </c>
      <c r="L3190" s="1475" t="s">
        <v>2127</v>
      </c>
      <c r="M3190" s="851">
        <v>5.0788E-2</v>
      </c>
      <c r="N3190" s="1475">
        <v>2.1217580901935884</v>
      </c>
      <c r="O3190" s="1475"/>
    </row>
    <row r="3191" spans="11:15">
      <c r="K3191" s="1471">
        <v>45248</v>
      </c>
      <c r="L3191" s="1475"/>
      <c r="M3191" s="851">
        <v>0</v>
      </c>
      <c r="N3191" s="1475">
        <v>2.1217580901935884</v>
      </c>
      <c r="O3191" s="1475"/>
    </row>
    <row r="3192" spans="11:15">
      <c r="K3192" s="1471">
        <v>45249</v>
      </c>
      <c r="L3192" s="1475"/>
      <c r="M3192" s="851">
        <v>0</v>
      </c>
      <c r="N3192" s="1475">
        <v>2.1217580901935884</v>
      </c>
      <c r="O3192" s="1475"/>
    </row>
    <row r="3193" spans="11:15">
      <c r="K3193" s="1471">
        <v>45250</v>
      </c>
      <c r="L3193" s="1475" t="s">
        <v>2127</v>
      </c>
      <c r="M3193" s="851">
        <v>5.0788E-2</v>
      </c>
      <c r="N3193" s="1475">
        <v>2.1228356886924358</v>
      </c>
      <c r="O3193" s="1475"/>
    </row>
    <row r="3194" spans="11:15">
      <c r="K3194" s="1471">
        <v>45251</v>
      </c>
      <c r="L3194" s="1475" t="s">
        <v>2127</v>
      </c>
      <c r="M3194" s="851">
        <v>5.0788E-2</v>
      </c>
      <c r="N3194" s="1475">
        <v>2.1239138344820088</v>
      </c>
      <c r="O3194" s="1475"/>
    </row>
    <row r="3195" spans="11:15">
      <c r="K3195" s="1471">
        <v>45252</v>
      </c>
      <c r="L3195" s="1475" t="s">
        <v>2127</v>
      </c>
      <c r="M3195" s="851">
        <v>5.0788E-2</v>
      </c>
      <c r="N3195" s="1475">
        <v>2.1249925278402655</v>
      </c>
      <c r="O3195" s="1475"/>
    </row>
    <row r="3196" spans="11:15">
      <c r="K3196" s="1471">
        <v>45253</v>
      </c>
      <c r="L3196" s="1475" t="s">
        <v>2127</v>
      </c>
      <c r="M3196" s="851">
        <v>5.0788E-2</v>
      </c>
      <c r="N3196" s="1475">
        <v>2.1260717690453048</v>
      </c>
      <c r="O3196" s="1475"/>
    </row>
    <row r="3197" spans="11:15">
      <c r="K3197" s="1471">
        <v>45254</v>
      </c>
      <c r="L3197" s="1475" t="s">
        <v>2127</v>
      </c>
      <c r="M3197" s="851">
        <v>5.0788E-2</v>
      </c>
      <c r="N3197" s="1475">
        <v>2.1271515583753677</v>
      </c>
      <c r="O3197" s="1475"/>
    </row>
    <row r="3198" spans="11:15">
      <c r="K3198" s="1471">
        <v>45255</v>
      </c>
      <c r="L3198" s="1475"/>
      <c r="M3198" s="851">
        <v>0</v>
      </c>
      <c r="N3198" s="1475">
        <v>2.1271515583753677</v>
      </c>
      <c r="O3198" s="1475"/>
    </row>
    <row r="3199" spans="11:15">
      <c r="K3199" s="1471">
        <v>45256</v>
      </c>
      <c r="L3199" s="1475"/>
      <c r="M3199" s="851">
        <v>0</v>
      </c>
      <c r="N3199" s="1475">
        <v>2.1271515583753677</v>
      </c>
      <c r="O3199" s="1475"/>
    </row>
    <row r="3200" spans="11:15">
      <c r="K3200" s="1471">
        <v>45257</v>
      </c>
      <c r="L3200" s="1475" t="s">
        <v>2127</v>
      </c>
      <c r="M3200" s="851">
        <v>5.0788E-2</v>
      </c>
      <c r="N3200" s="1475">
        <v>2.1282318961088356</v>
      </c>
      <c r="O3200" s="1475"/>
    </row>
    <row r="3201" spans="11:15">
      <c r="K3201" s="1471">
        <v>45258</v>
      </c>
      <c r="L3201" s="1475" t="s">
        <v>2127</v>
      </c>
      <c r="M3201" s="851">
        <v>5.0788E-2</v>
      </c>
      <c r="N3201" s="1475">
        <v>2.1293127825242313</v>
      </c>
      <c r="O3201" s="1475"/>
    </row>
    <row r="3202" spans="11:15">
      <c r="K3202" s="1471">
        <v>45259</v>
      </c>
      <c r="L3202" s="1475" t="s">
        <v>2127</v>
      </c>
      <c r="M3202" s="851">
        <v>5.0788E-2</v>
      </c>
      <c r="N3202" s="1475">
        <v>2.1303942179002195</v>
      </c>
      <c r="O3202" s="1475"/>
    </row>
    <row r="3203" spans="11:15">
      <c r="K3203" s="1471">
        <v>45260</v>
      </c>
      <c r="L3203" s="1475" t="s">
        <v>2127</v>
      </c>
      <c r="M3203" s="851">
        <v>5.0788E-2</v>
      </c>
      <c r="N3203" s="1475">
        <v>2.1314762025156067</v>
      </c>
      <c r="O3203" s="1475"/>
    </row>
    <row r="3204" spans="11:15">
      <c r="K3204" s="1471">
        <v>45261</v>
      </c>
      <c r="L3204" s="1475" t="s">
        <v>2127</v>
      </c>
      <c r="M3204" s="851">
        <v>5.0788E-2</v>
      </c>
      <c r="N3204" s="1475">
        <v>2.1325587366493401</v>
      </c>
      <c r="O3204" s="1475"/>
    </row>
    <row r="3205" spans="11:15">
      <c r="K3205" s="1471">
        <v>45262</v>
      </c>
      <c r="L3205" s="1475"/>
      <c r="M3205" s="851">
        <v>0</v>
      </c>
      <c r="N3205" s="1475">
        <v>2.1325587366493401</v>
      </c>
      <c r="O3205" s="1475"/>
    </row>
    <row r="3206" spans="11:15">
      <c r="K3206" s="1471">
        <v>45263</v>
      </c>
      <c r="L3206" s="1475"/>
      <c r="M3206" s="851">
        <v>0</v>
      </c>
      <c r="N3206" s="1475">
        <v>2.1325587366493401</v>
      </c>
      <c r="O3206" s="1475"/>
    </row>
    <row r="3207" spans="11:15">
      <c r="K3207" s="1471">
        <v>45264</v>
      </c>
      <c r="L3207" s="1475" t="s">
        <v>2127</v>
      </c>
      <c r="M3207" s="851">
        <v>5.0788E-2</v>
      </c>
      <c r="N3207" s="1475">
        <v>2.1336418205805097</v>
      </c>
      <c r="O3207" s="1475"/>
    </row>
    <row r="3208" spans="11:15">
      <c r="K3208" s="1471">
        <v>45265</v>
      </c>
      <c r="L3208" s="1475" t="s">
        <v>2127</v>
      </c>
      <c r="M3208" s="851">
        <v>5.0788E-2</v>
      </c>
      <c r="N3208" s="1475">
        <v>2.1347254545883461</v>
      </c>
      <c r="O3208" s="1475"/>
    </row>
    <row r="3209" spans="11:15">
      <c r="K3209" s="1471">
        <v>45266</v>
      </c>
      <c r="L3209" s="1475" t="s">
        <v>2127</v>
      </c>
      <c r="M3209" s="851">
        <v>5.0788E-2</v>
      </c>
      <c r="N3209" s="1475">
        <v>2.1358096389522223</v>
      </c>
      <c r="O3209" s="1475"/>
    </row>
    <row r="3210" spans="11:15">
      <c r="K3210" s="1471">
        <v>45267</v>
      </c>
      <c r="L3210" s="1475" t="s">
        <v>2127</v>
      </c>
      <c r="M3210" s="851">
        <v>5.0788E-2</v>
      </c>
      <c r="N3210" s="1475">
        <v>2.1368943739516535</v>
      </c>
      <c r="O3210" s="1475"/>
    </row>
    <row r="3211" spans="11:15">
      <c r="K3211" s="1471">
        <v>45268</v>
      </c>
      <c r="L3211" s="1475" t="s">
        <v>2127</v>
      </c>
      <c r="M3211" s="851">
        <v>5.0788E-2</v>
      </c>
      <c r="N3211" s="1475">
        <v>2.1379796598662959</v>
      </c>
      <c r="O3211" s="1475"/>
    </row>
    <row r="3212" spans="11:15">
      <c r="K3212" s="1471">
        <v>45269</v>
      </c>
      <c r="L3212" s="1475"/>
      <c r="M3212" s="851">
        <v>0</v>
      </c>
      <c r="N3212" s="1475">
        <v>2.1379796598662959</v>
      </c>
      <c r="O3212" s="1475"/>
    </row>
    <row r="3213" spans="11:15">
      <c r="K3213" s="1471">
        <v>45270</v>
      </c>
      <c r="L3213" s="1475"/>
      <c r="M3213" s="851">
        <v>0</v>
      </c>
      <c r="N3213" s="1475">
        <v>2.1379796598662959</v>
      </c>
      <c r="O3213" s="1475"/>
    </row>
    <row r="3214" spans="11:15">
      <c r="K3214" s="1471">
        <v>45271</v>
      </c>
      <c r="L3214" s="1475" t="s">
        <v>2127</v>
      </c>
      <c r="M3214" s="851">
        <v>5.0788E-2</v>
      </c>
      <c r="N3214" s="1475">
        <v>2.1390654969759488</v>
      </c>
      <c r="O3214" s="1475"/>
    </row>
    <row r="3215" spans="11:15">
      <c r="K3215" s="1471">
        <v>45272</v>
      </c>
      <c r="L3215" s="1" t="s">
        <v>2127</v>
      </c>
      <c r="M3215" s="1">
        <v>5.0788E-2</v>
      </c>
      <c r="N3215" s="1">
        <v>2.1401518855605528</v>
      </c>
    </row>
    <row r="3216" spans="11:15">
      <c r="K3216" s="1471">
        <v>45273</v>
      </c>
      <c r="L3216" s="1" t="s">
        <v>2127</v>
      </c>
      <c r="M3216" s="1">
        <v>5.0788E-2</v>
      </c>
      <c r="N3216" s="1">
        <v>2.1412388259001913</v>
      </c>
    </row>
    <row r="3217" spans="11:14">
      <c r="K3217" s="1471">
        <v>45274</v>
      </c>
      <c r="L3217" s="1" t="s">
        <v>2127</v>
      </c>
      <c r="M3217" s="1">
        <v>5.0788E-2</v>
      </c>
      <c r="N3217" s="1">
        <v>2.1423263182750896</v>
      </c>
    </row>
    <row r="3218" spans="11:14">
      <c r="K3218" s="1471">
        <v>45275</v>
      </c>
      <c r="L3218" s="1" t="s">
        <v>2127</v>
      </c>
      <c r="M3218" s="1">
        <v>5.0788E-2</v>
      </c>
      <c r="N3218" s="1">
        <v>2.1434143629656153</v>
      </c>
    </row>
    <row r="3219" spans="11:14">
      <c r="K3219" s="1471">
        <v>45276</v>
      </c>
      <c r="M3219" s="1">
        <v>0</v>
      </c>
      <c r="N3219" s="1">
        <v>2.1434143629656153</v>
      </c>
    </row>
    <row r="3220" spans="11:14">
      <c r="K3220" s="1471">
        <v>45277</v>
      </c>
      <c r="M3220" s="1">
        <v>0</v>
      </c>
      <c r="N3220" s="1">
        <v>2.1434143629656153</v>
      </c>
    </row>
    <row r="3221" spans="11:14">
      <c r="K3221" s="1471">
        <v>45278</v>
      </c>
      <c r="L3221" s="1" t="s">
        <v>2127</v>
      </c>
      <c r="M3221" s="1">
        <v>5.0788E-2</v>
      </c>
      <c r="N3221" s="1">
        <v>2.1445029602522783</v>
      </c>
    </row>
    <row r="3222" spans="11:14">
      <c r="K3222" s="1471">
        <v>45279</v>
      </c>
      <c r="L3222" s="1" t="s">
        <v>2127</v>
      </c>
      <c r="M3222" s="1">
        <v>5.0788E-2</v>
      </c>
      <c r="N3222" s="1">
        <v>2.1455921104157314</v>
      </c>
    </row>
    <row r="3223" spans="11:14">
      <c r="K3223" s="1471">
        <v>45280</v>
      </c>
      <c r="L3223" s="1" t="s">
        <v>2127</v>
      </c>
      <c r="M3223" s="1">
        <v>5.0788E-2</v>
      </c>
      <c r="N3223" s="1">
        <v>2.1466818137367696</v>
      </c>
    </row>
    <row r="3224" spans="11:14">
      <c r="K3224" s="1471">
        <v>45281</v>
      </c>
      <c r="L3224" s="1" t="s">
        <v>2127</v>
      </c>
      <c r="M3224" s="1">
        <v>5.0788E-2</v>
      </c>
      <c r="N3224" s="1">
        <v>2.1477720704963303</v>
      </c>
    </row>
    <row r="3225" spans="11:14">
      <c r="K3225" s="1471">
        <v>45282</v>
      </c>
      <c r="L3225" s="1" t="s">
        <v>2127</v>
      </c>
      <c r="M3225" s="1">
        <v>5.0788E-2</v>
      </c>
      <c r="N3225" s="1">
        <v>2.1488628809754942</v>
      </c>
    </row>
    <row r="3226" spans="11:14">
      <c r="K3226" s="1471">
        <v>45283</v>
      </c>
      <c r="M3226" s="1">
        <v>0</v>
      </c>
      <c r="N3226" s="1">
        <v>2.1488628809754942</v>
      </c>
    </row>
    <row r="3227" spans="11:14">
      <c r="K3227" s="1471">
        <v>45284</v>
      </c>
      <c r="M3227" s="1">
        <v>0</v>
      </c>
      <c r="N3227" s="1">
        <v>2.1488628809754942</v>
      </c>
    </row>
    <row r="3228" spans="11:14">
      <c r="K3228" s="1471">
        <v>45285</v>
      </c>
      <c r="M3228" s="1">
        <v>0</v>
      </c>
      <c r="N3228" s="1">
        <v>2.1488628809754942</v>
      </c>
    </row>
    <row r="3229" spans="11:14">
      <c r="K3229" s="1471">
        <v>45286</v>
      </c>
      <c r="L3229" s="1" t="s">
        <v>2127</v>
      </c>
      <c r="M3229" s="1">
        <v>5.0788E-2</v>
      </c>
      <c r="N3229" s="1">
        <v>2.1499542454554841</v>
      </c>
    </row>
    <row r="3230" spans="11:14">
      <c r="K3230" s="1471">
        <v>45287</v>
      </c>
      <c r="L3230" s="1" t="s">
        <v>2127</v>
      </c>
      <c r="M3230" s="1">
        <v>5.0788E-2</v>
      </c>
      <c r="N3230" s="1">
        <v>2.1510461642176661</v>
      </c>
    </row>
    <row r="3231" spans="11:14">
      <c r="K3231" s="1471">
        <v>45288</v>
      </c>
      <c r="L3231" s="1" t="s">
        <v>2127</v>
      </c>
      <c r="M3231" s="1">
        <v>5.0788E-2</v>
      </c>
      <c r="N3231" s="1">
        <v>2.1521386375435489</v>
      </c>
    </row>
    <row r="3232" spans="11:14">
      <c r="K3232" s="1471">
        <v>45289</v>
      </c>
      <c r="L3232" s="1" t="s">
        <v>2127</v>
      </c>
      <c r="M3232" s="1">
        <v>5.0788E-2</v>
      </c>
      <c r="N3232" s="1">
        <v>2.1532316657147845</v>
      </c>
    </row>
    <row r="3233" spans="11:14">
      <c r="K3233" s="1471">
        <v>45290</v>
      </c>
      <c r="M3233" s="1">
        <v>0</v>
      </c>
      <c r="N3233" s="1">
        <v>2.1532316657147845</v>
      </c>
    </row>
    <row r="3234" spans="11:14">
      <c r="K3234" s="1471">
        <v>45291</v>
      </c>
      <c r="M3234" s="1">
        <v>0</v>
      </c>
      <c r="N3234" s="1">
        <v>2.1532316657147845</v>
      </c>
    </row>
    <row r="3235" spans="11:14">
      <c r="K3235" s="1471">
        <v>45292</v>
      </c>
      <c r="M3235" s="1">
        <v>0</v>
      </c>
      <c r="N3235" s="1">
        <v>2.1532316657147845</v>
      </c>
    </row>
    <row r="3236" spans="11:14">
      <c r="K3236" s="1471">
        <v>45293</v>
      </c>
      <c r="L3236" s="1" t="s">
        <v>2127</v>
      </c>
      <c r="M3236" s="1">
        <v>5.0788E-2</v>
      </c>
      <c r="N3236" s="1">
        <v>2.1543252490131679</v>
      </c>
    </row>
    <row r="3237" spans="11:14">
      <c r="K3237" s="1471">
        <v>45294</v>
      </c>
      <c r="L3237" s="1" t="s">
        <v>2127</v>
      </c>
      <c r="M3237" s="1">
        <v>5.0788E-2</v>
      </c>
      <c r="N3237" s="1">
        <v>2.1554193877206367</v>
      </c>
    </row>
    <row r="3238" spans="11:14">
      <c r="K3238" s="1471">
        <v>45295</v>
      </c>
      <c r="L3238" s="1" t="s">
        <v>2127</v>
      </c>
      <c r="M3238" s="1">
        <v>5.0788E-2</v>
      </c>
      <c r="N3238" s="1">
        <v>2.1565140821192723</v>
      </c>
    </row>
    <row r="3239" spans="11:14">
      <c r="K3239" s="1471">
        <v>45296</v>
      </c>
      <c r="L3239" s="1" t="s">
        <v>2127</v>
      </c>
      <c r="M3239" s="1">
        <v>5.0788E-2</v>
      </c>
      <c r="N3239" s="1">
        <v>2.1576093324912993</v>
      </c>
    </row>
    <row r="3240" spans="11:14">
      <c r="K3240" s="1471">
        <v>45297</v>
      </c>
      <c r="M3240" s="1">
        <v>0</v>
      </c>
      <c r="N3240" s="1">
        <v>2.1576093324912993</v>
      </c>
    </row>
    <row r="3241" spans="11:14">
      <c r="K3241" s="1471">
        <v>45298</v>
      </c>
      <c r="M3241" s="1">
        <v>0</v>
      </c>
      <c r="N3241" s="1">
        <v>2.1576093324912993</v>
      </c>
    </row>
    <row r="3242" spans="11:14">
      <c r="K3242" s="1471">
        <v>45299</v>
      </c>
      <c r="L3242" s="1" t="s">
        <v>2127</v>
      </c>
      <c r="M3242" s="1">
        <v>5.0788E-2</v>
      </c>
      <c r="N3242" s="1">
        <v>2.158705139119085</v>
      </c>
    </row>
    <row r="3243" spans="11:14">
      <c r="K3243" s="1471">
        <v>45300</v>
      </c>
      <c r="L3243" s="1" t="s">
        <v>2127</v>
      </c>
      <c r="M3243" s="1">
        <v>5.0788E-2</v>
      </c>
      <c r="N3243" s="1">
        <v>2.1598015022851409</v>
      </c>
    </row>
    <row r="3244" spans="11:14">
      <c r="K3244" s="1471">
        <v>45301</v>
      </c>
      <c r="L3244" s="1" t="s">
        <v>2127</v>
      </c>
      <c r="M3244" s="1">
        <v>5.0788E-2</v>
      </c>
      <c r="N3244" s="1">
        <v>2.1608984222721217</v>
      </c>
    </row>
    <row r="3245" spans="11:14">
      <c r="K3245" s="1471">
        <v>45302</v>
      </c>
      <c r="L3245" s="1" t="s">
        <v>2127</v>
      </c>
      <c r="M3245" s="1">
        <v>5.0788E-2</v>
      </c>
      <c r="N3245" s="1">
        <v>2.1619958993628252</v>
      </c>
    </row>
    <row r="3246" spans="11:14">
      <c r="K3246" s="1471">
        <v>45303</v>
      </c>
      <c r="L3246" s="1" t="s">
        <v>2127</v>
      </c>
      <c r="M3246" s="1">
        <v>5.0788E-2</v>
      </c>
      <c r="N3246" s="1">
        <v>2.1630939338401936</v>
      </c>
    </row>
    <row r="3247" spans="11:14">
      <c r="K3247" s="1471">
        <v>45304</v>
      </c>
      <c r="M3247" s="1">
        <v>0</v>
      </c>
      <c r="N3247" s="1">
        <v>2.1630939338401936</v>
      </c>
    </row>
    <row r="3248" spans="11:14">
      <c r="K3248" s="1471">
        <v>45305</v>
      </c>
      <c r="M3248" s="1">
        <v>0</v>
      </c>
      <c r="N3248" s="1">
        <v>2.1630939338401936</v>
      </c>
    </row>
    <row r="3249" spans="11:14">
      <c r="K3249" s="1471">
        <v>45306</v>
      </c>
      <c r="L3249" s="1" t="s">
        <v>2127</v>
      </c>
      <c r="M3249" s="1">
        <v>5.0788E-2</v>
      </c>
      <c r="N3249" s="1">
        <v>2.1641925259873123</v>
      </c>
    </row>
    <row r="3250" spans="11:14">
      <c r="K3250" s="1471">
        <v>45307</v>
      </c>
      <c r="L3250" s="1" t="s">
        <v>2127</v>
      </c>
      <c r="M3250" s="1">
        <v>5.0788E-2</v>
      </c>
      <c r="N3250" s="1">
        <v>2.1652916760874108</v>
      </c>
    </row>
    <row r="3251" spans="11:14">
      <c r="K3251" s="1471">
        <v>45308</v>
      </c>
      <c r="L3251" s="1" t="s">
        <v>2127</v>
      </c>
      <c r="M3251" s="1">
        <v>5.0788E-2</v>
      </c>
      <c r="N3251" s="1">
        <v>2.166391384423862</v>
      </c>
    </row>
    <row r="3252" spans="11:14">
      <c r="K3252" s="1471">
        <v>45309</v>
      </c>
      <c r="L3252" s="1" t="s">
        <v>2127</v>
      </c>
      <c r="M3252" s="1">
        <v>5.0788E-2</v>
      </c>
      <c r="N3252" s="1">
        <v>2.1674916512801832</v>
      </c>
    </row>
    <row r="3253" spans="11:14">
      <c r="K3253" s="1471">
        <v>45310</v>
      </c>
      <c r="L3253" s="1" t="s">
        <v>2127</v>
      </c>
      <c r="M3253" s="1">
        <v>5.0788E-2</v>
      </c>
      <c r="N3253" s="1">
        <v>2.1685924769400353</v>
      </c>
    </row>
    <row r="3254" spans="11:14">
      <c r="K3254" s="1471">
        <v>45311</v>
      </c>
      <c r="M3254" s="1">
        <v>0</v>
      </c>
      <c r="N3254" s="1">
        <v>2.1685924769400353</v>
      </c>
    </row>
    <row r="3255" spans="11:14">
      <c r="K3255" s="1471">
        <v>45312</v>
      </c>
      <c r="M3255" s="1">
        <v>0</v>
      </c>
      <c r="N3255" s="1">
        <v>2.1685924769400353</v>
      </c>
    </row>
    <row r="3256" spans="11:14">
      <c r="K3256" s="1471">
        <v>45313</v>
      </c>
      <c r="L3256" s="1" t="s">
        <v>2127</v>
      </c>
      <c r="M3256" s="1">
        <v>5.0788E-2</v>
      </c>
      <c r="N3256" s="1">
        <v>2.1696938616872234</v>
      </c>
    </row>
    <row r="3257" spans="11:14">
      <c r="K3257" s="1471">
        <v>45314</v>
      </c>
      <c r="L3257" s="1" t="s">
        <v>2127</v>
      </c>
      <c r="M3257" s="1">
        <v>5.0788E-2</v>
      </c>
      <c r="N3257" s="1">
        <v>2.1707958058056973</v>
      </c>
    </row>
    <row r="3258" spans="11:14">
      <c r="K3258" s="1471">
        <v>45315</v>
      </c>
      <c r="L3258" s="1" t="s">
        <v>2127</v>
      </c>
      <c r="M3258" s="1">
        <v>5.0788E-2</v>
      </c>
      <c r="N3258" s="1">
        <v>2.1718983095795501</v>
      </c>
    </row>
    <row r="3259" spans="11:14">
      <c r="K3259" s="1471">
        <v>45316</v>
      </c>
      <c r="L3259" s="1" t="s">
        <v>2127</v>
      </c>
      <c r="M3259" s="1">
        <v>5.0788E-2</v>
      </c>
      <c r="N3259" s="1">
        <v>2.1730013732930193</v>
      </c>
    </row>
    <row r="3260" spans="11:14">
      <c r="K3260" s="1471">
        <v>45317</v>
      </c>
      <c r="L3260" s="1" t="s">
        <v>2127</v>
      </c>
      <c r="M3260" s="1">
        <v>5.0788E-2</v>
      </c>
      <c r="N3260" s="1">
        <v>2.1741049972304873</v>
      </c>
    </row>
    <row r="3261" spans="11:14">
      <c r="K3261" s="1471">
        <v>45318</v>
      </c>
      <c r="M3261" s="1">
        <v>0</v>
      </c>
      <c r="N3261" s="1">
        <v>2.1741049972304873</v>
      </c>
    </row>
    <row r="3262" spans="11:14">
      <c r="K3262" s="1471">
        <v>45319</v>
      </c>
      <c r="M3262" s="1">
        <v>0</v>
      </c>
      <c r="N3262" s="1">
        <v>2.1741049972304873</v>
      </c>
    </row>
    <row r="3263" spans="11:14">
      <c r="K3263" s="1471">
        <v>45320</v>
      </c>
      <c r="L3263" s="1" t="s">
        <v>2127</v>
      </c>
      <c r="M3263" s="1">
        <v>5.0788E-2</v>
      </c>
      <c r="N3263" s="1">
        <v>2.1752091816764807</v>
      </c>
    </row>
    <row r="3264" spans="11:14">
      <c r="K3264" s="1471">
        <v>45321</v>
      </c>
      <c r="L3264" s="1" t="s">
        <v>2127</v>
      </c>
      <c r="M3264" s="1">
        <v>5.0788E-2</v>
      </c>
      <c r="N3264" s="1">
        <v>2.1763139269156704</v>
      </c>
    </row>
    <row r="3265" spans="11:14">
      <c r="K3265" s="1471">
        <v>45322</v>
      </c>
      <c r="L3265" s="1" t="s">
        <v>2127</v>
      </c>
      <c r="M3265" s="1">
        <v>5.0788E-2</v>
      </c>
      <c r="N3265" s="1">
        <v>2.1774192332328726</v>
      </c>
    </row>
    <row r="3266" spans="11:14">
      <c r="K3266" s="1471">
        <v>45323</v>
      </c>
      <c r="L3266" s="1" t="s">
        <v>2127</v>
      </c>
      <c r="M3266" s="1">
        <v>5.0788E-2</v>
      </c>
      <c r="N3266" s="1">
        <v>2.1785251009130469</v>
      </c>
    </row>
    <row r="3267" spans="11:14">
      <c r="K3267" s="1471">
        <v>45324</v>
      </c>
      <c r="L3267" s="1" t="s">
        <v>2127</v>
      </c>
      <c r="M3267" s="1">
        <v>5.0788E-2</v>
      </c>
      <c r="N3267" s="1">
        <v>2.1796315302412985</v>
      </c>
    </row>
    <row r="3268" spans="11:14">
      <c r="K3268" s="1471">
        <v>45325</v>
      </c>
      <c r="M3268" s="1">
        <v>0</v>
      </c>
      <c r="N3268" s="1">
        <v>2.1796315302412985</v>
      </c>
    </row>
    <row r="3269" spans="11:14">
      <c r="K3269" s="1471">
        <v>45326</v>
      </c>
      <c r="M3269" s="1">
        <v>0</v>
      </c>
      <c r="N3269" s="1">
        <v>2.1796315302412985</v>
      </c>
    </row>
    <row r="3270" spans="11:14">
      <c r="K3270" s="1471">
        <v>45327</v>
      </c>
      <c r="L3270" s="1" t="s">
        <v>2127</v>
      </c>
      <c r="M3270" s="1">
        <v>5.0788E-2</v>
      </c>
      <c r="N3270" s="1">
        <v>2.1807385215028776</v>
      </c>
    </row>
    <row r="3271" spans="11:14">
      <c r="K3271" s="1471">
        <v>45328</v>
      </c>
      <c r="L3271" s="1" t="s">
        <v>2127</v>
      </c>
      <c r="M3271" s="1">
        <v>5.0788E-2</v>
      </c>
      <c r="N3271" s="1">
        <v>2.1818460749831785</v>
      </c>
    </row>
    <row r="3272" spans="11:14">
      <c r="K3272" s="1471">
        <v>45329</v>
      </c>
      <c r="L3272" s="1" t="s">
        <v>2127</v>
      </c>
      <c r="M3272" s="1">
        <v>5.0788E-2</v>
      </c>
      <c r="N3272" s="1">
        <v>2.1829541909677408</v>
      </c>
    </row>
    <row r="3273" spans="11:14">
      <c r="K3273" s="1471">
        <v>45330</v>
      </c>
      <c r="L3273" s="1" t="s">
        <v>2127</v>
      </c>
      <c r="M3273" s="1">
        <v>5.0788E-2</v>
      </c>
      <c r="N3273" s="1">
        <v>2.1840628697422497</v>
      </c>
    </row>
    <row r="3274" spans="11:14">
      <c r="K3274" s="1471">
        <v>45331</v>
      </c>
      <c r="L3274" s="1" t="s">
        <v>2127</v>
      </c>
      <c r="M3274" s="1">
        <v>5.0788E-2</v>
      </c>
      <c r="N3274" s="1">
        <v>2.1851721115925344</v>
      </c>
    </row>
    <row r="3275" spans="11:14">
      <c r="K3275" s="1471">
        <v>45332</v>
      </c>
      <c r="M3275" s="1">
        <v>0</v>
      </c>
      <c r="N3275" s="1">
        <v>2.1851721115925344</v>
      </c>
    </row>
    <row r="3276" spans="11:14">
      <c r="K3276" s="1471">
        <v>45333</v>
      </c>
      <c r="M3276" s="1">
        <v>0</v>
      </c>
      <c r="N3276" s="1">
        <v>2.1851721115925344</v>
      </c>
    </row>
    <row r="3277" spans="11:14">
      <c r="K3277" s="1471">
        <v>45334</v>
      </c>
      <c r="M3277" s="1">
        <v>0</v>
      </c>
      <c r="N3277" s="1">
        <v>2.1851721115925344</v>
      </c>
    </row>
    <row r="3278" spans="11:14">
      <c r="K3278" s="1471">
        <v>45335</v>
      </c>
      <c r="M3278" s="1">
        <v>0</v>
      </c>
      <c r="N3278" s="1">
        <v>2.1851721115925344</v>
      </c>
    </row>
    <row r="3279" spans="11:14">
      <c r="K3279" s="1471">
        <v>45336</v>
      </c>
      <c r="L3279" s="1" t="s">
        <v>2127</v>
      </c>
      <c r="M3279" s="1">
        <v>5.0788E-2</v>
      </c>
      <c r="N3279" s="1">
        <v>2.1862819168045702</v>
      </c>
    </row>
    <row r="3280" spans="11:14">
      <c r="K3280" s="1471">
        <v>45337</v>
      </c>
      <c r="L3280" s="1" t="s">
        <v>2127</v>
      </c>
      <c r="M3280" s="1">
        <v>5.0788E-2</v>
      </c>
      <c r="N3280" s="1">
        <v>2.187392285664477</v>
      </c>
    </row>
    <row r="3281" spans="11:14">
      <c r="K3281" s="1471">
        <v>45338</v>
      </c>
      <c r="L3281" s="1" t="s">
        <v>2127</v>
      </c>
      <c r="M3281" s="1">
        <v>5.0788E-2</v>
      </c>
      <c r="N3281" s="1">
        <v>2.1885032184585205</v>
      </c>
    </row>
    <row r="3282" spans="11:14">
      <c r="K3282" s="1471">
        <v>45339</v>
      </c>
      <c r="M3282" s="1">
        <v>0</v>
      </c>
      <c r="N3282" s="1">
        <v>2.1885032184585205</v>
      </c>
    </row>
    <row r="3283" spans="11:14">
      <c r="K3283" s="1471">
        <v>45340</v>
      </c>
      <c r="M3283" s="1">
        <v>0</v>
      </c>
      <c r="N3283" s="1">
        <v>2.1885032184585205</v>
      </c>
    </row>
    <row r="3284" spans="11:14">
      <c r="K3284" s="1471">
        <v>45341</v>
      </c>
      <c r="L3284" s="1" t="s">
        <v>2127</v>
      </c>
      <c r="M3284" s="1">
        <v>5.0788E-2</v>
      </c>
      <c r="N3284" s="1">
        <v>2.1896147154731112</v>
      </c>
    </row>
    <row r="3285" spans="11:14">
      <c r="K3285" s="1471">
        <v>45342</v>
      </c>
      <c r="L3285" s="1" t="s">
        <v>2127</v>
      </c>
      <c r="M3285" s="1">
        <v>5.0788E-2</v>
      </c>
      <c r="N3285" s="1">
        <v>2.1907267769948056</v>
      </c>
    </row>
    <row r="3286" spans="11:14">
      <c r="K3286" s="1471">
        <v>45343</v>
      </c>
      <c r="L3286" s="1" t="s">
        <v>2127</v>
      </c>
      <c r="M3286" s="1">
        <v>5.0788E-2</v>
      </c>
      <c r="N3286" s="1">
        <v>2.1918394033103059</v>
      </c>
    </row>
    <row r="3287" spans="11:14">
      <c r="K3287" s="1471">
        <v>45344</v>
      </c>
      <c r="L3287" s="1" t="s">
        <v>2127</v>
      </c>
      <c r="M3287" s="1">
        <v>5.0788E-2</v>
      </c>
      <c r="N3287" s="1">
        <v>2.1929525947064592</v>
      </c>
    </row>
    <row r="3288" spans="11:14">
      <c r="K3288" s="1471">
        <v>45345</v>
      </c>
      <c r="L3288" s="1" t="s">
        <v>2127</v>
      </c>
      <c r="M3288" s="1">
        <v>5.0788E-2</v>
      </c>
      <c r="N3288" s="1">
        <v>2.194066351470259</v>
      </c>
    </row>
    <row r="3289" spans="11:14">
      <c r="K3289" s="1471">
        <v>45346</v>
      </c>
      <c r="M3289" s="1">
        <v>0</v>
      </c>
      <c r="N3289" s="1">
        <v>2.194066351470259</v>
      </c>
    </row>
    <row r="3290" spans="11:14">
      <c r="K3290" s="1471">
        <v>45347</v>
      </c>
      <c r="M3290" s="1">
        <v>0</v>
      </c>
      <c r="N3290" s="1">
        <v>2.194066351470259</v>
      </c>
    </row>
    <row r="3291" spans="11:14">
      <c r="K3291" s="1471">
        <v>45348</v>
      </c>
      <c r="L3291" s="1" t="s">
        <v>2127</v>
      </c>
      <c r="M3291" s="1">
        <v>5.0788E-2</v>
      </c>
      <c r="N3291" s="1">
        <v>2.1951806738888435</v>
      </c>
    </row>
    <row r="3292" spans="11:14">
      <c r="K3292" s="1471">
        <v>45349</v>
      </c>
      <c r="L3292" s="1" t="s">
        <v>2127</v>
      </c>
      <c r="M3292" s="1">
        <v>5.0788E-2</v>
      </c>
      <c r="N3292" s="1">
        <v>2.1962955622494982</v>
      </c>
    </row>
    <row r="3293" spans="11:14">
      <c r="K3293" s="1471">
        <v>45350</v>
      </c>
      <c r="L3293" s="1" t="s">
        <v>2127</v>
      </c>
      <c r="M3293" s="1">
        <v>5.0788E-2</v>
      </c>
      <c r="N3293" s="1">
        <v>2.1974110168396535</v>
      </c>
    </row>
    <row r="3294" spans="11:14">
      <c r="K3294" s="1471">
        <v>45351</v>
      </c>
      <c r="L3294" s="1" t="s">
        <v>2127</v>
      </c>
      <c r="M3294" s="1">
        <v>5.0788E-2</v>
      </c>
      <c r="N3294" s="1">
        <v>2.198527037946886</v>
      </c>
    </row>
    <row r="3295" spans="11:14">
      <c r="K3295" s="1471">
        <v>45352</v>
      </c>
      <c r="L3295" s="1" t="s">
        <v>2127</v>
      </c>
      <c r="M3295" s="1">
        <v>5.0788E-2</v>
      </c>
      <c r="N3295" s="1">
        <v>2.1996436258589185</v>
      </c>
    </row>
    <row r="3296" spans="11:14">
      <c r="K3296" s="1471">
        <v>45353</v>
      </c>
      <c r="M3296" s="1">
        <v>0</v>
      </c>
      <c r="N3296" s="1">
        <v>2.1996436258589185</v>
      </c>
    </row>
    <row r="3297" spans="11:14">
      <c r="K3297" s="1471">
        <v>45354</v>
      </c>
      <c r="M3297" s="1">
        <v>0</v>
      </c>
      <c r="N3297" s="1">
        <v>2.1996436258589185</v>
      </c>
    </row>
    <row r="3298" spans="11:14">
      <c r="K3298" s="1471">
        <v>45355</v>
      </c>
      <c r="L3298" s="1" t="s">
        <v>2127</v>
      </c>
      <c r="M3298" s="1">
        <v>5.0788E-2</v>
      </c>
      <c r="N3298" s="1">
        <v>2.2007607808636198</v>
      </c>
    </row>
    <row r="3299" spans="11:14">
      <c r="K3299" s="1471">
        <v>45356</v>
      </c>
      <c r="L3299" s="1" t="s">
        <v>2127</v>
      </c>
      <c r="M3299" s="1">
        <v>5.0788E-2</v>
      </c>
      <c r="N3299" s="1">
        <v>2.2018785032490049</v>
      </c>
    </row>
    <row r="3300" spans="11:14">
      <c r="K3300" s="1471">
        <v>45357</v>
      </c>
      <c r="L3300" s="1" t="s">
        <v>2127</v>
      </c>
      <c r="M3300" s="1">
        <v>5.0788E-2</v>
      </c>
      <c r="N3300" s="1">
        <v>2.2029967933032348</v>
      </c>
    </row>
    <row r="3301" spans="11:14">
      <c r="K3301" s="1471">
        <v>45358</v>
      </c>
      <c r="L3301" s="1" t="s">
        <v>2127</v>
      </c>
      <c r="M3301" s="1">
        <v>5.0788E-2</v>
      </c>
      <c r="N3301" s="1">
        <v>2.2041156513146176</v>
      </c>
    </row>
    <row r="3302" spans="11:14">
      <c r="K3302" s="1471">
        <v>45359</v>
      </c>
      <c r="L3302" s="1" t="s">
        <v>2127</v>
      </c>
      <c r="M3302" s="1">
        <v>5.0788E-2</v>
      </c>
      <c r="N3302" s="1">
        <v>2.2052350775716074</v>
      </c>
    </row>
    <row r="3303" spans="11:14">
      <c r="K3303" s="1471">
        <v>45360</v>
      </c>
      <c r="M3303" s="1">
        <v>0</v>
      </c>
      <c r="N3303" s="1">
        <v>2.2052350775716074</v>
      </c>
    </row>
    <row r="3304" spans="11:14">
      <c r="K3304" s="1471">
        <v>45361</v>
      </c>
      <c r="M3304" s="1">
        <v>0</v>
      </c>
      <c r="N3304" s="1">
        <v>2.2052350775716074</v>
      </c>
    </row>
    <row r="3305" spans="11:14">
      <c r="K3305" s="1471">
        <v>45362</v>
      </c>
      <c r="L3305" s="1" t="s">
        <v>2127</v>
      </c>
      <c r="M3305" s="1">
        <v>5.0788E-2</v>
      </c>
      <c r="N3305" s="1">
        <v>2.2063550723628045</v>
      </c>
    </row>
    <row r="3306" spans="11:14">
      <c r="K3306" s="1471">
        <v>45363</v>
      </c>
      <c r="L3306" s="1" t="s">
        <v>2127</v>
      </c>
      <c r="M3306" s="1">
        <v>5.0788E-2</v>
      </c>
      <c r="N3306" s="1">
        <v>2.2074756359769561</v>
      </c>
    </row>
    <row r="3307" spans="11:14">
      <c r="K3307" s="1471">
        <v>45364</v>
      </c>
      <c r="L3307" s="1" t="s">
        <v>2127</v>
      </c>
      <c r="M3307" s="1">
        <v>5.0788E-2</v>
      </c>
      <c r="N3307" s="1">
        <v>2.208596768702956</v>
      </c>
    </row>
    <row r="3308" spans="11:14">
      <c r="K3308" s="1471">
        <v>45365</v>
      </c>
      <c r="L3308" s="1" t="s">
        <v>2127</v>
      </c>
      <c r="M3308" s="1">
        <v>5.0788E-2</v>
      </c>
      <c r="N3308" s="1">
        <v>2.209718470829845</v>
      </c>
    </row>
    <row r="3309" spans="11:14">
      <c r="K3309" s="1471">
        <v>45366</v>
      </c>
      <c r="L3309" s="1" t="s">
        <v>2127</v>
      </c>
      <c r="M3309" s="1">
        <v>5.0788E-2</v>
      </c>
      <c r="N3309" s="1">
        <v>2.21084074264681</v>
      </c>
    </row>
    <row r="3310" spans="11:14">
      <c r="K3310" s="1471">
        <v>45367</v>
      </c>
      <c r="M3310" s="1">
        <v>0</v>
      </c>
      <c r="N3310" s="1">
        <v>2.21084074264681</v>
      </c>
    </row>
    <row r="3311" spans="11:14">
      <c r="K3311" s="1471">
        <v>45368</v>
      </c>
      <c r="M3311" s="1">
        <v>0</v>
      </c>
      <c r="N3311" s="1">
        <v>2.21084074264681</v>
      </c>
    </row>
    <row r="3312" spans="11:14">
      <c r="K3312" s="1471">
        <v>45369</v>
      </c>
      <c r="L3312" s="1" t="s">
        <v>2127</v>
      </c>
      <c r="M3312" s="1">
        <v>5.0788E-2</v>
      </c>
      <c r="N3312" s="1">
        <v>2.2119635844431853</v>
      </c>
    </row>
    <row r="3313" spans="11:14">
      <c r="K3313" s="1471">
        <v>45370</v>
      </c>
      <c r="L3313" s="1" t="s">
        <v>2127</v>
      </c>
      <c r="M3313" s="1">
        <v>5.0788E-2</v>
      </c>
      <c r="N3313" s="1">
        <v>2.2130869965084523</v>
      </c>
    </row>
    <row r="3314" spans="11:14">
      <c r="K3314" s="1471">
        <v>45371</v>
      </c>
      <c r="L3314" s="1" t="s">
        <v>2127</v>
      </c>
      <c r="M3314" s="1">
        <v>5.0788E-2</v>
      </c>
      <c r="N3314" s="1">
        <v>2.2142109791322389</v>
      </c>
    </row>
    <row r="3315" spans="11:14">
      <c r="K3315" s="1471">
        <v>45372</v>
      </c>
      <c r="L3315" s="1" t="s">
        <v>2127</v>
      </c>
      <c r="M3315" s="1">
        <v>5.0788E-2</v>
      </c>
      <c r="N3315" s="1">
        <v>2.2153355326043207</v>
      </c>
    </row>
    <row r="3316" spans="11:14">
      <c r="K3316" s="1471">
        <v>45373</v>
      </c>
      <c r="L3316" s="1" t="s">
        <v>2127</v>
      </c>
      <c r="M3316" s="1">
        <v>5.0788E-2</v>
      </c>
      <c r="N3316" s="1">
        <v>2.2164606572146197</v>
      </c>
    </row>
    <row r="3317" spans="11:14">
      <c r="K3317" s="1471">
        <v>45374</v>
      </c>
      <c r="M3317" s="1">
        <v>0</v>
      </c>
      <c r="N3317" s="1">
        <v>2.2164606572146197</v>
      </c>
    </row>
    <row r="3318" spans="11:14">
      <c r="K3318" s="1471">
        <v>45375</v>
      </c>
      <c r="M3318" s="1">
        <v>0</v>
      </c>
      <c r="N3318" s="1">
        <v>2.2164606572146197</v>
      </c>
    </row>
    <row r="3319" spans="11:14">
      <c r="K3319" s="1471">
        <v>45376</v>
      </c>
      <c r="L3319" s="1" t="s">
        <v>2127</v>
      </c>
      <c r="M3319" s="1">
        <v>5.0788E-2</v>
      </c>
      <c r="N3319" s="1">
        <v>2.2175863532532061</v>
      </c>
    </row>
    <row r="3320" spans="11:14">
      <c r="K3320" s="1471">
        <v>45377</v>
      </c>
      <c r="L3320" s="1" t="s">
        <v>2127</v>
      </c>
      <c r="M3320" s="1">
        <v>5.0788E-2</v>
      </c>
      <c r="N3320" s="1">
        <v>2.2187126210102965</v>
      </c>
    </row>
    <row r="3321" spans="11:14">
      <c r="K3321" s="1471"/>
    </row>
    <row r="3322" spans="11:14">
      <c r="K3322" s="1471"/>
    </row>
    <row r="3323" spans="11:14">
      <c r="K3323" s="1471"/>
    </row>
    <row r="3324" spans="11:14">
      <c r="K3324" s="1471"/>
    </row>
    <row r="3325" spans="11:14">
      <c r="K3325" s="1471"/>
    </row>
    <row r="3326" spans="11:14">
      <c r="K3326" s="1471"/>
    </row>
    <row r="3327" spans="11:14">
      <c r="K3327" s="1471"/>
    </row>
    <row r="3328" spans="11:14">
      <c r="K3328" s="1471"/>
    </row>
    <row r="3329" spans="11:11">
      <c r="K3329" s="1471"/>
    </row>
    <row r="3330" spans="11:11">
      <c r="K3330" s="1471"/>
    </row>
    <row r="3331" spans="11:11">
      <c r="K3331" s="1471"/>
    </row>
    <row r="3332" spans="11:11">
      <c r="K3332" s="1471"/>
    </row>
    <row r="3333" spans="11:11">
      <c r="K3333" s="1471"/>
    </row>
    <row r="3334" spans="11:11">
      <c r="K3334" s="1471"/>
    </row>
    <row r="3335" spans="11:11">
      <c r="K3335" s="1471"/>
    </row>
    <row r="3336" spans="11:11">
      <c r="K3336" s="1471"/>
    </row>
    <row r="3337" spans="11:11">
      <c r="K3337" s="1471"/>
    </row>
    <row r="3338" spans="11:11">
      <c r="K3338" s="1471"/>
    </row>
    <row r="3339" spans="11:11">
      <c r="K3339" s="1471"/>
    </row>
    <row r="3340" spans="11:11">
      <c r="K3340" s="1471"/>
    </row>
    <row r="3341" spans="11:11">
      <c r="K3341" s="1471"/>
    </row>
    <row r="3342" spans="11:11">
      <c r="K3342" s="1471"/>
    </row>
    <row r="3343" spans="11:11">
      <c r="K3343" s="1471"/>
    </row>
    <row r="3344" spans="11:11">
      <c r="K3344" s="1471"/>
    </row>
    <row r="3345" spans="11:11">
      <c r="K3345" s="1471"/>
    </row>
    <row r="3346" spans="11:11">
      <c r="K3346" s="1471"/>
    </row>
    <row r="3347" spans="11:11">
      <c r="K3347" s="1471"/>
    </row>
    <row r="3348" spans="11:11">
      <c r="K3348" s="1471"/>
    </row>
    <row r="3349" spans="11:11">
      <c r="K3349" s="1471"/>
    </row>
    <row r="3350" spans="11:11">
      <c r="K3350" s="1471"/>
    </row>
    <row r="3351" spans="11:11">
      <c r="K3351" s="1471"/>
    </row>
    <row r="3352" spans="11:11">
      <c r="K3352" s="1471"/>
    </row>
    <row r="3353" spans="11:11">
      <c r="K3353" s="1471"/>
    </row>
    <row r="3354" spans="11:11">
      <c r="K3354" s="1471"/>
    </row>
    <row r="3355" spans="11:11">
      <c r="K3355" s="1471"/>
    </row>
    <row r="3356" spans="11:11">
      <c r="K3356" s="1471"/>
    </row>
    <row r="3357" spans="11:11">
      <c r="K3357" s="1471"/>
    </row>
    <row r="3358" spans="11:11">
      <c r="K3358" s="1471"/>
    </row>
    <row r="3359" spans="11:11">
      <c r="K3359" s="1471"/>
    </row>
    <row r="3360" spans="11:11">
      <c r="K3360" s="1471"/>
    </row>
    <row r="3361" spans="11:11">
      <c r="K3361" s="1471"/>
    </row>
    <row r="3362" spans="11:11">
      <c r="K3362" s="1471"/>
    </row>
    <row r="3363" spans="11:11">
      <c r="K3363" s="1471"/>
    </row>
    <row r="3364" spans="11:11">
      <c r="K3364" s="1471"/>
    </row>
    <row r="3365" spans="11:11">
      <c r="K3365" s="1471"/>
    </row>
    <row r="3366" spans="11:11">
      <c r="K3366" s="1471"/>
    </row>
    <row r="3367" spans="11:11">
      <c r="K3367" s="1471"/>
    </row>
    <row r="3368" spans="11:11">
      <c r="K3368" s="1471"/>
    </row>
    <row r="3369" spans="11:11">
      <c r="K3369" s="1471"/>
    </row>
    <row r="3370" spans="11:11">
      <c r="K3370" s="1471"/>
    </row>
    <row r="3371" spans="11:11">
      <c r="K3371" s="1471"/>
    </row>
    <row r="3372" spans="11:11">
      <c r="K3372" s="1471"/>
    </row>
    <row r="3373" spans="11:11">
      <c r="K3373" s="1471"/>
    </row>
    <row r="3374" spans="11:11">
      <c r="K3374" s="1471"/>
    </row>
    <row r="3375" spans="11:11">
      <c r="K3375" s="1471"/>
    </row>
    <row r="3376" spans="11:11">
      <c r="K3376" s="1471"/>
    </row>
    <row r="3377" spans="11:11">
      <c r="K3377" s="1471"/>
    </row>
    <row r="3378" spans="11:11">
      <c r="K3378" s="1471"/>
    </row>
    <row r="3379" spans="11:11">
      <c r="K3379" s="1471"/>
    </row>
    <row r="3380" spans="11:11">
      <c r="K3380" s="1471"/>
    </row>
    <row r="3381" spans="11:11">
      <c r="K3381" s="1471"/>
    </row>
    <row r="3382" spans="11:11">
      <c r="K3382" s="1471"/>
    </row>
    <row r="3383" spans="11:11">
      <c r="K3383" s="1471"/>
    </row>
    <row r="3384" spans="11:11">
      <c r="K3384" s="1471"/>
    </row>
    <row r="3385" spans="11:11">
      <c r="K3385" s="1471"/>
    </row>
    <row r="3386" spans="11:11">
      <c r="K3386" s="1471"/>
    </row>
    <row r="3387" spans="11:11">
      <c r="K3387" s="1471"/>
    </row>
    <row r="3388" spans="11:11">
      <c r="K3388" s="1471"/>
    </row>
    <row r="3389" spans="11:11">
      <c r="K3389" s="1471"/>
    </row>
    <row r="3390" spans="11:11">
      <c r="K3390" s="1471"/>
    </row>
    <row r="3391" spans="11:11">
      <c r="K3391" s="1471"/>
    </row>
    <row r="3392" spans="11:11">
      <c r="K3392" s="1471"/>
    </row>
    <row r="3393" spans="11:11">
      <c r="K3393" s="1471"/>
    </row>
    <row r="3394" spans="11:11">
      <c r="K3394" s="1471"/>
    </row>
    <row r="3395" spans="11:11">
      <c r="K3395" s="1471"/>
    </row>
    <row r="3396" spans="11:11">
      <c r="K3396" s="1471"/>
    </row>
    <row r="3397" spans="11:11">
      <c r="K3397" s="1471"/>
    </row>
    <row r="3398" spans="11:11">
      <c r="K3398" s="1471"/>
    </row>
    <row r="3399" spans="11:11">
      <c r="K3399" s="1471"/>
    </row>
    <row r="3400" spans="11:11">
      <c r="K3400" s="1471"/>
    </row>
    <row r="3401" spans="11:11">
      <c r="K3401" s="1471"/>
    </row>
    <row r="3402" spans="11:11">
      <c r="K3402" s="1471"/>
    </row>
    <row r="3403" spans="11:11">
      <c r="K3403" s="1471"/>
    </row>
    <row r="3404" spans="11:11">
      <c r="K3404" s="1471"/>
    </row>
    <row r="3405" spans="11:11">
      <c r="K3405" s="1471"/>
    </row>
    <row r="3406" spans="11:11">
      <c r="K3406" s="1471"/>
    </row>
    <row r="3407" spans="11:11">
      <c r="K3407" s="1471"/>
    </row>
    <row r="3408" spans="11:11">
      <c r="K3408" s="1471"/>
    </row>
    <row r="3409" spans="11:11">
      <c r="K3409" s="1471"/>
    </row>
    <row r="3410" spans="11:11">
      <c r="K3410" s="1471"/>
    </row>
    <row r="3411" spans="11:11">
      <c r="K3411" s="1471"/>
    </row>
    <row r="3412" spans="11:11">
      <c r="K3412" s="1471"/>
    </row>
    <row r="3413" spans="11:11">
      <c r="K3413" s="1471"/>
    </row>
    <row r="3414" spans="11:11">
      <c r="K3414" s="1471"/>
    </row>
    <row r="3415" spans="11:11">
      <c r="K3415" s="1471"/>
    </row>
    <row r="3416" spans="11:11">
      <c r="K3416" s="1471"/>
    </row>
    <row r="3417" spans="11:11">
      <c r="K3417" s="1471"/>
    </row>
    <row r="3418" spans="11:11">
      <c r="K3418" s="1471"/>
    </row>
    <row r="3419" spans="11:11">
      <c r="K3419" s="1471"/>
    </row>
    <row r="3420" spans="11:11">
      <c r="K3420" s="1471"/>
    </row>
    <row r="3421" spans="11:11">
      <c r="K3421" s="1471"/>
    </row>
    <row r="3422" spans="11:11">
      <c r="K3422" s="1471"/>
    </row>
    <row r="3423" spans="11:11">
      <c r="K3423" s="1471"/>
    </row>
    <row r="3424" spans="11:11">
      <c r="K3424" s="1471"/>
    </row>
    <row r="3425" spans="11:11">
      <c r="K3425" s="1471"/>
    </row>
    <row r="3426" spans="11:11">
      <c r="K3426" s="1471"/>
    </row>
    <row r="3427" spans="11:11">
      <c r="K3427" s="1471"/>
    </row>
    <row r="3428" spans="11:11">
      <c r="K3428" s="1471"/>
    </row>
    <row r="3429" spans="11:11">
      <c r="K3429" s="1471"/>
    </row>
    <row r="3430" spans="11:11">
      <c r="K3430" s="1471"/>
    </row>
    <row r="3431" spans="11:11">
      <c r="K3431" s="1471"/>
    </row>
    <row r="3432" spans="11:11">
      <c r="K3432" s="1471"/>
    </row>
    <row r="3433" spans="11:11">
      <c r="K3433" s="1471"/>
    </row>
    <row r="3434" spans="11:11">
      <c r="K3434" s="1471"/>
    </row>
    <row r="3435" spans="11:11">
      <c r="K3435" s="1471"/>
    </row>
    <row r="3436" spans="11:11">
      <c r="K3436" s="1471"/>
    </row>
    <row r="3437" spans="11:11">
      <c r="K3437" s="1471"/>
    </row>
    <row r="3438" spans="11:11">
      <c r="K3438" s="1471"/>
    </row>
    <row r="3439" spans="11:11">
      <c r="K3439" s="1471"/>
    </row>
    <row r="3440" spans="11:11">
      <c r="K3440" s="1471"/>
    </row>
    <row r="3441" spans="11:11">
      <c r="K3441" s="1471"/>
    </row>
    <row r="3442" spans="11:11">
      <c r="K3442" s="1471"/>
    </row>
    <row r="3443" spans="11:11">
      <c r="K3443" s="1471"/>
    </row>
    <row r="3444" spans="11:11">
      <c r="K3444" s="1471"/>
    </row>
    <row r="3445" spans="11:11">
      <c r="K3445" s="1471"/>
    </row>
    <row r="3446" spans="11:11">
      <c r="K3446" s="1471"/>
    </row>
    <row r="3447" spans="11:11">
      <c r="K3447" s="1471"/>
    </row>
    <row r="3448" spans="11:11">
      <c r="K3448" s="1471"/>
    </row>
    <row r="3449" spans="11:11">
      <c r="K3449" s="1471"/>
    </row>
    <row r="3450" spans="11:11">
      <c r="K3450" s="1471"/>
    </row>
    <row r="3451" spans="11:11">
      <c r="K3451" s="1471"/>
    </row>
    <row r="3452" spans="11:11">
      <c r="K3452" s="1471"/>
    </row>
    <row r="3453" spans="11:11">
      <c r="K3453" s="1471"/>
    </row>
    <row r="3454" spans="11:11">
      <c r="K3454" s="1471"/>
    </row>
    <row r="3455" spans="11:11">
      <c r="K3455" s="1471"/>
    </row>
    <row r="3456" spans="11:11">
      <c r="K3456" s="1471"/>
    </row>
    <row r="3457" spans="11:11">
      <c r="K3457" s="1471"/>
    </row>
    <row r="3458" spans="11:11">
      <c r="K3458" s="1471"/>
    </row>
    <row r="3459" spans="11:11">
      <c r="K3459" s="1471"/>
    </row>
    <row r="3460" spans="11:11">
      <c r="K3460" s="1471"/>
    </row>
    <row r="3461" spans="11:11">
      <c r="K3461" s="1471"/>
    </row>
    <row r="3462" spans="11:11">
      <c r="K3462" s="1471"/>
    </row>
    <row r="3463" spans="11:11">
      <c r="K3463" s="1471"/>
    </row>
    <row r="3464" spans="11:11">
      <c r="K3464" s="1471"/>
    </row>
    <row r="3465" spans="11:11">
      <c r="K3465" s="1471"/>
    </row>
    <row r="3466" spans="11:11">
      <c r="K3466" s="1471"/>
    </row>
    <row r="3467" spans="11:11">
      <c r="K3467" s="1471"/>
    </row>
    <row r="3468" spans="11:11">
      <c r="K3468" s="1471"/>
    </row>
    <row r="3469" spans="11:11">
      <c r="K3469" s="1471"/>
    </row>
    <row r="3470" spans="11:11">
      <c r="K3470" s="1471"/>
    </row>
    <row r="3471" spans="11:11">
      <c r="K3471" s="1471"/>
    </row>
    <row r="3472" spans="11:11">
      <c r="K3472" s="1471"/>
    </row>
    <row r="3473" spans="11:11">
      <c r="K3473" s="1471"/>
    </row>
    <row r="3474" spans="11:11">
      <c r="K3474" s="1471"/>
    </row>
    <row r="3475" spans="11:11">
      <c r="K3475" s="1471"/>
    </row>
    <row r="3476" spans="11:11">
      <c r="K3476" s="1471"/>
    </row>
    <row r="3477" spans="11:11">
      <c r="K3477" s="1471"/>
    </row>
    <row r="3478" spans="11:11">
      <c r="K3478" s="1471"/>
    </row>
    <row r="3479" spans="11:11">
      <c r="K3479" s="1471"/>
    </row>
    <row r="3480" spans="11:11">
      <c r="K3480" s="1471"/>
    </row>
    <row r="3481" spans="11:11">
      <c r="K3481" s="1471"/>
    </row>
    <row r="3482" spans="11:11">
      <c r="K3482" s="1471"/>
    </row>
    <row r="3483" spans="11:11">
      <c r="K3483" s="1471"/>
    </row>
    <row r="3484" spans="11:11">
      <c r="K3484" s="1471"/>
    </row>
    <row r="3485" spans="11:11">
      <c r="K3485" s="1471"/>
    </row>
    <row r="3486" spans="11:11">
      <c r="K3486" s="1471"/>
    </row>
    <row r="3487" spans="11:11">
      <c r="K3487" s="1471"/>
    </row>
    <row r="3488" spans="11:11">
      <c r="K3488" s="1471"/>
    </row>
    <row r="3489" spans="11:11">
      <c r="K3489" s="1471"/>
    </row>
    <row r="3490" spans="11:11">
      <c r="K3490" s="1471"/>
    </row>
    <row r="3491" spans="11:11">
      <c r="K3491" s="1471"/>
    </row>
    <row r="3492" spans="11:11">
      <c r="K3492" s="1471"/>
    </row>
    <row r="3493" spans="11:11">
      <c r="K3493" s="1471"/>
    </row>
    <row r="3494" spans="11:11">
      <c r="K3494" s="1471"/>
    </row>
    <row r="3495" spans="11:11">
      <c r="K3495" s="1471"/>
    </row>
    <row r="3496" spans="11:11">
      <c r="K3496" s="1471"/>
    </row>
    <row r="3497" spans="11:11">
      <c r="K3497" s="1471"/>
    </row>
    <row r="3498" spans="11:11">
      <c r="K3498" s="1471"/>
    </row>
    <row r="3499" spans="11:11">
      <c r="K3499" s="1471"/>
    </row>
    <row r="3500" spans="11:11">
      <c r="K3500" s="1471"/>
    </row>
    <row r="3501" spans="11:11">
      <c r="K3501" s="1471"/>
    </row>
    <row r="3502" spans="11:11">
      <c r="K3502" s="1471"/>
    </row>
    <row r="3503" spans="11:11">
      <c r="K3503" s="1471"/>
    </row>
    <row r="3504" spans="11:11">
      <c r="K3504" s="1471"/>
    </row>
    <row r="3505" spans="11:11">
      <c r="K3505" s="1471"/>
    </row>
    <row r="3506" spans="11:11">
      <c r="K3506" s="1471"/>
    </row>
    <row r="3507" spans="11:11">
      <c r="K3507" s="1471"/>
    </row>
    <row r="3508" spans="11:11">
      <c r="K3508" s="1471"/>
    </row>
    <row r="3509" spans="11:11">
      <c r="K3509" s="1471"/>
    </row>
    <row r="3510" spans="11:11">
      <c r="K3510" s="1471"/>
    </row>
    <row r="3511" spans="11:11">
      <c r="K3511" s="1471"/>
    </row>
    <row r="3512" spans="11:11">
      <c r="K3512" s="1471"/>
    </row>
    <row r="3513" spans="11:11">
      <c r="K3513" s="1471"/>
    </row>
    <row r="3514" spans="11:11">
      <c r="K3514" s="1471"/>
    </row>
    <row r="3515" spans="11:11">
      <c r="K3515" s="1471"/>
    </row>
    <row r="3516" spans="11:11">
      <c r="K3516" s="1471"/>
    </row>
    <row r="3517" spans="11:11">
      <c r="K3517" s="1471"/>
    </row>
    <row r="3518" spans="11:11">
      <c r="K3518" s="1471"/>
    </row>
    <row r="3519" spans="11:11">
      <c r="K3519" s="1471"/>
    </row>
    <row r="3520" spans="11:11">
      <c r="K3520" s="1471"/>
    </row>
    <row r="3521" spans="11:11">
      <c r="K3521" s="1471"/>
    </row>
    <row r="3522" spans="11:11">
      <c r="K3522" s="1471"/>
    </row>
    <row r="3523" spans="11:11">
      <c r="K3523" s="1471"/>
    </row>
    <row r="3524" spans="11:11">
      <c r="K3524" s="1471"/>
    </row>
    <row r="3525" spans="11:11">
      <c r="K3525" s="1471"/>
    </row>
    <row r="3526" spans="11:11">
      <c r="K3526" s="1471"/>
    </row>
    <row r="3527" spans="11:11">
      <c r="K3527" s="1471"/>
    </row>
    <row r="3528" spans="11:11">
      <c r="K3528" s="1471"/>
    </row>
    <row r="3529" spans="11:11">
      <c r="K3529" s="1471"/>
    </row>
    <row r="3530" spans="11:11">
      <c r="K3530" s="1471"/>
    </row>
    <row r="3531" spans="11:11">
      <c r="K3531" s="1471"/>
    </row>
    <row r="3532" spans="11:11">
      <c r="K3532" s="1471"/>
    </row>
    <row r="3533" spans="11:11">
      <c r="K3533" s="1471"/>
    </row>
    <row r="3534" spans="11:11">
      <c r="K3534" s="1471"/>
    </row>
    <row r="3535" spans="11:11">
      <c r="K3535" s="1471"/>
    </row>
    <row r="3536" spans="11:11">
      <c r="K3536" s="1471"/>
    </row>
    <row r="3537" spans="11:11">
      <c r="K3537" s="1471"/>
    </row>
    <row r="3538" spans="11:11">
      <c r="K3538" s="1471"/>
    </row>
    <row r="3539" spans="11:11">
      <c r="K3539" s="1471"/>
    </row>
    <row r="3540" spans="11:11">
      <c r="K3540" s="1471"/>
    </row>
    <row r="3541" spans="11:11">
      <c r="K3541" s="1471"/>
    </row>
    <row r="3542" spans="11:11">
      <c r="K3542" s="1471"/>
    </row>
    <row r="3543" spans="11:11">
      <c r="K3543" s="1471"/>
    </row>
    <row r="3544" spans="11:11">
      <c r="K3544" s="1471"/>
    </row>
    <row r="3545" spans="11:11">
      <c r="K3545" s="1471"/>
    </row>
    <row r="3546" spans="11:11">
      <c r="K3546" s="1471"/>
    </row>
    <row r="3547" spans="11:11">
      <c r="K3547" s="1471"/>
    </row>
    <row r="3548" spans="11:11">
      <c r="K3548" s="1471"/>
    </row>
    <row r="3549" spans="11:11">
      <c r="K3549" s="1471"/>
    </row>
    <row r="3550" spans="11:11">
      <c r="K3550" s="1471"/>
    </row>
    <row r="3551" spans="11:11">
      <c r="K3551" s="1471"/>
    </row>
    <row r="3552" spans="11:11">
      <c r="K3552" s="1471"/>
    </row>
    <row r="3553" spans="11:11">
      <c r="K3553" s="1471"/>
    </row>
    <row r="3554" spans="11:11">
      <c r="K3554" s="1471"/>
    </row>
    <row r="3555" spans="11:11">
      <c r="K3555" s="1471"/>
    </row>
    <row r="3556" spans="11:11">
      <c r="K3556" s="1471"/>
    </row>
    <row r="3557" spans="11:11">
      <c r="K3557" s="1471"/>
    </row>
    <row r="3558" spans="11:11">
      <c r="K3558" s="1471"/>
    </row>
    <row r="3559" spans="11:11">
      <c r="K3559" s="1471"/>
    </row>
    <row r="3560" spans="11:11">
      <c r="K3560" s="1471"/>
    </row>
    <row r="3561" spans="11:11">
      <c r="K3561" s="1471"/>
    </row>
    <row r="3562" spans="11:11">
      <c r="K3562" s="1471"/>
    </row>
    <row r="3563" spans="11:11">
      <c r="K3563" s="1471"/>
    </row>
    <row r="3564" spans="11:11">
      <c r="K3564" s="1471"/>
    </row>
    <row r="3565" spans="11:11">
      <c r="K3565" s="1471"/>
    </row>
    <row r="3566" spans="11:11">
      <c r="K3566" s="1471"/>
    </row>
    <row r="3567" spans="11:11">
      <c r="K3567" s="1471"/>
    </row>
    <row r="3568" spans="11:11">
      <c r="K3568" s="1471"/>
    </row>
    <row r="3569" spans="11:11">
      <c r="K3569" s="1471"/>
    </row>
    <row r="3570" spans="11:11">
      <c r="K3570" s="1471"/>
    </row>
    <row r="3571" spans="11:11">
      <c r="K3571" s="1471"/>
    </row>
    <row r="3572" spans="11:11">
      <c r="K3572" s="1471"/>
    </row>
    <row r="3573" spans="11:11">
      <c r="K3573" s="1471"/>
    </row>
    <row r="3574" spans="11:11">
      <c r="K3574" s="1471"/>
    </row>
    <row r="3575" spans="11:11">
      <c r="K3575" s="1471"/>
    </row>
    <row r="3576" spans="11:11">
      <c r="K3576" s="1471"/>
    </row>
    <row r="3577" spans="11:11">
      <c r="K3577" s="1471"/>
    </row>
    <row r="3578" spans="11:11">
      <c r="K3578" s="1471"/>
    </row>
    <row r="3579" spans="11:11">
      <c r="K3579" s="1471"/>
    </row>
    <row r="3580" spans="11:11">
      <c r="K3580" s="1471"/>
    </row>
    <row r="3581" spans="11:11">
      <c r="K3581" s="1471"/>
    </row>
    <row r="3582" spans="11:11">
      <c r="K3582" s="1471"/>
    </row>
    <row r="3583" spans="11:11">
      <c r="K3583" s="1471"/>
    </row>
    <row r="3584" spans="11:11">
      <c r="K3584" s="1471"/>
    </row>
    <row r="3585" spans="11:11">
      <c r="K3585" s="1471"/>
    </row>
    <row r="3586" spans="11:11">
      <c r="K3586" s="1471"/>
    </row>
    <row r="3587" spans="11:11">
      <c r="K3587" s="1471"/>
    </row>
    <row r="3588" spans="11:11">
      <c r="K3588" s="1471"/>
    </row>
    <row r="3589" spans="11:11">
      <c r="K3589" s="1471"/>
    </row>
    <row r="3590" spans="11:11">
      <c r="K3590" s="1471"/>
    </row>
    <row r="3591" spans="11:11">
      <c r="K3591" s="1471"/>
    </row>
    <row r="3592" spans="11:11">
      <c r="K3592" s="1471"/>
    </row>
    <row r="3593" spans="11:11">
      <c r="K3593" s="1471"/>
    </row>
    <row r="3594" spans="11:11">
      <c r="K3594" s="1471"/>
    </row>
    <row r="3595" spans="11:11">
      <c r="K3595" s="1471"/>
    </row>
    <row r="3596" spans="11:11">
      <c r="K3596" s="1471"/>
    </row>
    <row r="3597" spans="11:11">
      <c r="K3597" s="1471"/>
    </row>
    <row r="3598" spans="11:11">
      <c r="K3598" s="1471"/>
    </row>
    <row r="3599" spans="11:11">
      <c r="K3599" s="1471"/>
    </row>
    <row r="3600" spans="11:11">
      <c r="K3600" s="1471"/>
    </row>
    <row r="3601" spans="11:11">
      <c r="K3601" s="1471"/>
    </row>
    <row r="3602" spans="11:11">
      <c r="K3602" s="1471"/>
    </row>
    <row r="3603" spans="11:11">
      <c r="K3603" s="1471"/>
    </row>
    <row r="3604" spans="11:11">
      <c r="K3604" s="1471"/>
    </row>
    <row r="3605" spans="11:11">
      <c r="K3605" s="1471"/>
    </row>
    <row r="3606" spans="11:11">
      <c r="K3606" s="1471"/>
    </row>
    <row r="3607" spans="11:11">
      <c r="K3607" s="1471"/>
    </row>
    <row r="3608" spans="11:11">
      <c r="K3608" s="1471"/>
    </row>
    <row r="3609" spans="11:11">
      <c r="K3609" s="1471"/>
    </row>
    <row r="3610" spans="11:11">
      <c r="K3610" s="1471"/>
    </row>
    <row r="3611" spans="11:11">
      <c r="K3611" s="1471"/>
    </row>
    <row r="3612" spans="11:11">
      <c r="K3612" s="1471"/>
    </row>
    <row r="3613" spans="11:11">
      <c r="K3613" s="1471"/>
    </row>
    <row r="3614" spans="11:11">
      <c r="K3614" s="1471"/>
    </row>
    <row r="3615" spans="11:11">
      <c r="K3615" s="1471"/>
    </row>
    <row r="3616" spans="11:11">
      <c r="K3616" s="1471"/>
    </row>
    <row r="3617" spans="11:11">
      <c r="K3617" s="1471"/>
    </row>
    <row r="3618" spans="11:11">
      <c r="K3618" s="1471"/>
    </row>
    <row r="3619" spans="11:11">
      <c r="K3619" s="1471"/>
    </row>
    <row r="3620" spans="11:11">
      <c r="K3620" s="1471"/>
    </row>
    <row r="3621" spans="11:11">
      <c r="K3621" s="1471"/>
    </row>
    <row r="3622" spans="11:11">
      <c r="K3622" s="1471"/>
    </row>
    <row r="3623" spans="11:11">
      <c r="K3623" s="1471"/>
    </row>
    <row r="3624" spans="11:11">
      <c r="K3624" s="1471"/>
    </row>
    <row r="3625" spans="11:11">
      <c r="K3625" s="1471"/>
    </row>
    <row r="3626" spans="11:11">
      <c r="K3626" s="1471"/>
    </row>
    <row r="3627" spans="11:11">
      <c r="K3627" s="1471"/>
    </row>
    <row r="3628" spans="11:11">
      <c r="K3628" s="1471"/>
    </row>
    <row r="3629" spans="11:11">
      <c r="K3629" s="1471"/>
    </row>
    <row r="3630" spans="11:11">
      <c r="K3630" s="1471"/>
    </row>
    <row r="3631" spans="11:11">
      <c r="K3631" s="1471"/>
    </row>
    <row r="3632" spans="11:11">
      <c r="K3632" s="1471"/>
    </row>
    <row r="3633" spans="11:11">
      <c r="K3633" s="1471"/>
    </row>
    <row r="3634" spans="11:11">
      <c r="K3634" s="1471"/>
    </row>
    <row r="3635" spans="11:11">
      <c r="K3635" s="1471"/>
    </row>
    <row r="3636" spans="11:11">
      <c r="K3636" s="1471"/>
    </row>
    <row r="3637" spans="11:11">
      <c r="K3637" s="1471"/>
    </row>
    <row r="3638" spans="11:11">
      <c r="K3638" s="1471"/>
    </row>
    <row r="3639" spans="11:11">
      <c r="K3639" s="1471"/>
    </row>
    <row r="3640" spans="11:11">
      <c r="K3640" s="1471"/>
    </row>
    <row r="3641" spans="11:11">
      <c r="K3641" s="1471"/>
    </row>
    <row r="3642" spans="11:11">
      <c r="K3642" s="1471"/>
    </row>
    <row r="3643" spans="11:11">
      <c r="K3643" s="1471"/>
    </row>
    <row r="3644" spans="11:11">
      <c r="K3644" s="1471"/>
    </row>
    <row r="3645" spans="11:11">
      <c r="K3645" s="1471"/>
    </row>
    <row r="3646" spans="11:11">
      <c r="K3646" s="1471"/>
    </row>
    <row r="3647" spans="11:11">
      <c r="K3647" s="1471"/>
    </row>
    <row r="3648" spans="11:11">
      <c r="K3648" s="1471"/>
    </row>
    <row r="3649" spans="11:11">
      <c r="K3649" s="1471"/>
    </row>
    <row r="3650" spans="11:11">
      <c r="K3650" s="1471"/>
    </row>
    <row r="3651" spans="11:11">
      <c r="K3651" s="1471"/>
    </row>
    <row r="3652" spans="11:11">
      <c r="K3652" s="1471"/>
    </row>
    <row r="3653" spans="11:11">
      <c r="K3653" s="1471"/>
    </row>
    <row r="3654" spans="11:11">
      <c r="K3654" s="1471"/>
    </row>
    <row r="3655" spans="11:11">
      <c r="K3655" s="1471"/>
    </row>
    <row r="3656" spans="11:11">
      <c r="K3656" s="1471"/>
    </row>
    <row r="3657" spans="11:11">
      <c r="K3657" s="1471"/>
    </row>
    <row r="3658" spans="11:11">
      <c r="K3658" s="1471"/>
    </row>
    <row r="3659" spans="11:11">
      <c r="K3659" s="1471"/>
    </row>
    <row r="3660" spans="11:11">
      <c r="K3660" s="1471"/>
    </row>
    <row r="3661" spans="11:11">
      <c r="K3661" s="1471"/>
    </row>
    <row r="3662" spans="11:11">
      <c r="K3662" s="1471"/>
    </row>
    <row r="3663" spans="11:11">
      <c r="K3663" s="1471"/>
    </row>
    <row r="3664" spans="11:11">
      <c r="K3664" s="1471"/>
    </row>
    <row r="3665" spans="11:11">
      <c r="K3665" s="1471"/>
    </row>
    <row r="3666" spans="11:11">
      <c r="K3666" s="1471"/>
    </row>
    <row r="3667" spans="11:11">
      <c r="K3667" s="1471"/>
    </row>
    <row r="3668" spans="11:11">
      <c r="K3668" s="1471"/>
    </row>
    <row r="3669" spans="11:11">
      <c r="K3669" s="1471"/>
    </row>
    <row r="3670" spans="11:11">
      <c r="K3670" s="1471"/>
    </row>
    <row r="3671" spans="11:11">
      <c r="K3671" s="1471"/>
    </row>
    <row r="3672" spans="11:11">
      <c r="K3672" s="1471"/>
    </row>
    <row r="3673" spans="11:11">
      <c r="K3673" s="1471"/>
    </row>
    <row r="3674" spans="11:11">
      <c r="K3674" s="1471"/>
    </row>
    <row r="3675" spans="11:11">
      <c r="K3675" s="1471"/>
    </row>
    <row r="3676" spans="11:11">
      <c r="K3676" s="1471"/>
    </row>
    <row r="3677" spans="11:11">
      <c r="K3677" s="1471"/>
    </row>
    <row r="3678" spans="11:11">
      <c r="K3678" s="1471"/>
    </row>
    <row r="3679" spans="11:11">
      <c r="K3679" s="1471"/>
    </row>
    <row r="3680" spans="11:11">
      <c r="K3680" s="1471"/>
    </row>
    <row r="3681" spans="11:11">
      <c r="K3681" s="1471"/>
    </row>
    <row r="3682" spans="11:11">
      <c r="K3682" s="1471"/>
    </row>
    <row r="3683" spans="11:11">
      <c r="K3683" s="1471"/>
    </row>
    <row r="3684" spans="11:11">
      <c r="K3684" s="1471"/>
    </row>
    <row r="3685" spans="11:11">
      <c r="K3685" s="1471"/>
    </row>
    <row r="3686" spans="11:11">
      <c r="K3686" s="1471"/>
    </row>
    <row r="3687" spans="11:11">
      <c r="K3687" s="1471"/>
    </row>
    <row r="3688" spans="11:11">
      <c r="K3688" s="1471"/>
    </row>
    <row r="3689" spans="11:11">
      <c r="K3689" s="1471"/>
    </row>
    <row r="3690" spans="11:11">
      <c r="K3690" s="1471"/>
    </row>
    <row r="3691" spans="11:11">
      <c r="K3691" s="1471"/>
    </row>
    <row r="3692" spans="11:11">
      <c r="K3692" s="1471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/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5" t="s">
        <v>2202</v>
      </c>
      <c r="B9" s="1585" t="s">
        <v>2203</v>
      </c>
      <c r="C9" s="1585"/>
      <c r="D9" s="1585" t="s">
        <v>2204</v>
      </c>
      <c r="E9" s="1703" t="s">
        <v>2229</v>
      </c>
      <c r="F9" s="1703" t="s">
        <v>2228</v>
      </c>
      <c r="G9" s="1703" t="s">
        <v>36</v>
      </c>
    </row>
    <row r="10" spans="1:11">
      <c r="A10" s="1870" t="s">
        <v>753</v>
      </c>
      <c r="B10" s="1870" t="s">
        <v>2077</v>
      </c>
      <c r="C10" s="1586">
        <v>12</v>
      </c>
      <c r="D10" s="1586" t="s">
        <v>2036</v>
      </c>
      <c r="E10" s="1704">
        <f>Encargos!I20</f>
        <v>9419991.3842511326</v>
      </c>
      <c r="F10" s="1704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-128162.06640272774</v>
      </c>
      <c r="G10" s="1704">
        <f>(SUMIFS(Financeiros[Valor],Financeiros[iddet1],19,Financeiros[iddet2],60,Financeiros[id_Detalhe_Grupo_TARIFA],C10))</f>
        <v>0</v>
      </c>
      <c r="K10" s="9"/>
    </row>
    <row r="11" spans="1:11">
      <c r="A11" s="1871"/>
      <c r="B11" s="1870"/>
      <c r="C11" s="1586">
        <v>14</v>
      </c>
      <c r="D11" s="1586" t="s">
        <v>40</v>
      </c>
      <c r="E11" s="1704">
        <f ca="1">Resultado!D17</f>
        <v>174059.44361910204</v>
      </c>
      <c r="F11" s="1704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-3549.1525413601648</v>
      </c>
      <c r="G11" s="1704">
        <f>(SUMIFS(Financeiros[Valor],Financeiros[iddet1],19,Financeiros[iddet2],60,Financeiros[id_Detalhe_Grupo_TARIFA],C11))</f>
        <v>0</v>
      </c>
    </row>
    <row r="12" spans="1:11">
      <c r="A12" s="1871"/>
      <c r="B12" s="1870"/>
      <c r="C12" s="1586">
        <v>19</v>
      </c>
      <c r="D12" s="1586" t="s">
        <v>48</v>
      </c>
      <c r="E12" s="1704">
        <f ca="1">Resultado!D22-E38</f>
        <v>0</v>
      </c>
      <c r="F12" s="1704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04">
        <f>(SUMIFS(Financeiros[Valor],Financeiros[iddet1],19,Financeiros[iddet2],60,Financeiros[id_Detalhe_Grupo_TARIFA],C12))</f>
        <v>0</v>
      </c>
    </row>
    <row r="13" spans="1:11">
      <c r="A13" s="1871"/>
      <c r="B13" s="1870"/>
      <c r="C13" s="1586">
        <v>20</v>
      </c>
      <c r="D13" s="1586" t="s">
        <v>49</v>
      </c>
      <c r="E13" s="1704">
        <f>Resultado!D23</f>
        <v>0</v>
      </c>
      <c r="F13" s="1704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04">
        <f>(SUMIFS(Financeiros[Valor],Financeiros[iddet1],19,Financeiros[iddet2],60,Financeiros[id_Detalhe_Grupo_TARIFA],C13))</f>
        <v>0</v>
      </c>
    </row>
    <row r="14" spans="1:11">
      <c r="A14" s="1871"/>
      <c r="B14" s="1870"/>
      <c r="C14" s="1586">
        <v>13</v>
      </c>
      <c r="D14" s="1586" t="s">
        <v>39</v>
      </c>
      <c r="E14" s="1704">
        <f>Resultado!D16</f>
        <v>0</v>
      </c>
      <c r="F14" s="1704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04">
        <f>(SUMIFS(Financeiros[Valor],Financeiros[iddet1],19,Financeiros[iddet2],60,Financeiros[id_Detalhe_Grupo_TARIFA],C14))</f>
        <v>0</v>
      </c>
    </row>
    <row r="15" spans="1:11">
      <c r="A15" s="1871"/>
      <c r="B15" s="1870"/>
      <c r="C15" s="1586">
        <v>15</v>
      </c>
      <c r="D15" s="1586" t="s">
        <v>41</v>
      </c>
      <c r="E15" s="1704">
        <f ca="1">Encargos!I19</f>
        <v>26430216.89694</v>
      </c>
      <c r="F15" s="1704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-245185.61438902293</v>
      </c>
      <c r="G15" s="1704">
        <f>(SUMIFS(Financeiros[Valor],Financeiros[iddet1],19,Financeiros[iddet2],60,Financeiros[id_Detalhe_Grupo_TARIFA],C15))</f>
        <v>0</v>
      </c>
    </row>
    <row r="16" spans="1:11">
      <c r="A16" s="1871"/>
      <c r="B16" s="1870"/>
      <c r="C16" s="1586">
        <v>18</v>
      </c>
      <c r="D16" s="1586" t="s">
        <v>47</v>
      </c>
      <c r="E16" s="1704">
        <f ca="1">Resultado!D21</f>
        <v>4738373.3178900015</v>
      </c>
      <c r="F16" s="1704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-37884.487566450392</v>
      </c>
      <c r="G16" s="1704">
        <f>(SUMIFS(Financeiros[Valor],Financeiros[iddet1],19,Financeiros[iddet2],60,Financeiros[id_Detalhe_Grupo_TARIFA],C16))</f>
        <v>0</v>
      </c>
    </row>
    <row r="17" spans="1:7">
      <c r="A17" s="1871"/>
      <c r="B17" s="1870"/>
      <c r="C17" s="1586"/>
      <c r="D17" s="1586" t="s">
        <v>2205</v>
      </c>
      <c r="E17" s="1704">
        <v>0</v>
      </c>
      <c r="F17" s="1704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04">
        <v>0</v>
      </c>
    </row>
    <row r="18" spans="1:7">
      <c r="A18" s="1871"/>
      <c r="B18" s="1870"/>
      <c r="C18" s="1586"/>
      <c r="D18" s="1687" t="s">
        <v>2206</v>
      </c>
      <c r="E18" s="1704">
        <f ca="1">SUM(E10:E17)</f>
        <v>40762641.042700239</v>
      </c>
      <c r="F18" s="1704">
        <f t="shared" ref="F18:G18" ca="1" si="0">SUM(F10:F17)</f>
        <v>-414781.32089956122</v>
      </c>
      <c r="G18" s="1704">
        <f t="shared" si="0"/>
        <v>0</v>
      </c>
    </row>
    <row r="19" spans="1:7">
      <c r="A19" s="1871"/>
      <c r="B19" s="1870" t="s">
        <v>2207</v>
      </c>
      <c r="C19" s="1586">
        <v>1</v>
      </c>
      <c r="D19" s="1586" t="s">
        <v>2208</v>
      </c>
      <c r="E19" s="1704">
        <f>Resultado!D25</f>
        <v>9344727</v>
      </c>
      <c r="F19" s="1704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977316.44974697579</v>
      </c>
      <c r="G19" s="1704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71"/>
      <c r="B20" s="1870"/>
      <c r="C20" s="1586">
        <v>2</v>
      </c>
      <c r="D20" s="1586" t="s">
        <v>2209</v>
      </c>
      <c r="E20" s="1704">
        <f>Resultado!D26</f>
        <v>1309770</v>
      </c>
      <c r="F20" s="1704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136982.03985895967</v>
      </c>
      <c r="G20" s="1704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71"/>
      <c r="B21" s="1870"/>
      <c r="C21" s="1586">
        <v>3</v>
      </c>
      <c r="D21" s="1586" t="s">
        <v>2210</v>
      </c>
      <c r="E21" s="1704">
        <f>Resultado!D31</f>
        <v>0</v>
      </c>
      <c r="F21" s="1704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04">
        <f>(SUMIFS(Financeiros[Valor],Financeiros[iddet1],19,Financeiros[iddet2],60,Financeiros[id_Detalhe_Grupo_TARIFA],C21))</f>
        <v>0</v>
      </c>
    </row>
    <row r="22" spans="1:7">
      <c r="A22" s="1871"/>
      <c r="B22" s="1870"/>
      <c r="C22" s="1586">
        <v>4</v>
      </c>
      <c r="D22" s="1586" t="s">
        <v>2211</v>
      </c>
      <c r="E22" s="1704">
        <f>0</f>
        <v>0</v>
      </c>
      <c r="F22" s="1704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04">
        <f>(SUMIFS(Financeiros[Valor],Financeiros[iddet1],19,Financeiros[iddet2],60,Financeiros[id_Detalhe_Grupo_TARIFA],C22))</f>
        <v>0</v>
      </c>
    </row>
    <row r="23" spans="1:7">
      <c r="A23" s="1871"/>
      <c r="B23" s="1870"/>
      <c r="C23" s="1586">
        <v>7</v>
      </c>
      <c r="D23" s="1586" t="s">
        <v>952</v>
      </c>
      <c r="E23" s="1704">
        <f>Resultado!D32</f>
        <v>0</v>
      </c>
      <c r="F23" s="1704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0</v>
      </c>
      <c r="G23" s="1704">
        <f>(SUMIFS(Financeiros[Valor],Financeiros[iddet1],19,Financeiros[iddet2],60,Financeiros[id_Detalhe_Grupo_TARIFA],C23))</f>
        <v>0</v>
      </c>
    </row>
    <row r="24" spans="1:7">
      <c r="A24" s="1871"/>
      <c r="B24" s="1870"/>
      <c r="C24" s="1586">
        <v>6</v>
      </c>
      <c r="D24" s="1586" t="s">
        <v>2212</v>
      </c>
      <c r="E24" s="1704">
        <f>Resultado!D28</f>
        <v>0</v>
      </c>
      <c r="F24" s="1704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04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71"/>
      <c r="B25" s="1870"/>
      <c r="C25" s="1586">
        <v>5</v>
      </c>
      <c r="D25" s="1586" t="s">
        <v>2213</v>
      </c>
      <c r="E25" s="1704">
        <f>Resultado!D27</f>
        <v>0</v>
      </c>
      <c r="F25" s="1704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04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71"/>
      <c r="B26" s="1870"/>
      <c r="C26" s="1586"/>
      <c r="D26" s="1687" t="s">
        <v>2206</v>
      </c>
      <c r="E26" s="1704">
        <f>SUM(E19:E25)</f>
        <v>10654497</v>
      </c>
      <c r="F26" s="1704">
        <f t="shared" ref="F26:G26" si="1">SUM(F19:F25)</f>
        <v>1114298.4896059355</v>
      </c>
      <c r="G26" s="1704">
        <f t="shared" si="1"/>
        <v>0</v>
      </c>
    </row>
    <row r="27" spans="1:7">
      <c r="A27" s="1871"/>
      <c r="B27" s="1870" t="s">
        <v>2214</v>
      </c>
      <c r="C27" s="1586">
        <v>999</v>
      </c>
      <c r="D27" s="1586" t="s">
        <v>953</v>
      </c>
      <c r="E27" s="1704">
        <f>LnkTXTIParcelaBcomSub</f>
        <v>39323417.770000003</v>
      </c>
      <c r="F27" s="1704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-1208758.9664889562</v>
      </c>
      <c r="G27" s="1704">
        <v>0</v>
      </c>
    </row>
    <row r="28" spans="1:7">
      <c r="A28" s="1871"/>
      <c r="B28" s="1870"/>
      <c r="C28" s="1586"/>
      <c r="D28" s="1687" t="s">
        <v>2206</v>
      </c>
      <c r="E28" s="1704">
        <f>SUM(E27)</f>
        <v>39323417.770000003</v>
      </c>
      <c r="F28" s="1704">
        <f t="shared" ref="F28:G28" ca="1" si="2">SUM(F27)</f>
        <v>-1208758.9664889562</v>
      </c>
      <c r="G28" s="1704">
        <f t="shared" si="2"/>
        <v>0</v>
      </c>
    </row>
    <row r="29" spans="1:7">
      <c r="A29" s="1871"/>
      <c r="B29" s="1870" t="s">
        <v>2215</v>
      </c>
      <c r="C29" s="1586">
        <v>179</v>
      </c>
      <c r="D29" s="1586" t="s">
        <v>2216</v>
      </c>
      <c r="E29" s="1704">
        <v>0</v>
      </c>
      <c r="F29" s="1704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04">
        <v>0</v>
      </c>
    </row>
    <row r="30" spans="1:7">
      <c r="A30" s="1871"/>
      <c r="B30" s="1870"/>
      <c r="C30" s="1586"/>
      <c r="D30" s="1586" t="s">
        <v>949</v>
      </c>
      <c r="E30" s="1704">
        <v>0</v>
      </c>
      <c r="F30" s="1704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04">
        <v>0</v>
      </c>
    </row>
    <row r="31" spans="1:7">
      <c r="A31" s="1871"/>
      <c r="B31" s="1870"/>
      <c r="C31" s="1586"/>
      <c r="D31" s="1687" t="s">
        <v>2206</v>
      </c>
      <c r="E31" s="1704">
        <f>SUM(E29:E30)</f>
        <v>0</v>
      </c>
      <c r="F31" s="1704">
        <f t="shared" ref="F31:G31" ca="1" si="3">SUM(F29:F30)</f>
        <v>0</v>
      </c>
      <c r="G31" s="1704">
        <f t="shared" si="3"/>
        <v>0</v>
      </c>
    </row>
    <row r="32" spans="1:7">
      <c r="A32" s="1871"/>
      <c r="B32" s="1870" t="s">
        <v>2217</v>
      </c>
      <c r="C32" s="1586">
        <v>8</v>
      </c>
      <c r="D32" s="1586" t="s">
        <v>2218</v>
      </c>
      <c r="E32" s="1704">
        <f ca="1">Energia!D11*Energia!D14</f>
        <v>2300271.9527872917</v>
      </c>
      <c r="F32" s="170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-36049.488240288425</v>
      </c>
      <c r="G32" s="1704">
        <f>(SUMIFS(Financeiros[Valor],Financeiros[iddet1],19,Financeiros[iddet2],60,Financeiros[id_Detalhe_Grupo_TARIFA],C32))</f>
        <v>0</v>
      </c>
    </row>
    <row r="33" spans="1:7">
      <c r="A33" s="1871"/>
      <c r="B33" s="1870"/>
      <c r="C33" s="1586">
        <v>10</v>
      </c>
      <c r="D33" s="1586" t="s">
        <v>2219</v>
      </c>
      <c r="E33" s="1704">
        <f ca="1">Energia!D12*Energia!D14</f>
        <v>0</v>
      </c>
      <c r="F33" s="170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04">
        <f>(SUMIFS(Financeiros[Valor],Financeiros[iddet1],19,Financeiros[iddet2],60,Financeiros[id_Detalhe_Grupo_TARIFA],C33))</f>
        <v>0</v>
      </c>
    </row>
    <row r="34" spans="1:7">
      <c r="A34" s="1871"/>
      <c r="B34" s="1870"/>
      <c r="C34" s="1586">
        <v>9</v>
      </c>
      <c r="D34" s="1586" t="s">
        <v>2220</v>
      </c>
      <c r="E34" s="1704">
        <f ca="1">Energia!D10*Energia!D14</f>
        <v>0</v>
      </c>
      <c r="F34" s="170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04">
        <f>(SUMIFS(Financeiros[Valor],Financeiros[iddet1],19,Financeiros[iddet2],60,Financeiros[id_Detalhe_Grupo_TARIFA],C34))</f>
        <v>0</v>
      </c>
    </row>
    <row r="35" spans="1:7">
      <c r="A35" s="1871"/>
      <c r="B35" s="1870"/>
      <c r="C35" s="1586">
        <v>999</v>
      </c>
      <c r="D35" s="1586" t="s">
        <v>989</v>
      </c>
      <c r="E35" s="1704"/>
      <c r="F35" s="1704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04">
        <f>(SUMIFS(Financeiros[Valor],Financeiros[iddet1],19,Financeiros[iddet2],60,Financeiros[id_Detalhe_Grupo_TARIFA],C35))</f>
        <v>0</v>
      </c>
    </row>
    <row r="36" spans="1:7">
      <c r="A36" s="1871"/>
      <c r="B36" s="1870"/>
      <c r="C36" s="1586"/>
      <c r="D36" s="1687" t="s">
        <v>2206</v>
      </c>
      <c r="E36" s="1704">
        <f ca="1">SUM(E32:E35)</f>
        <v>2300271.9527872917</v>
      </c>
      <c r="F36" s="1704">
        <f t="shared" ref="F36:G36" ca="1" si="4">SUM(F32:F35)</f>
        <v>-36049.488240288425</v>
      </c>
      <c r="G36" s="1704">
        <f t="shared" si="4"/>
        <v>0</v>
      </c>
    </row>
    <row r="37" spans="1:7">
      <c r="A37" s="1871"/>
      <c r="B37" s="1872" t="s">
        <v>2206</v>
      </c>
      <c r="C37" s="1872"/>
      <c r="D37" s="1872"/>
      <c r="E37" s="1704">
        <f ca="1">SUM(E18,E26,E28,E36,E31)</f>
        <v>93040827.765487537</v>
      </c>
      <c r="F37" s="1704">
        <f ca="1">SUM(F18,F26,F28,F36,F31)</f>
        <v>-545291.28602287045</v>
      </c>
      <c r="G37" s="1704">
        <f>SUM(G18,G26,G28,G36,G31)</f>
        <v>0</v>
      </c>
    </row>
    <row r="38" spans="1:7">
      <c r="A38" s="1870" t="s">
        <v>971</v>
      </c>
      <c r="B38" s="1870" t="s">
        <v>2077</v>
      </c>
      <c r="C38" s="1586">
        <v>19</v>
      </c>
      <c r="D38" s="1586" t="s">
        <v>48</v>
      </c>
      <c r="E38" s="1704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04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04">
        <f>(SUMIFS(Financeiros[Valor],Financeiros[iddet1],19,Financeiros[iddet2],60,Financeiros[id_Detalhe_Grupo_TARIFA],C38))</f>
        <v>0</v>
      </c>
    </row>
    <row r="39" spans="1:7">
      <c r="A39" s="1871"/>
      <c r="B39" s="1870"/>
      <c r="C39" s="1586">
        <v>17</v>
      </c>
      <c r="D39" s="1586" t="s">
        <v>46</v>
      </c>
      <c r="E39" s="1704">
        <f>Encargos!C9</f>
        <v>0</v>
      </c>
      <c r="F39" s="1704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04">
        <f>(SUMIFS(Financeiros[Valor],Financeiros[iddet1],19,Financeiros[iddet2],60,Financeiros[id_Detalhe_Grupo_TARIFA],C39))</f>
        <v>0</v>
      </c>
    </row>
    <row r="40" spans="1:7">
      <c r="A40" s="1871"/>
      <c r="B40" s="1870"/>
      <c r="C40" s="1586">
        <v>16</v>
      </c>
      <c r="D40" s="1586" t="s">
        <v>112</v>
      </c>
      <c r="E40" s="1704">
        <f>Encargos!C8</f>
        <v>0</v>
      </c>
      <c r="F40" s="1704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04">
        <f>(SUMIFS(Financeiros[Valor],Financeiros[iddet1],19,Financeiros[iddet2],60,Financeiros[id_Detalhe_Grupo_TARIFA],C40))</f>
        <v>0</v>
      </c>
    </row>
    <row r="41" spans="1:7">
      <c r="A41" s="1871"/>
      <c r="B41" s="1870"/>
      <c r="C41" s="1586">
        <v>25</v>
      </c>
      <c r="D41" s="1586" t="s">
        <v>2221</v>
      </c>
      <c r="E41" s="1704">
        <v>0</v>
      </c>
      <c r="F41" s="1704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04">
        <f>(SUMIFS(Financeiros[Valor],Financeiros[iddet1],19,Financeiros[iddet2],60,Financeiros[id_Detalhe_Grupo_TARIFA],C41))</f>
        <v>0</v>
      </c>
    </row>
    <row r="42" spans="1:7">
      <c r="A42" s="1871"/>
      <c r="B42" s="1870"/>
      <c r="C42" s="1586">
        <v>28</v>
      </c>
      <c r="D42" s="1586" t="s">
        <v>2056</v>
      </c>
      <c r="E42" s="1704">
        <f>Encargos!I21</f>
        <v>0</v>
      </c>
      <c r="F42" s="1704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04">
        <f>(SUMIFS(Financeiros[Valor],Financeiros[iddet1],19,Financeiros[iddet2],60,Financeiros[id_Detalhe_Grupo_TARIFA],C42))</f>
        <v>0</v>
      </c>
    </row>
    <row r="43" spans="1:7">
      <c r="A43" s="1871"/>
      <c r="B43" s="1870"/>
      <c r="C43" s="1586"/>
      <c r="D43" s="1687" t="s">
        <v>2206</v>
      </c>
      <c r="E43" s="1704">
        <f ca="1">SUM(E38:E42)</f>
        <v>0</v>
      </c>
      <c r="F43" s="1704">
        <f ca="1">SUM(F38:F42)</f>
        <v>0</v>
      </c>
      <c r="G43" s="1704">
        <f>SUM(G38:G42)</f>
        <v>0</v>
      </c>
    </row>
    <row r="44" spans="1:7">
      <c r="A44" s="1871"/>
      <c r="B44" s="1870" t="s">
        <v>2078</v>
      </c>
      <c r="C44" s="1586">
        <v>11</v>
      </c>
      <c r="D44" s="1586" t="s">
        <v>2222</v>
      </c>
      <c r="E44" s="1704">
        <f ca="1">Energia!D6*Energia!D14</f>
        <v>38717711.038305797</v>
      </c>
      <c r="F44" s="170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-606777.67560267111</v>
      </c>
      <c r="G44" s="1704">
        <f>(SUMIFS(Financeiros[Valor],Financeiros[iddet1],19,Financeiros[iddet2],60,Financeiros[id_Detalhe_Grupo_TARIFA],C44))</f>
        <v>0</v>
      </c>
    </row>
    <row r="45" spans="1:7">
      <c r="A45" s="1871"/>
      <c r="B45" s="1870"/>
      <c r="C45" s="1586"/>
      <c r="D45" s="1687" t="s">
        <v>2206</v>
      </c>
      <c r="E45" s="1704">
        <f ca="1">SUM(E44)</f>
        <v>38717711.038305797</v>
      </c>
      <c r="F45" s="1704">
        <f ca="1">SUM(F44)</f>
        <v>-606777.67560267111</v>
      </c>
      <c r="G45" s="1704">
        <f>SUM(G44)</f>
        <v>0</v>
      </c>
    </row>
    <row r="46" spans="1:7">
      <c r="A46" s="1871"/>
      <c r="B46" s="1870" t="s">
        <v>2207</v>
      </c>
      <c r="C46" s="1586">
        <v>21</v>
      </c>
      <c r="D46" s="1586" t="s">
        <v>975</v>
      </c>
      <c r="E46" s="1704">
        <f>Resultado!D29</f>
        <v>0</v>
      </c>
      <c r="F46" s="1704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04">
        <f>(SUMIFS(Financeiros[Valor],Financeiros[iddet1],19,Financeiros[iddet2],60,Financeiros[id_Detalhe_Grupo_TARIFA],C46))</f>
        <v>0</v>
      </c>
    </row>
    <row r="47" spans="1:7">
      <c r="A47" s="1871"/>
      <c r="B47" s="1870"/>
      <c r="C47" s="1586">
        <v>23</v>
      </c>
      <c r="D47" s="1586" t="s">
        <v>2223</v>
      </c>
      <c r="E47" s="1704">
        <f>Resultado!D30</f>
        <v>0</v>
      </c>
      <c r="F47" s="1704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04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71"/>
      <c r="B48" s="1870"/>
      <c r="C48" s="1586">
        <v>22</v>
      </c>
      <c r="D48" s="1586" t="s">
        <v>2224</v>
      </c>
      <c r="E48" s="1704">
        <f>0</f>
        <v>0</v>
      </c>
      <c r="F48" s="1704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04">
        <f>(SUMIFS(Financeiros[Valor],Financeiros[iddet1],19,Financeiros[iddet2],60,Financeiros[id_Detalhe_Grupo_TARIFA],C48))</f>
        <v>0</v>
      </c>
    </row>
    <row r="49" spans="1:7">
      <c r="A49" s="1871"/>
      <c r="B49" s="1870"/>
      <c r="C49" s="1586"/>
      <c r="D49" s="1687" t="s">
        <v>2206</v>
      </c>
      <c r="E49" s="1704">
        <f>SUM(E46:E48)</f>
        <v>0</v>
      </c>
      <c r="F49" s="1704">
        <f>SUM(F46:F48)</f>
        <v>0</v>
      </c>
      <c r="G49" s="1704">
        <f>SUM(G46:G48)</f>
        <v>0</v>
      </c>
    </row>
    <row r="50" spans="1:7">
      <c r="A50" s="1871"/>
      <c r="B50" s="1870" t="s">
        <v>2215</v>
      </c>
      <c r="C50" s="1586">
        <v>179</v>
      </c>
      <c r="D50" s="1586" t="s">
        <v>2216</v>
      </c>
      <c r="E50" s="1704">
        <v>0</v>
      </c>
      <c r="F50" s="1704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04">
        <f>SUMIFS(Financeiros[Valor],Financeiros[iddet1],19,Financeiros[iddet2],60,Financeiros[id_Detalhe_Grupo_TARIFA],C50)</f>
        <v>0</v>
      </c>
    </row>
    <row r="51" spans="1:7">
      <c r="A51" s="1871"/>
      <c r="B51" s="1870"/>
      <c r="C51" s="1586"/>
      <c r="D51" s="1586" t="s">
        <v>2206</v>
      </c>
      <c r="E51" s="1704">
        <f>SUM(E50)</f>
        <v>0</v>
      </c>
      <c r="F51" s="1704">
        <f ca="1">SUM(F50)</f>
        <v>0</v>
      </c>
      <c r="G51" s="1704">
        <f>SUM(G50)</f>
        <v>0</v>
      </c>
    </row>
    <row r="52" spans="1:7">
      <c r="A52" s="1871"/>
      <c r="B52" s="1870" t="s">
        <v>2217</v>
      </c>
      <c r="C52" s="1586">
        <v>24</v>
      </c>
      <c r="D52" s="1586" t="s">
        <v>2225</v>
      </c>
      <c r="E52" s="1704">
        <f ca="1">Energia!D13*Energia!D14</f>
        <v>0</v>
      </c>
      <c r="F52" s="1704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04">
        <f>(SUMIFS(Financeiros[Valor],Financeiros[iddet1],19,Financeiros[iddet2],60,Financeiros[id_Detalhe_Grupo_TARIFA],C52))</f>
        <v>0</v>
      </c>
    </row>
    <row r="53" spans="1:7">
      <c r="A53" s="1871"/>
      <c r="B53" s="1870"/>
      <c r="C53" s="1586"/>
      <c r="D53" s="1687" t="s">
        <v>2206</v>
      </c>
      <c r="E53" s="1704">
        <f ca="1">SUM(E52)</f>
        <v>0</v>
      </c>
      <c r="F53" s="1704">
        <f t="shared" ref="F53:G53" ca="1" si="5">SUM(F52)</f>
        <v>0</v>
      </c>
      <c r="G53" s="1704">
        <f t="shared" si="5"/>
        <v>0</v>
      </c>
    </row>
    <row r="54" spans="1:7">
      <c r="A54" s="1871"/>
      <c r="B54" s="1872" t="s">
        <v>2206</v>
      </c>
      <c r="C54" s="1872"/>
      <c r="D54" s="1872"/>
      <c r="E54" s="1704">
        <f ca="1">SUM(E43,E45,E49,E53,E51)</f>
        <v>38717711.038305797</v>
      </c>
      <c r="F54" s="1704">
        <f t="shared" ref="F54:G54" ca="1" si="6">SUM(F43,F45,F49,F53,F51)</f>
        <v>-606777.67560267111</v>
      </c>
      <c r="G54" s="1704">
        <f t="shared" si="6"/>
        <v>0</v>
      </c>
    </row>
    <row r="55" spans="1:7">
      <c r="A55" s="1870" t="s">
        <v>760</v>
      </c>
      <c r="B55" s="1870"/>
      <c r="C55" s="1870"/>
      <c r="D55" s="1870"/>
      <c r="E55" s="1704">
        <f ca="1">E37+E54</f>
        <v>131758538.80379334</v>
      </c>
      <c r="F55" s="1704">
        <f t="shared" ref="F55:G55" ca="1" si="7">F37+F54</f>
        <v>-1152068.9616255416</v>
      </c>
      <c r="G55" s="1704">
        <f t="shared" si="7"/>
        <v>0</v>
      </c>
    </row>
    <row r="56" spans="1:7">
      <c r="E56" s="1705"/>
      <c r="F56" s="1705"/>
      <c r="G56" s="1705"/>
    </row>
    <row r="57" spans="1:7">
      <c r="D57" s="1687" t="s">
        <v>2281</v>
      </c>
      <c r="E57" s="1704">
        <f ca="1">Resultado!C5</f>
        <v>131758538.80379334</v>
      </c>
      <c r="F57" s="1704">
        <f ca="1">(SUMIFS(Financeiros[Valor],Financeiros[iddet1],20)+SUMIFS(Financeiros[Valor],Financeiros[iddet1],22)+SUMIFS(Financeiros[Valor],Financeiros[iddet1],19,Financeiros[iddet2],64))</f>
        <v>-1152068.9616255416</v>
      </c>
      <c r="G57" s="1704">
        <f>(SUMIFS(Financeiros[Valor],Financeiros[iddet1],19,Financeiros[iddet2],60))</f>
        <v>0</v>
      </c>
    </row>
    <row r="58" spans="1:7">
      <c r="D58" s="1687" t="s">
        <v>2226</v>
      </c>
      <c r="E58" s="1704" t="str">
        <f ca="1">IF(ABS(E55-E57)&gt;1,"verificar sparta","ok")</f>
        <v>ok</v>
      </c>
      <c r="F58" s="1704" t="str">
        <f t="shared" ref="F58" ca="1" si="8">IF(ABS(F55-F57)&gt;1,"verificar sparta","ok")</f>
        <v>ok</v>
      </c>
      <c r="G58" s="1704" t="str">
        <f>IF(ABS(G55-G57)&gt;1,"verificar sparta","ok")</f>
        <v>ok</v>
      </c>
    </row>
    <row r="59" spans="1:7">
      <c r="E59" s="1705"/>
      <c r="F59" s="1705"/>
      <c r="G59" s="1705"/>
    </row>
    <row r="60" spans="1:7">
      <c r="D60" s="1687" t="s">
        <v>2227</v>
      </c>
      <c r="E60" s="1704">
        <f ca="1">SUMIFS(TabelaBadNet[valor],TabelaBadNet[id_Natureza_dado],2,TabelaBadNet[id_Detalhe_Natureza],1,TabelaBadNet[id_Unidade],3,TabelaBadNet[idDet1],51)</f>
        <v>131758538.80379333</v>
      </c>
      <c r="F60" s="1704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-1152068.9616255416</v>
      </c>
      <c r="G60" s="1704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87" t="s">
        <v>2226</v>
      </c>
      <c r="E61" s="1704" t="str">
        <f ca="1">IF(ABS(E60-E55)&gt;1,"verificar badnet","ok")</f>
        <v>ok</v>
      </c>
      <c r="F61" s="1704" t="str">
        <f t="shared" ref="F61:G61" ca="1" si="9">IF(ABS(F60-F55)&gt;1,"verificar badnet","ok")</f>
        <v>ok</v>
      </c>
      <c r="G61" s="1704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zoomScaleNormal="100" workbookViewId="0">
      <selection activeCell="B1" sqref="B1:B9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1389</v>
      </c>
      <c r="B1" t="s">
        <v>1407</v>
      </c>
      <c r="C1" t="s">
        <v>22</v>
      </c>
      <c r="D1" t="s">
        <v>1408</v>
      </c>
      <c r="E1" t="s">
        <v>1409</v>
      </c>
      <c r="F1" t="s">
        <v>1410</v>
      </c>
      <c r="G1" t="s">
        <v>1411</v>
      </c>
      <c r="H1" t="s">
        <v>1412</v>
      </c>
      <c r="I1" t="s">
        <v>1286</v>
      </c>
      <c r="J1" t="s">
        <v>1287</v>
      </c>
      <c r="K1" t="s">
        <v>1288</v>
      </c>
      <c r="L1" t="s">
        <v>1413</v>
      </c>
      <c r="M1" t="s">
        <v>1414</v>
      </c>
      <c r="N1" t="s">
        <v>1415</v>
      </c>
      <c r="O1" t="s">
        <v>1416</v>
      </c>
      <c r="P1" t="s">
        <v>1417</v>
      </c>
      <c r="Q1" t="s">
        <v>1418</v>
      </c>
    </row>
    <row r="2" spans="1:17" s="13" customFormat="1" ht="15.75">
      <c r="A2" t="s">
        <v>696</v>
      </c>
      <c r="B2" t="s">
        <v>1419</v>
      </c>
      <c r="C2" t="s">
        <v>1403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1419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1419</v>
      </c>
      <c r="C4" t="s">
        <v>1403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1419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1419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1.49E-2</v>
      </c>
      <c r="Q6" s="232">
        <f ca="1">Resultado!C7</f>
        <v>1.49E-2</v>
      </c>
    </row>
    <row r="7" spans="1:17" s="13" customFormat="1" ht="15.75">
      <c r="A7" t="s">
        <v>696</v>
      </c>
      <c r="B7" t="s">
        <v>1419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-8.8999999999999999E-3</v>
      </c>
      <c r="Q7" s="232">
        <f ca="1">Resultado!C8</f>
        <v>-8.8999999999999999E-3</v>
      </c>
    </row>
    <row r="8" spans="1:17" s="13" customFormat="1" ht="15.75">
      <c r="A8" t="s">
        <v>696</v>
      </c>
      <c r="B8" t="s">
        <v>1419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6.0000000000000001E-3</v>
      </c>
      <c r="Q8" s="232">
        <f ca="1">Resultado!C9</f>
        <v>6.0000000000000001E-3</v>
      </c>
    </row>
    <row r="9" spans="1:17" s="13" customFormat="1" ht="15.75">
      <c r="A9" t="s">
        <v>696</v>
      </c>
      <c r="B9" t="s">
        <v>1419</v>
      </c>
      <c r="C9" t="s">
        <v>1420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0.22678003881022252</v>
      </c>
      <c r="Q9" s="232">
        <f ca="1">IF(ISERROR(LnkTXTICMS),0,LnkTXTICMS)</f>
        <v>0.22678003881022252</v>
      </c>
    </row>
    <row r="10" spans="1:17" s="13" customFormat="1" ht="15.75">
      <c r="A10" t="s">
        <v>696</v>
      </c>
      <c r="B10" t="s">
        <v>1419</v>
      </c>
      <c r="C10" t="s">
        <v>1421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0</v>
      </c>
      <c r="Q10" s="232">
        <f ca="1">IF(ISERROR(LNKTXTPercPISCOFINS),0,LNKTXTPercPISCOFINS)</f>
        <v>0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174059.44361910204</v>
      </c>
      <c r="Q13" s="232">
        <f ca="1">Resultado!D17</f>
        <v>174059.44361910204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26430216.89694</v>
      </c>
      <c r="Q14" s="232">
        <f ca="1">Encargos!I19</f>
        <v>26430216.89694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4738373.3178900015</v>
      </c>
      <c r="Q17" s="232">
        <f ca="1">Resultado!D21</f>
        <v>4738373.3178900015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1422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1423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0</v>
      </c>
      <c r="Q21" s="232">
        <f>Q22/(1-Q20)</f>
        <v>0</v>
      </c>
    </row>
    <row r="22" spans="1:17" ht="15.75">
      <c r="A22" t="s">
        <v>696</v>
      </c>
      <c r="B22" t="s">
        <v>717</v>
      </c>
      <c r="C22" t="s">
        <v>1424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0</v>
      </c>
      <c r="Q22" s="232">
        <f>CUSD!C3</f>
        <v>0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9344727</v>
      </c>
      <c r="Q23" s="232">
        <f>Resultado!D25</f>
        <v>9344727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1309770</v>
      </c>
      <c r="Q24" s="232">
        <f>Resultado!D26</f>
        <v>1309770</v>
      </c>
    </row>
    <row r="25" spans="1:17" ht="15.75">
      <c r="A25" t="s">
        <v>696</v>
      </c>
      <c r="B25" t="s">
        <v>717</v>
      </c>
      <c r="C25" t="s">
        <v>1425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1426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1427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1428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1429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356802.83200000005</v>
      </c>
      <c r="Q31" s="232">
        <f ca="1">Energia!D5</f>
        <v>356802.83200000005</v>
      </c>
    </row>
    <row r="32" spans="1:17" ht="15.75">
      <c r="A32" t="s">
        <v>696</v>
      </c>
      <c r="B32" t="s">
        <v>108</v>
      </c>
      <c r="C32" t="s">
        <v>1430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20009.359000000015</v>
      </c>
      <c r="Q32" s="232">
        <f ca="1">Energia!N17</f>
        <v>20009.359000000015</v>
      </c>
    </row>
    <row r="33" spans="1:17" ht="15.75">
      <c r="A33" t="s">
        <v>696</v>
      </c>
      <c r="B33" t="s">
        <v>108</v>
      </c>
      <c r="C33" t="s">
        <v>1431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1432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1433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1434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5.6079596924275568E-2</v>
      </c>
      <c r="Q36" s="232">
        <f ca="1">Energia!N14</f>
        <v>5.6079596924275568E-2</v>
      </c>
    </row>
    <row r="37" spans="1:17" s="12" customFormat="1" ht="15.75">
      <c r="A37" t="s">
        <v>696</v>
      </c>
      <c r="B37" t="s">
        <v>108</v>
      </c>
      <c r="C37" t="s">
        <v>1435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1436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1437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41017982.991093092</v>
      </c>
      <c r="Q39" s="232">
        <f ca="1">Energia!D15</f>
        <v>41017982.991093092</v>
      </c>
    </row>
    <row r="40" spans="1:17" ht="15.75">
      <c r="A40" t="s">
        <v>695</v>
      </c>
      <c r="B40" t="s">
        <v>108</v>
      </c>
      <c r="C40" t="s">
        <v>1438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114.95980219992504</v>
      </c>
      <c r="Q40" s="232">
        <f ca="1">Energia!D14</f>
        <v>114.95980219992504</v>
      </c>
    </row>
    <row r="41" spans="1:17" ht="15.75">
      <c r="A41" t="s">
        <v>695</v>
      </c>
      <c r="B41" t="s">
        <v>108</v>
      </c>
      <c r="C41" t="s">
        <v>1439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5759.4236211601437</v>
      </c>
      <c r="Q41" s="232">
        <f>Energia!C20</f>
        <v>5759.4236211601437</v>
      </c>
    </row>
    <row r="42" spans="1:17" ht="15.75">
      <c r="A42" t="s">
        <v>696</v>
      </c>
      <c r="B42" t="s">
        <v>108</v>
      </c>
      <c r="C42" t="s">
        <v>1440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351043.4083788399</v>
      </c>
      <c r="Q42" s="232">
        <f ca="1">Energia!C23</f>
        <v>351043.4083788399</v>
      </c>
    </row>
    <row r="43" spans="1:17" ht="15.75">
      <c r="A43" t="s">
        <v>696</v>
      </c>
      <c r="B43" t="s">
        <v>108</v>
      </c>
      <c r="C43" s="9" t="s">
        <v>1441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41017982.991093092</v>
      </c>
      <c r="Q43" s="232">
        <f ca="1">Energia!F23</f>
        <v>41017982.991093092</v>
      </c>
    </row>
    <row r="44" spans="1:17" s="12" customFormat="1" ht="15.75">
      <c r="A44" t="s">
        <v>696</v>
      </c>
      <c r="B44" t="s">
        <v>108</v>
      </c>
      <c r="C44" t="s">
        <v>1442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1443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1444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1445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>
        <f>VALUE(Energia!A28)</f>
        <v>5697</v>
      </c>
      <c r="P47" s="232">
        <f t="shared" si="0"/>
        <v>0.59</v>
      </c>
      <c r="Q47" s="232">
        <f>Energia!F28</f>
        <v>0.59</v>
      </c>
    </row>
    <row r="48" spans="1:17" s="12" customFormat="1" ht="15.75">
      <c r="A48" t="s">
        <v>696</v>
      </c>
      <c r="B48" t="s">
        <v>108</v>
      </c>
      <c r="C48" s="9" t="s">
        <v>1445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1445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1445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1445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336793.47300000006</v>
      </c>
      <c r="Q52" s="232">
        <f ca="1">FornecimentoE</f>
        <v>336793.47300000006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1446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1447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1448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1449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1450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1451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13359.382000000001</v>
      </c>
      <c r="Q60" s="232">
        <f ca="1">Calc_Mercado!C11</f>
        <v>13359.382000000001</v>
      </c>
    </row>
    <row r="61" spans="1:17" s="12" customFormat="1" ht="15.75">
      <c r="A61" t="s">
        <v>696</v>
      </c>
      <c r="B61" t="s">
        <v>895</v>
      </c>
      <c r="C61" t="s">
        <v>1452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1453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215464.09899999999</v>
      </c>
      <c r="Q62" s="232">
        <f ca="1">Calc_Mercado!C13</f>
        <v>215464.09899999999</v>
      </c>
    </row>
    <row r="63" spans="1:17" s="12" customFormat="1" ht="15.75">
      <c r="A63" t="s">
        <v>696</v>
      </c>
      <c r="B63" t="s">
        <v>895</v>
      </c>
      <c r="C63" t="s">
        <v>1454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1455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107969.99200000004</v>
      </c>
      <c r="Q64" s="232">
        <f ca="1">FornecimentoE_BT</f>
        <v>107969.99200000004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129817832.14530993</v>
      </c>
      <c r="Q65" s="232">
        <f ca="1">Calc_Mercado!D8</f>
        <v>129817832.14530993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1446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1447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1448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1449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1450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1451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3841060.2238600003</v>
      </c>
      <c r="Q73" s="232">
        <f ca="1">Calc_Mercado!D11</f>
        <v>3841060.2238600003</v>
      </c>
    </row>
    <row r="74" spans="1:17" ht="15.75">
      <c r="A74" t="s">
        <v>696</v>
      </c>
      <c r="B74" t="s">
        <v>895</v>
      </c>
      <c r="C74" t="s">
        <v>1452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1453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78451561.635600001</v>
      </c>
      <c r="Q75" s="232">
        <f ca="1">Calc_Mercado!D13</f>
        <v>78451561.635600001</v>
      </c>
    </row>
    <row r="76" spans="1:17" ht="15.75">
      <c r="A76" t="s">
        <v>696</v>
      </c>
      <c r="B76" t="s">
        <v>895</v>
      </c>
      <c r="C76" t="s">
        <v>1454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1455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47525210.285849936</v>
      </c>
      <c r="Q77" s="232">
        <f ca="1">Calc_Mercado!D15</f>
        <v>47525210.285849936</v>
      </c>
    </row>
    <row r="78" spans="1:17" ht="15.75">
      <c r="A78" t="s">
        <v>696</v>
      </c>
      <c r="B78" t="s">
        <v>895</v>
      </c>
      <c r="C78" t="s">
        <v>1456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1457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1458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336793.47300000006</v>
      </c>
      <c r="Q80" s="232">
        <f ca="1">LnkTXTEV</f>
        <v>336793.47300000006</v>
      </c>
    </row>
    <row r="81" spans="1:17" ht="15.75">
      <c r="A81" t="s">
        <v>696</v>
      </c>
      <c r="B81" t="s">
        <v>104</v>
      </c>
      <c r="C81" t="s">
        <v>1459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39323417.770000003</v>
      </c>
      <c r="Q81" s="232">
        <f>Resultado!D39</f>
        <v>39323417.770000003</v>
      </c>
    </row>
    <row r="82" spans="1:17" ht="15.75">
      <c r="A82" t="s">
        <v>696</v>
      </c>
      <c r="B82" t="s">
        <v>72</v>
      </c>
      <c r="C82" t="s">
        <v>1460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1461</v>
      </c>
      <c r="B83" t="s">
        <v>1462</v>
      </c>
      <c r="C83" t="s">
        <v>1463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1461</v>
      </c>
      <c r="B84" t="s">
        <v>1462</v>
      </c>
      <c r="C84" t="s">
        <v>1464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1461</v>
      </c>
      <c r="B85" t="s">
        <v>1462</v>
      </c>
      <c r="C85" t="s">
        <v>1465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1466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356802.83200000005</v>
      </c>
      <c r="Q87" s="232">
        <f ca="1">Energia!D5</f>
        <v>356802.83200000005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41017982.991093092</v>
      </c>
      <c r="Q88" s="232">
        <f ca="1">Energia!D15</f>
        <v>41017982.991093092</v>
      </c>
    </row>
    <row r="89" spans="1:17" ht="15.75">
      <c r="A89" s="16" t="s">
        <v>696</v>
      </c>
      <c r="B89" s="16" t="s">
        <v>1467</v>
      </c>
      <c r="C89" s="16" t="s">
        <v>1468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92435121.03379333</v>
      </c>
      <c r="Q89" s="232">
        <f ca="1">Resultado!D34</f>
        <v>92435121.03379333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39323417.770000003</v>
      </c>
      <c r="Q90" s="232">
        <f>Resultado!D39</f>
        <v>39323417.770000003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40762641.042700239</v>
      </c>
      <c r="Q91" s="232">
        <f ca="1">Resultado!D14</f>
        <v>40762641.042700239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10654497</v>
      </c>
      <c r="Q92" s="232">
        <f>Resultado!D24</f>
        <v>10654497</v>
      </c>
    </row>
    <row r="93" spans="1:17" ht="15.75">
      <c r="A93" s="16" t="s">
        <v>696</v>
      </c>
      <c r="B93" s="16" t="s">
        <v>1467</v>
      </c>
      <c r="C93" s="16" t="s">
        <v>1469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131758538.80379334</v>
      </c>
      <c r="Q93" s="232">
        <f ca="1">Resultado!C5</f>
        <v>131758538.80379334</v>
      </c>
    </row>
    <row r="94" spans="1:17" ht="15.75">
      <c r="A94" s="16" t="s">
        <v>696</v>
      </c>
      <c r="B94" s="16" t="s">
        <v>108</v>
      </c>
      <c r="C94" s="16" t="s">
        <v>1470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1471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45112111.140504189</v>
      </c>
      <c r="Q96" s="232">
        <f ca="1">Resultado!C33</f>
        <v>45112111.140504189</v>
      </c>
    </row>
    <row r="97" spans="1:17" ht="15.75">
      <c r="A97" s="16" t="s">
        <v>695</v>
      </c>
      <c r="B97" s="16" t="s">
        <v>1467</v>
      </c>
      <c r="C97" s="16" t="s">
        <v>1472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129817832.14530993</v>
      </c>
      <c r="Q97" s="232">
        <f ca="1">Mercado_RA0_Reais</f>
        <v>129817832.14530993</v>
      </c>
    </row>
    <row r="98" spans="1:17" ht="15.75">
      <c r="A98" s="16" t="s">
        <v>696</v>
      </c>
      <c r="B98" s="16" t="s">
        <v>1290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-1152068.9616255416</v>
      </c>
      <c r="Q98" s="232">
        <f ca="1">Financeiros!D7</f>
        <v>-1152068.9616255416</v>
      </c>
    </row>
    <row r="99" spans="1:17" ht="15.75">
      <c r="A99" s="16" t="s">
        <v>696</v>
      </c>
      <c r="B99" s="16" t="s">
        <v>1290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-8.8745047008333081E-3</v>
      </c>
      <c r="Q99" s="232">
        <f ca="1">Financeiros!E7</f>
        <v>-8.8745047008333081E-3</v>
      </c>
    </row>
    <row r="100" spans="1:17" ht="15.75">
      <c r="A100" s="16" t="s">
        <v>696</v>
      </c>
      <c r="B100" s="16" t="s">
        <v>1473</v>
      </c>
      <c r="C100" s="16" t="s">
        <v>1474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130606469.84216779</v>
      </c>
      <c r="Q100" s="232">
        <f ca="1">Resultado!C5+Financeiros!D7/(1+IF(Q86&gt;0,Q86,0))</f>
        <v>130606469.84216779</v>
      </c>
    </row>
    <row r="101" spans="1:17" ht="15.75">
      <c r="A101" t="s">
        <v>696</v>
      </c>
      <c r="B101" t="s">
        <v>72</v>
      </c>
      <c r="C101" t="s">
        <v>1460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356802.83200000005</v>
      </c>
      <c r="Q102" s="232">
        <f ca="1">Energia!D5</f>
        <v>356802.83200000005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41017982.991093092</v>
      </c>
      <c r="Q103" s="232">
        <f ca="1">Energia!D15</f>
        <v>41017982.991093092</v>
      </c>
    </row>
    <row r="104" spans="1:17" ht="15.75">
      <c r="A104" t="s">
        <v>696</v>
      </c>
      <c r="B104" t="s">
        <v>108</v>
      </c>
      <c r="C104" t="s">
        <v>1476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20009.359000000015</v>
      </c>
      <c r="Q104" s="232">
        <f ca="1">SUM(LnkTXTPerdas)</f>
        <v>20009.359000000015</v>
      </c>
    </row>
    <row r="105" spans="1:17" ht="15.75">
      <c r="A105" s="16" t="s">
        <v>696</v>
      </c>
      <c r="B105" s="16" t="s">
        <v>1473</v>
      </c>
      <c r="C105" s="16" t="s">
        <v>1477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848875</v>
      </c>
      <c r="Q105" s="232">
        <f ca="1">SUM(INDIRECT("dados_MercadoBase[D]"))</f>
        <v>848875</v>
      </c>
    </row>
    <row r="106" spans="1:17" ht="15.75">
      <c r="A106" t="s">
        <v>696</v>
      </c>
      <c r="B106" t="s">
        <v>1473</v>
      </c>
      <c r="C106" t="s">
        <v>1478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336793.47300000035</v>
      </c>
      <c r="Q106" s="232">
        <f ca="1">SUM(INDIRECT("dados_MercadoBase[TUSD_E]"))</f>
        <v>336793.47300000035</v>
      </c>
    </row>
    <row r="107" spans="1:17" ht="15.75">
      <c r="A107" s="16" t="s">
        <v>695</v>
      </c>
      <c r="B107" s="16" t="s">
        <v>717</v>
      </c>
      <c r="C107" s="16" t="s">
        <v>1479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6723860.7861371934</v>
      </c>
      <c r="Q107" s="232">
        <f ca="1">Resultado!C25</f>
        <v>6723860.7861371934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1255483.8065595005</v>
      </c>
      <c r="Q108" s="232">
        <f ca="1">Resultado!C26</f>
        <v>1255483.8065595005</v>
      </c>
    </row>
    <row r="109" spans="1:17" ht="15.75">
      <c r="A109" s="16" t="s">
        <v>695</v>
      </c>
      <c r="B109" s="16" t="s">
        <v>717</v>
      </c>
      <c r="C109" s="16" t="s">
        <v>1425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1426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1427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1480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1473</v>
      </c>
      <c r="C113" s="16" t="s">
        <v>1481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336793.47300000035</v>
      </c>
      <c r="Q113" s="232">
        <f ca="1">SUM(INDIRECT("dados_MercadoBase[TE_E]"))</f>
        <v>336793.47300000035</v>
      </c>
    </row>
    <row r="114" spans="1:19" ht="15.75">
      <c r="A114" t="s">
        <v>696</v>
      </c>
      <c r="B114" t="s">
        <v>1482</v>
      </c>
      <c r="C114" t="s">
        <v>1483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1482</v>
      </c>
      <c r="C115" s="16" t="s">
        <v>1484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1482</v>
      </c>
      <c r="C116" t="s">
        <v>1485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27932134.078026745</v>
      </c>
      <c r="Q116" s="232">
        <f>CAPA!D32</f>
        <v>27932134.078026745</v>
      </c>
      <c r="S116" s="9"/>
    </row>
    <row r="117" spans="1:19" ht="15.75">
      <c r="A117" s="16" t="s">
        <v>696</v>
      </c>
      <c r="B117" s="16" t="s">
        <v>1482</v>
      </c>
      <c r="C117" s="16" t="s">
        <v>1486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1482</v>
      </c>
      <c r="C118" t="s">
        <v>1487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11391283.691973256</v>
      </c>
      <c r="Q118" s="232">
        <f>CAPA!D33</f>
        <v>11391283.691973256</v>
      </c>
    </row>
    <row r="119" spans="1:19" ht="15.75">
      <c r="A119" s="16" t="s">
        <v>696</v>
      </c>
      <c r="B119" s="16" t="s">
        <v>1482</v>
      </c>
      <c r="C119" s="16" t="s">
        <v>1488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39323417.770000003</v>
      </c>
      <c r="Q119" s="232">
        <f>Resultado!D39</f>
        <v>39323417.770000003</v>
      </c>
    </row>
    <row r="120" spans="1:19" ht="15.75">
      <c r="A120" t="s">
        <v>696</v>
      </c>
      <c r="B120" t="s">
        <v>1482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1473</v>
      </c>
      <c r="B121" t="s">
        <v>1489</v>
      </c>
      <c r="C121" t="s">
        <v>1490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1473</v>
      </c>
      <c r="B122" t="s">
        <v>1489</v>
      </c>
      <c r="C122" t="s">
        <v>1491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1473</v>
      </c>
      <c r="B123" t="s">
        <v>1489</v>
      </c>
      <c r="C123" t="s">
        <v>1492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1473</v>
      </c>
      <c r="B124" t="s">
        <v>1489</v>
      </c>
      <c r="C124" t="s">
        <v>1493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-472.93159943317613</v>
      </c>
      <c r="Q124" s="232">
        <f>'Tabelas e Gráficos'!BP314</f>
        <v>-472.93159943317613</v>
      </c>
    </row>
    <row r="125" spans="1:19" ht="15.75">
      <c r="A125" t="s">
        <v>1473</v>
      </c>
      <c r="B125" t="s">
        <v>1489</v>
      </c>
      <c r="C125" t="s">
        <v>1494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-1051.2283594674664</v>
      </c>
      <c r="Q125" s="232">
        <f>'Tabelas e Gráficos'!BP315</f>
        <v>-1051.2283594674664</v>
      </c>
    </row>
    <row r="126" spans="1:19" ht="15.75">
      <c r="A126" t="s">
        <v>1473</v>
      </c>
      <c r="B126" t="s">
        <v>1489</v>
      </c>
      <c r="C126" t="s">
        <v>1495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1273.7105787008284</v>
      </c>
      <c r="Q126" s="232">
        <f>'Tabelas e Gráficos'!BP316</f>
        <v>1273.7105787008284</v>
      </c>
    </row>
    <row r="127" spans="1:19" ht="15.75">
      <c r="A127" t="s">
        <v>1473</v>
      </c>
      <c r="B127" t="s">
        <v>1489</v>
      </c>
      <c r="C127" t="s">
        <v>1496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1473</v>
      </c>
      <c r="B128" t="s">
        <v>1489</v>
      </c>
      <c r="C128" t="s">
        <v>1497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1473</v>
      </c>
      <c r="B129" t="s">
        <v>1489</v>
      </c>
      <c r="C129" t="s">
        <v>1498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1473</v>
      </c>
      <c r="B130" t="s">
        <v>1489</v>
      </c>
      <c r="C130" t="s">
        <v>1499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3078.9133574380535</v>
      </c>
      <c r="Q130" s="232">
        <f>'Tabelas e Gráficos'!BQ314</f>
        <v>3078.9133574380535</v>
      </c>
    </row>
    <row r="131" spans="1:17" ht="15.75">
      <c r="A131" t="s">
        <v>1473</v>
      </c>
      <c r="B131" t="s">
        <v>1489</v>
      </c>
      <c r="C131" t="s">
        <v>1500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35188.567080488931</v>
      </c>
      <c r="Q131" s="232">
        <f>'Tabelas e Gráficos'!BQ315</f>
        <v>35188.567080488931</v>
      </c>
    </row>
    <row r="132" spans="1:17" ht="15.75">
      <c r="A132" t="s">
        <v>1473</v>
      </c>
      <c r="B132" t="s">
        <v>1489</v>
      </c>
      <c r="C132" t="s">
        <v>1501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15396.392180890902</v>
      </c>
      <c r="Q132" s="232">
        <f>'Tabelas e Gráficos'!BQ316</f>
        <v>15396.392180890902</v>
      </c>
    </row>
    <row r="133" spans="1:17" ht="15.75">
      <c r="A133" t="s">
        <v>1473</v>
      </c>
      <c r="B133" t="s">
        <v>1489</v>
      </c>
      <c r="C133" t="s">
        <v>1502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1473</v>
      </c>
      <c r="B134" t="s">
        <v>1489</v>
      </c>
      <c r="C134" t="s">
        <v>1503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1473</v>
      </c>
      <c r="B135" t="s">
        <v>1489</v>
      </c>
      <c r="C135" t="s">
        <v>1504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1473</v>
      </c>
      <c r="B136" t="s">
        <v>1489</v>
      </c>
      <c r="C136" t="s">
        <v>1505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2605.9817580048775</v>
      </c>
      <c r="Q136" s="232">
        <f>'Tabelas e Gráficos'!BR314</f>
        <v>2605.9817580048775</v>
      </c>
    </row>
    <row r="137" spans="1:17" ht="15.75">
      <c r="A137" t="s">
        <v>1473</v>
      </c>
      <c r="B137" t="s">
        <v>1489</v>
      </c>
      <c r="C137" t="s">
        <v>1506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34137.338721021464</v>
      </c>
      <c r="Q137" s="232">
        <f>'Tabelas e Gráficos'!BR315</f>
        <v>34137.338721021464</v>
      </c>
    </row>
    <row r="138" spans="1:17" ht="15.75">
      <c r="A138" t="s">
        <v>1473</v>
      </c>
      <c r="B138" t="s">
        <v>1489</v>
      </c>
      <c r="C138" t="s">
        <v>1507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16670.102759591729</v>
      </c>
      <c r="Q138" s="232">
        <f>'Tabelas e Gráficos'!BR316</f>
        <v>16670.102759591729</v>
      </c>
    </row>
    <row r="139" spans="1:17" ht="15.75">
      <c r="A139" s="846" t="s">
        <v>696</v>
      </c>
      <c r="B139" s="846" t="s">
        <v>72</v>
      </c>
      <c r="C139" s="846" t="s">
        <v>1508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9419991.3842511326</v>
      </c>
      <c r="Q139" s="232">
        <f>Encargos!I20</f>
        <v>9419991.3842511326</v>
      </c>
    </row>
    <row r="140" spans="1:17" ht="15.75">
      <c r="A140" s="846" t="s">
        <v>696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6" t="s">
        <v>696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0</v>
      </c>
      <c r="Q141" s="232">
        <f ca="1">Energia!$F$21</f>
        <v>0</v>
      </c>
    </row>
    <row r="142" spans="1:17" ht="15.75">
      <c r="A142" s="846" t="s">
        <v>696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0</v>
      </c>
      <c r="Q142" s="232">
        <f ca="1">Energia!$C$22</f>
        <v>0</v>
      </c>
    </row>
    <row r="143" spans="1:17" ht="15.75">
      <c r="A143" s="846" t="s">
        <v>696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0</v>
      </c>
      <c r="Q143" s="232">
        <f ca="1">Energia!$F$22</f>
        <v>0</v>
      </c>
    </row>
    <row r="144" spans="1:17" ht="15.75">
      <c r="A144" s="846" t="s">
        <v>696</v>
      </c>
      <c r="B144" s="846" t="s">
        <v>72</v>
      </c>
      <c r="C144" s="846" t="s">
        <v>2054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0</v>
      </c>
      <c r="Q144" s="232">
        <f>Encargos!L17</f>
        <v>0</v>
      </c>
    </row>
    <row r="145" spans="1:17" ht="15.75">
      <c r="A145" s="846" t="s">
        <v>696</v>
      </c>
      <c r="B145" s="846" t="s">
        <v>72</v>
      </c>
      <c r="C145" s="846" t="s">
        <v>2056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0</v>
      </c>
      <c r="Q145" s="232">
        <f>Encargos!I21</f>
        <v>0</v>
      </c>
    </row>
    <row r="146" spans="1:17" ht="15.75">
      <c r="A146" s="846" t="s">
        <v>1461</v>
      </c>
      <c r="B146" s="846" t="s">
        <v>108</v>
      </c>
      <c r="C146" s="846" t="s">
        <v>2162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6.0053488743711497E-2</v>
      </c>
      <c r="Q146" s="232">
        <f ca="1">Energia!L35</f>
        <v>6.0053488743711497E-2</v>
      </c>
    </row>
    <row r="147" spans="1:17" ht="15.75">
      <c r="A147" s="846" t="s">
        <v>696</v>
      </c>
      <c r="B147" s="846" t="s">
        <v>1290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0</v>
      </c>
      <c r="Q147" s="232">
        <f>Financeiros!D9</f>
        <v>0</v>
      </c>
    </row>
    <row r="148" spans="1:17" ht="15.75">
      <c r="A148" s="846" t="s">
        <v>696</v>
      </c>
      <c r="B148" s="846" t="s">
        <v>1290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1485070.2196499191</v>
      </c>
      <c r="Q148" s="232">
        <f ca="1">Financeiros!D10</f>
        <v>1485070.2196499191</v>
      </c>
    </row>
    <row r="149" spans="1:17" ht="15.75">
      <c r="A149" s="846" t="s">
        <v>696</v>
      </c>
      <c r="B149" s="846" t="s">
        <v>1290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696</v>
      </c>
      <c r="B150" s="846" t="s">
        <v>1290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88230.044663555891</v>
      </c>
      <c r="Q150" s="232">
        <f ca="1">Financeiros!D12</f>
        <v>88230.044663555891</v>
      </c>
    </row>
    <row r="151" spans="1:17" ht="15.75">
      <c r="A151" s="846" t="s">
        <v>696</v>
      </c>
      <c r="B151" s="846" t="s">
        <v>1290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0</v>
      </c>
      <c r="Q151" s="232">
        <f ca="1">Financeiros!D13</f>
        <v>0</v>
      </c>
    </row>
    <row r="152" spans="1:17" ht="15.75">
      <c r="A152" s="846" t="s">
        <v>696</v>
      </c>
      <c r="B152" s="846" t="s">
        <v>1290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0</v>
      </c>
      <c r="Q152" s="232">
        <f ca="1">Financeiros!D14</f>
        <v>0</v>
      </c>
    </row>
    <row r="153" spans="1:17" ht="15.75">
      <c r="A153" s="846" t="s">
        <v>696</v>
      </c>
      <c r="B153" s="846" t="s">
        <v>1290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-3549.1525413601648</v>
      </c>
      <c r="Q153" s="232">
        <f ca="1">Financeiros!D15</f>
        <v>-3549.1525413601648</v>
      </c>
    </row>
    <row r="154" spans="1:17" ht="15.75">
      <c r="A154" s="846" t="s">
        <v>696</v>
      </c>
      <c r="B154" s="846" t="s">
        <v>1290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-245185.61438902293</v>
      </c>
      <c r="Q154" s="232">
        <f ca="1">Financeiros!D16</f>
        <v>-245185.61438902293</v>
      </c>
    </row>
    <row r="155" spans="1:17" ht="15.75">
      <c r="A155" s="846" t="s">
        <v>696</v>
      </c>
      <c r="B155" s="846" t="s">
        <v>1290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696</v>
      </c>
      <c r="B156" s="846" t="s">
        <v>1290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0</v>
      </c>
      <c r="Q156" s="232">
        <f ca="1">Financeiros!D18</f>
        <v>0</v>
      </c>
    </row>
    <row r="157" spans="1:17" ht="15.75">
      <c r="A157" s="846" t="s">
        <v>696</v>
      </c>
      <c r="B157" s="846" t="s">
        <v>1290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-37884.487566450392</v>
      </c>
      <c r="Q157" s="232">
        <f ca="1">Financeiros!D19</f>
        <v>-37884.487566450392</v>
      </c>
    </row>
    <row r="158" spans="1:17" ht="15.75">
      <c r="A158" s="846" t="s">
        <v>696</v>
      </c>
      <c r="B158" s="846" t="s">
        <v>1290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-128162.06640272774</v>
      </c>
      <c r="Q158" s="232">
        <f ca="1">Financeiros!D20</f>
        <v>-128162.06640272774</v>
      </c>
    </row>
    <row r="159" spans="1:17" ht="15.75">
      <c r="A159" s="846" t="s">
        <v>696</v>
      </c>
      <c r="B159" s="846" t="s">
        <v>1290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696</v>
      </c>
      <c r="B160" s="846" t="s">
        <v>1290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538959.86488075997</v>
      </c>
      <c r="Q160" s="232">
        <f ca="1">Financeiros!D22</f>
        <v>538959.86488075997</v>
      </c>
    </row>
    <row r="161" spans="1:17" ht="15.75">
      <c r="A161" s="846" t="s">
        <v>696</v>
      </c>
      <c r="B161" s="846" t="s">
        <v>1290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696</v>
      </c>
      <c r="B162" s="846" t="s">
        <v>1290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977316.44974697579</v>
      </c>
      <c r="Q162" s="232">
        <f>Financeiros!D24</f>
        <v>977316.44974697579</v>
      </c>
    </row>
    <row r="163" spans="1:17" ht="15.75">
      <c r="A163" s="846" t="s">
        <v>696</v>
      </c>
      <c r="B163" s="846" t="s">
        <v>1290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136982.03985895967</v>
      </c>
      <c r="Q163" s="232">
        <f>Financeiros!D25</f>
        <v>136982.03985895967</v>
      </c>
    </row>
    <row r="164" spans="1:17" ht="15.75">
      <c r="A164" s="846" t="s">
        <v>696</v>
      </c>
      <c r="B164" s="846" t="s">
        <v>1290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696</v>
      </c>
      <c r="B165" s="846" t="s">
        <v>1290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696</v>
      </c>
      <c r="B166" s="846" t="s">
        <v>1290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696</v>
      </c>
      <c r="B167" s="846" t="s">
        <v>1290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0</v>
      </c>
      <c r="Q167" s="232">
        <f>Financeiros!D29</f>
        <v>0</v>
      </c>
    </row>
    <row r="168" spans="1:17" ht="15.75">
      <c r="A168" s="846" t="s">
        <v>696</v>
      </c>
      <c r="B168" s="846" t="s">
        <v>1290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0</v>
      </c>
      <c r="Q168" s="232">
        <f ca="1">Financeiros!D30</f>
        <v>0</v>
      </c>
    </row>
    <row r="169" spans="1:17" ht="15.75">
      <c r="A169" s="846" t="s">
        <v>696</v>
      </c>
      <c r="B169" s="846" t="s">
        <v>1290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-2216127.4281564346</v>
      </c>
      <c r="Q169" s="232">
        <f>Financeiros!D31</f>
        <v>-2216127.4281564346</v>
      </c>
    </row>
    <row r="170" spans="1:17" ht="15.75">
      <c r="A170" s="846" t="s">
        <v>696</v>
      </c>
      <c r="B170" s="846" t="s">
        <v>1290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696</v>
      </c>
      <c r="B171" s="846" t="s">
        <v>1290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696</v>
      </c>
      <c r="B172" s="846" t="s">
        <v>1290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696</v>
      </c>
      <c r="B173" s="846" t="s">
        <v>1290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696</v>
      </c>
      <c r="B174" s="846" t="s">
        <v>1290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696</v>
      </c>
      <c r="B175" s="846" t="s">
        <v>1290</v>
      </c>
      <c r="C175" s="846" t="str">
        <f>Financeiros!C37</f>
        <v>Diferimento de Parcela B</v>
      </c>
      <c r="D175" s="846">
        <v>2</v>
      </c>
      <c r="E175" s="846">
        <v>2</v>
      </c>
      <c r="F175" s="846">
        <f>Financeiros!H37</f>
        <v>22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0</v>
      </c>
      <c r="Q175" s="232">
        <f>Financeiros!D37</f>
        <v>0</v>
      </c>
    </row>
    <row r="176" spans="1:17" ht="15.75">
      <c r="A176" s="846" t="s">
        <v>696</v>
      </c>
      <c r="B176" s="846" t="s">
        <v>1290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696</v>
      </c>
      <c r="B177" s="846" t="s">
        <v>1290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696</v>
      </c>
      <c r="B178" s="846" t="s">
        <v>1290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0</v>
      </c>
      <c r="Q178" s="232">
        <f>Financeiros!D40</f>
        <v>0</v>
      </c>
    </row>
    <row r="179" spans="1:17" ht="15.75">
      <c r="A179" s="846" t="s">
        <v>696</v>
      </c>
      <c r="B179" s="846" t="s">
        <v>1290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si="6"/>
        <v>0</v>
      </c>
      <c r="Q179" s="232">
        <f>Financeiros!D41</f>
        <v>0</v>
      </c>
    </row>
    <row r="180" spans="1:17" ht="15.75">
      <c r="A180" s="846" t="s">
        <v>696</v>
      </c>
      <c r="B180" s="846" t="s">
        <v>1290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-301.06</v>
      </c>
      <c r="Q180" s="232">
        <f>Financeiros!D42</f>
        <v>-301.06</v>
      </c>
    </row>
    <row r="181" spans="1:17" ht="15.75">
      <c r="A181" s="846" t="s">
        <v>696</v>
      </c>
      <c r="B181" s="846" t="s">
        <v>1290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-1747417.7713697162</v>
      </c>
      <c r="Q181" s="232">
        <f>Financeiros!D43</f>
        <v>-1747417.7713697162</v>
      </c>
    </row>
    <row r="182" spans="1:17" ht="15.75">
      <c r="A182" s="846" t="s">
        <v>696</v>
      </c>
      <c r="B182" s="846" t="s">
        <v>1290</v>
      </c>
      <c r="C182" s="846" t="str">
        <f>Financeiros!C44</f>
        <v>Diferimento de Energia</v>
      </c>
      <c r="D182" s="846">
        <v>2</v>
      </c>
      <c r="E182" s="846">
        <v>2</v>
      </c>
      <c r="F182" s="846">
        <v>999</v>
      </c>
      <c r="G182" s="846">
        <v>999999</v>
      </c>
      <c r="H182" s="846">
        <v>999</v>
      </c>
      <c r="I182" s="846">
        <v>99</v>
      </c>
      <c r="J182" s="846">
        <v>999</v>
      </c>
      <c r="K182" s="846"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696</v>
      </c>
      <c r="B183" s="846" t="s">
        <v>1290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696</v>
      </c>
      <c r="B184" s="846" t="s">
        <v>1290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v>999</v>
      </c>
      <c r="G184" s="846">
        <v>999999</v>
      </c>
      <c r="H184" s="846">
        <v>999</v>
      </c>
      <c r="I184" s="846">
        <v>99</v>
      </c>
      <c r="J184" s="846">
        <v>999</v>
      </c>
      <c r="K184" s="846"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696</v>
      </c>
      <c r="B185" s="846" t="s">
        <v>1290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v>999</v>
      </c>
      <c r="G185" s="846">
        <v>999999</v>
      </c>
      <c r="H185" s="846">
        <v>999</v>
      </c>
      <c r="I185" s="846">
        <v>99</v>
      </c>
      <c r="J185" s="846">
        <v>999</v>
      </c>
      <c r="K185" s="846"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0</v>
      </c>
      <c r="Q185" s="232">
        <f>Financeiros!D47</f>
        <v>0</v>
      </c>
    </row>
    <row r="186" spans="1:17" ht="15.75">
      <c r="A186" s="846" t="s">
        <v>696</v>
      </c>
      <c r="B186" s="846" t="s">
        <v>1290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v>999</v>
      </c>
      <c r="G186" s="846">
        <v>999999</v>
      </c>
      <c r="H186" s="846">
        <v>999</v>
      </c>
      <c r="I186" s="846">
        <v>99</v>
      </c>
      <c r="J186" s="846">
        <v>999</v>
      </c>
      <c r="K186" s="846"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0</v>
      </c>
      <c r="Q186" s="232">
        <f>Financeiros!D48</f>
        <v>0</v>
      </c>
    </row>
    <row r="187" spans="1:17" ht="15.75">
      <c r="A187" s="846" t="s">
        <v>696</v>
      </c>
      <c r="B187" s="846" t="s">
        <v>1290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696</v>
      </c>
      <c r="B188" s="846" t="s">
        <v>1290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696</v>
      </c>
      <c r="B189" s="846" t="s">
        <v>1290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696</v>
      </c>
      <c r="B190" s="846" t="s">
        <v>1290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696</v>
      </c>
      <c r="B191" s="846" t="s">
        <v>1290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696</v>
      </c>
      <c r="B192" s="846" t="s">
        <v>1290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696</v>
      </c>
      <c r="B193" s="846" t="s">
        <v>1290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696</v>
      </c>
      <c r="B194" s="846" t="s">
        <v>1290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696</v>
      </c>
      <c r="B195" s="846" t="s">
        <v>1290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696</v>
      </c>
      <c r="B196" s="846" t="s">
        <v>1290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0</v>
      </c>
      <c r="Q196" s="232">
        <f ca="1">Financeiros!D58</f>
        <v>0</v>
      </c>
    </row>
    <row r="197" spans="1:17" ht="15.75">
      <c r="A197" s="846" t="s">
        <v>696</v>
      </c>
      <c r="B197" s="846" t="s">
        <v>1290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696</v>
      </c>
      <c r="B198" s="846" t="s">
        <v>1290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0</v>
      </c>
      <c r="Q198" s="232">
        <f ca="1">Financeiros!D60</f>
        <v>0</v>
      </c>
    </row>
    <row r="199" spans="1:17" ht="15.75">
      <c r="A199" s="846" t="s">
        <v>696</v>
      </c>
      <c r="B199" s="846" t="s">
        <v>1290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0</v>
      </c>
      <c r="Q199" s="232">
        <f ca="1">Financeiros!D61</f>
        <v>0</v>
      </c>
    </row>
    <row r="200" spans="1:17" ht="15.75">
      <c r="A200" s="846" t="s">
        <v>696</v>
      </c>
      <c r="B200" s="846" t="s">
        <v>1290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0</v>
      </c>
      <c r="Q200" s="232">
        <f ca="1">Financeiros!D62</f>
        <v>0</v>
      </c>
    </row>
    <row r="201" spans="1:17" ht="15.75">
      <c r="A201" s="846" t="s">
        <v>696</v>
      </c>
      <c r="B201" s="846" t="s">
        <v>1290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696</v>
      </c>
      <c r="B202" s="846" t="s">
        <v>1290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696</v>
      </c>
      <c r="B203" s="846" t="s">
        <v>1290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0</v>
      </c>
      <c r="Q203" s="232">
        <f>Financeiros!D65</f>
        <v>0</v>
      </c>
    </row>
    <row r="204" spans="1:17" ht="15.75">
      <c r="A204" s="846" t="s">
        <v>696</v>
      </c>
      <c r="B204" s="846" t="s">
        <v>1290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696</v>
      </c>
      <c r="B205" s="846" t="s">
        <v>1290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696</v>
      </c>
      <c r="B206" s="846" t="s">
        <v>1290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696</v>
      </c>
      <c r="B207" s="846" t="s">
        <v>1290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696</v>
      </c>
      <c r="B208" s="846" t="s">
        <v>1290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696</v>
      </c>
      <c r="B209" s="846" t="s">
        <v>1290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696</v>
      </c>
      <c r="B210" s="846" t="s">
        <v>1290</v>
      </c>
      <c r="C210" s="846" t="str">
        <f>Financeiros!C72</f>
        <v>Conta Escassez H. - Diferimento de energia - RTA 2022 - Energia de Revenda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ca="1" si="6"/>
        <v>0</v>
      </c>
      <c r="Q210" s="232">
        <f ca="1">Financeiros!D72</f>
        <v>0</v>
      </c>
    </row>
    <row r="211" spans="1:17" ht="15.75">
      <c r="A211" s="846" t="s">
        <v>696</v>
      </c>
      <c r="B211" s="846" t="s">
        <v>1290</v>
      </c>
      <c r="C211" s="846" t="str">
        <f>Financeiros!C73</f>
        <v>Conta Escassez H. - Diferimento de energia - RTA 2022 - Perda Não Técnica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ca="1" si="6"/>
        <v>0</v>
      </c>
      <c r="Q211" s="232">
        <f ca="1">Financeiros!D73</f>
        <v>0</v>
      </c>
    </row>
    <row r="212" spans="1:17" ht="15.75">
      <c r="A212" s="846" t="s">
        <v>696</v>
      </c>
      <c r="B212" s="846" t="s">
        <v>1290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6" t="s">
        <v>696</v>
      </c>
      <c r="B213" s="846" t="s">
        <v>1290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696</v>
      </c>
      <c r="B214" s="846" t="s">
        <v>1290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696</v>
      </c>
      <c r="B215" s="846" t="s">
        <v>1290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0</v>
      </c>
      <c r="Q215" s="232">
        <f ca="1">Financeiros!D77</f>
        <v>0</v>
      </c>
    </row>
    <row r="216" spans="1:17" ht="15.75">
      <c r="A216" s="846" t="s">
        <v>696</v>
      </c>
      <c r="B216" s="846" t="s">
        <v>1290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696</v>
      </c>
      <c r="B217" s="846" t="s">
        <v>1290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0</v>
      </c>
      <c r="Q217" s="232">
        <f ca="1">Financeiros!D79</f>
        <v>0</v>
      </c>
    </row>
    <row r="218" spans="1:17" ht="15.75">
      <c r="A218" s="846" t="s">
        <v>696</v>
      </c>
      <c r="B218" s="846" t="s">
        <v>1290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0</v>
      </c>
      <c r="Q218" s="232">
        <f ca="1">Financeiros!D80</f>
        <v>0</v>
      </c>
    </row>
    <row r="219" spans="1:17" ht="15.75">
      <c r="A219" s="846" t="s">
        <v>696</v>
      </c>
      <c r="B219" s="846" t="s">
        <v>1290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0</v>
      </c>
      <c r="Q219" s="232">
        <f ca="1">Financeiros!D81</f>
        <v>0</v>
      </c>
    </row>
    <row r="220" spans="1:17" ht="15.75">
      <c r="A220" s="846" t="s">
        <v>696</v>
      </c>
      <c r="B220" s="846" t="s">
        <v>1290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0</v>
      </c>
      <c r="Q220" s="232">
        <f ca="1">Financeiros!D82</f>
        <v>0</v>
      </c>
    </row>
    <row r="221" spans="1:17" ht="15.75">
      <c r="A221" s="846" t="s">
        <v>696</v>
      </c>
      <c r="B221" s="846" t="s">
        <v>1290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696</v>
      </c>
      <c r="B222" s="846" t="s">
        <v>1290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0</v>
      </c>
      <c r="Q222" s="232">
        <f ca="1">Financeiros!D84</f>
        <v>0</v>
      </c>
    </row>
    <row r="223" spans="1:17" ht="15.75">
      <c r="A223" s="846" t="s">
        <v>696</v>
      </c>
      <c r="B223" s="846" t="s">
        <v>1290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0</v>
      </c>
      <c r="Q223" s="232">
        <f ca="1">Financeiros!D85</f>
        <v>0</v>
      </c>
    </row>
    <row r="224" spans="1:17" ht="15.75">
      <c r="A224" s="846" t="s">
        <v>696</v>
      </c>
      <c r="B224" s="846" t="s">
        <v>1290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0</v>
      </c>
      <c r="Q224" s="232">
        <f ca="1">Financeiros!D86</f>
        <v>0</v>
      </c>
    </row>
    <row r="225" spans="1:17" ht="15.75">
      <c r="A225" s="846" t="s">
        <v>696</v>
      </c>
      <c r="B225" s="846" t="s">
        <v>1290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0</v>
      </c>
      <c r="Q225" s="232">
        <f ca="1">Financeiros!D87</f>
        <v>0</v>
      </c>
    </row>
    <row r="226" spans="1:17" ht="15.75">
      <c r="A226" s="846" t="s">
        <v>696</v>
      </c>
      <c r="B226" s="846" t="s">
        <v>1290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696</v>
      </c>
      <c r="B227" s="846" t="s">
        <v>1290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0</v>
      </c>
      <c r="Q227" s="232">
        <f ca="1">Financeiros!D89</f>
        <v>0</v>
      </c>
    </row>
    <row r="228" spans="1:17" ht="15.75">
      <c r="A228" s="846" t="s">
        <v>696</v>
      </c>
      <c r="B228" s="846" t="s">
        <v>1290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0</v>
      </c>
      <c r="Q228" s="232">
        <f ca="1">Financeiros!D90</f>
        <v>0</v>
      </c>
    </row>
    <row r="229" spans="1:17" ht="15.75">
      <c r="A229" s="846" t="s">
        <v>696</v>
      </c>
      <c r="B229" s="846" t="s">
        <v>1290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0</v>
      </c>
      <c r="Q229" s="232">
        <f ca="1">Financeiros!D91</f>
        <v>0</v>
      </c>
    </row>
    <row r="230" spans="1:17" ht="15.75">
      <c r="A230" s="846" t="s">
        <v>696</v>
      </c>
      <c r="B230" s="846" t="s">
        <v>1290</v>
      </c>
      <c r="C230" s="846" t="str">
        <f>Financeiros!C92</f>
        <v>Diferimento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696</v>
      </c>
      <c r="B231" s="846" t="s">
        <v>1290</v>
      </c>
      <c r="C231" s="846" t="str">
        <f>Financeiros!C93</f>
        <v>Diferimento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696</v>
      </c>
      <c r="B232" s="846" t="s">
        <v>1290</v>
      </c>
      <c r="C232" s="846" t="str">
        <f>Financeiros!C94</f>
        <v>Diferimento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696</v>
      </c>
      <c r="B233" s="846" t="s">
        <v>1290</v>
      </c>
      <c r="C233" s="846" t="str">
        <f>Financeiros!C95</f>
        <v>Diferimento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696</v>
      </c>
      <c r="B234" s="846" t="s">
        <v>1290</v>
      </c>
      <c r="C234" s="846" t="str">
        <f>Financeiros!C96</f>
        <v>Diferimento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696</v>
      </c>
      <c r="B235" s="846" t="s">
        <v>1290</v>
      </c>
      <c r="C235" s="846" t="str">
        <f>Financeiros!C97</f>
        <v xml:space="preserve">Diferimento Transporte - Uso do Sistema de Distribuição 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>
      <c r="A236" s="846" t="s">
        <v>696</v>
      </c>
      <c r="B236" s="846" t="s">
        <v>1290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696</v>
      </c>
      <c r="B237" s="846" t="s">
        <v>1290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696</v>
      </c>
      <c r="B238" s="846" t="s">
        <v>1290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83" t="s">
        <v>1475</v>
      </c>
      <c r="B239" s="1684" t="s">
        <v>1475</v>
      </c>
      <c r="C239" s="1684" t="s">
        <v>1475</v>
      </c>
      <c r="D239" s="1684">
        <v>99</v>
      </c>
      <c r="E239" s="1684">
        <v>99</v>
      </c>
      <c r="F239" s="1684">
        <v>999</v>
      </c>
      <c r="G239" s="1684">
        <v>999999</v>
      </c>
      <c r="H239" s="1684">
        <v>999</v>
      </c>
      <c r="I239" s="1684">
        <v>99</v>
      </c>
      <c r="J239" s="1684">
        <v>999</v>
      </c>
      <c r="K239" s="1684">
        <v>9</v>
      </c>
      <c r="L239" s="1684">
        <v>99</v>
      </c>
      <c r="M239" s="1684">
        <v>9</v>
      </c>
      <c r="N239" s="1684">
        <v>99</v>
      </c>
      <c r="O239" s="1681">
        <v>99999</v>
      </c>
      <c r="P239" s="1685">
        <f>IF(ISNUMBER(Q239),Q239,0)</f>
        <v>0</v>
      </c>
      <c r="Q239" s="1686">
        <v>0</v>
      </c>
    </row>
    <row r="240" spans="1:17" ht="15.75">
      <c r="A240" s="1683" t="s">
        <v>1475</v>
      </c>
      <c r="B240" s="1684" t="s">
        <v>1475</v>
      </c>
      <c r="C240" s="1684" t="s">
        <v>1475</v>
      </c>
      <c r="D240" s="1684">
        <v>99</v>
      </c>
      <c r="E240" s="1684">
        <v>99</v>
      </c>
      <c r="F240" s="1684">
        <v>999</v>
      </c>
      <c r="G240" s="1684">
        <v>999999</v>
      </c>
      <c r="H240" s="1684">
        <v>999</v>
      </c>
      <c r="I240" s="1684">
        <v>99</v>
      </c>
      <c r="J240" s="1684">
        <v>999</v>
      </c>
      <c r="K240" s="1684">
        <v>9</v>
      </c>
      <c r="L240" s="1684">
        <v>99</v>
      </c>
      <c r="M240" s="1684">
        <v>9</v>
      </c>
      <c r="N240" s="1684">
        <v>99</v>
      </c>
      <c r="O240" s="1681">
        <v>99999</v>
      </c>
      <c r="P240" s="1685">
        <f>IF(ISNUMBER(Q240),Q240,0)</f>
        <v>0</v>
      </c>
      <c r="Q240" s="1686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1509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3946542</v>
      </c>
      <c r="Q1677" s="232">
        <f>'Rede Básica + Ajuste'!D9</f>
        <v>3946542</v>
      </c>
    </row>
    <row r="1678" spans="1:17">
      <c r="A1678" s="9" t="s">
        <v>696</v>
      </c>
      <c r="B1678" t="s">
        <v>717</v>
      </c>
      <c r="C1678" s="9" t="s">
        <v>1510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5398185</v>
      </c>
      <c r="Q1678" s="232">
        <f>'Rede Básica + Ajuste'!D10</f>
        <v>5398185</v>
      </c>
    </row>
    <row r="1679" spans="1:17">
      <c r="A1679" s="9" t="s">
        <v>696</v>
      </c>
      <c r="B1679" t="s">
        <v>717</v>
      </c>
      <c r="C1679" s="9" t="s">
        <v>1511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576180</v>
      </c>
      <c r="Q1679" s="232">
        <f>'Rede Básica + Ajuste'!E9</f>
        <v>576180</v>
      </c>
    </row>
    <row r="1680" spans="1:17">
      <c r="A1680" s="9" t="s">
        <v>696</v>
      </c>
      <c r="B1680" t="s">
        <v>717</v>
      </c>
      <c r="C1680" s="9" t="s">
        <v>1512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733590</v>
      </c>
      <c r="Q1680" s="232">
        <f>'Rede Básica + Ajuste'!E10</f>
        <v>733590</v>
      </c>
    </row>
    <row r="1681" spans="1:17">
      <c r="A1681" s="9" t="s">
        <v>696</v>
      </c>
      <c r="B1681" t="s">
        <v>717</v>
      </c>
      <c r="C1681" s="9" t="s">
        <v>1513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582</v>
      </c>
      <c r="Q1681" s="232">
        <f>'Rede Básica + Ajuste'!C9</f>
        <v>582</v>
      </c>
    </row>
    <row r="1682" spans="1:17">
      <c r="A1682" s="9" t="s">
        <v>696</v>
      </c>
      <c r="B1682" t="s">
        <v>717</v>
      </c>
      <c r="C1682" s="9" t="s">
        <v>1514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741</v>
      </c>
      <c r="Q1682" s="232">
        <f>'Rede Básica + Ajuste'!C10</f>
        <v>741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2" bestFit="1" customWidth="1"/>
    <col min="2" max="2" width="12.5703125" style="492" bestFit="1" customWidth="1"/>
    <col min="3" max="3" width="10.140625" style="492" customWidth="1"/>
    <col min="4" max="4" width="50.42578125" style="492" bestFit="1" customWidth="1"/>
    <col min="5" max="5" width="41.140625" style="492" bestFit="1" customWidth="1"/>
    <col min="6" max="6" width="43.28515625" style="492" bestFit="1" customWidth="1"/>
    <col min="7" max="7" width="34.7109375" style="492" bestFit="1" customWidth="1"/>
    <col min="8" max="8" width="42.7109375" style="492" bestFit="1" customWidth="1"/>
    <col min="9" max="9" width="33.42578125" style="492" bestFit="1" customWidth="1"/>
    <col min="10" max="10" width="25.42578125" style="492" bestFit="1" customWidth="1"/>
    <col min="11" max="11" width="30.85546875" style="492" bestFit="1" customWidth="1"/>
    <col min="12" max="14" width="13" style="492" customWidth="1"/>
    <col min="15" max="15" width="12.5703125" style="492" bestFit="1" customWidth="1"/>
    <col min="16" max="16" width="12.5703125" style="492" customWidth="1"/>
    <col min="17" max="19" width="13" style="492" customWidth="1"/>
    <col min="20" max="20" width="41.140625" style="492" customWidth="1"/>
    <col min="21" max="22" width="13" style="492" customWidth="1"/>
    <col min="23" max="33" width="13" style="492" bestFit="1" customWidth="1"/>
    <col min="34" max="36" width="12.5703125" style="492" bestFit="1" customWidth="1"/>
    <col min="37" max="37" width="49.42578125" style="492" bestFit="1" customWidth="1"/>
    <col min="38" max="38" width="17.5703125" style="492" bestFit="1" customWidth="1"/>
    <col min="39" max="39" width="18" style="492" bestFit="1" customWidth="1"/>
    <col min="40" max="40" width="17.5703125" style="492" bestFit="1" customWidth="1"/>
    <col min="41" max="41" width="18" style="492" bestFit="1" customWidth="1"/>
    <col min="42" max="42" width="17" style="492" bestFit="1" customWidth="1"/>
    <col min="43" max="43" width="17.5703125" style="492" bestFit="1" customWidth="1"/>
    <col min="44" max="44" width="18" style="492" bestFit="1" customWidth="1"/>
    <col min="45" max="47" width="17.5703125" style="492" bestFit="1" customWidth="1"/>
    <col min="48" max="48" width="17" style="492" bestFit="1" customWidth="1"/>
    <col min="49" max="51" width="17.5703125" style="492" bestFit="1" customWidth="1"/>
    <col min="52" max="52" width="17" style="492" bestFit="1" customWidth="1"/>
    <col min="53" max="53" width="17.5703125" style="492" bestFit="1" customWidth="1"/>
    <col min="54" max="54" width="40.85546875" style="492" bestFit="1" customWidth="1"/>
    <col min="55" max="70" width="10.140625" style="492" bestFit="1" customWidth="1"/>
    <col min="71" max="71" width="42.7109375" style="492" bestFit="1" customWidth="1"/>
    <col min="72" max="72" width="16.5703125" style="492" bestFit="1" customWidth="1"/>
    <col min="73" max="75" width="17.5703125" style="492" bestFit="1" customWidth="1"/>
    <col min="76" max="76" width="17" style="492" bestFit="1" customWidth="1"/>
    <col min="77" max="77" width="17.5703125" style="492" bestFit="1" customWidth="1"/>
    <col min="78" max="79" width="17" style="492" bestFit="1" customWidth="1"/>
    <col min="80" max="80" width="17.5703125" style="492" bestFit="1" customWidth="1"/>
    <col min="81" max="82" width="17" style="492" bestFit="1" customWidth="1"/>
    <col min="83" max="84" width="17.5703125" style="492" bestFit="1" customWidth="1"/>
    <col min="85" max="86" width="18" style="492" bestFit="1" customWidth="1"/>
    <col min="87" max="87" width="17" style="492" bestFit="1" customWidth="1"/>
    <col min="88" max="88" width="33.42578125" style="492" bestFit="1" customWidth="1"/>
    <col min="89" max="104" width="10.140625" style="492" bestFit="1" customWidth="1"/>
    <col min="105" max="105" width="25.42578125" style="492" bestFit="1" customWidth="1"/>
    <col min="106" max="119" width="10.140625" style="492" bestFit="1" customWidth="1"/>
    <col min="120" max="120" width="11.140625" style="492" bestFit="1" customWidth="1"/>
    <col min="121" max="121" width="10.140625" style="492" bestFit="1" customWidth="1"/>
    <col min="122" max="122" width="30.85546875" style="492" bestFit="1" customWidth="1"/>
    <col min="123" max="123" width="13.42578125" style="492" bestFit="1" customWidth="1"/>
    <col min="124" max="125" width="14" style="492" bestFit="1" customWidth="1"/>
    <col min="126" max="126" width="13.42578125" style="492" bestFit="1" customWidth="1"/>
    <col min="127" max="127" width="14.42578125" style="492" bestFit="1" customWidth="1"/>
    <col min="128" max="130" width="14" style="492" bestFit="1" customWidth="1"/>
    <col min="131" max="131" width="14.42578125" style="492" bestFit="1" customWidth="1"/>
    <col min="132" max="132" width="14" style="492" bestFit="1" customWidth="1"/>
    <col min="133" max="133" width="14.42578125" style="492" bestFit="1" customWidth="1"/>
    <col min="134" max="134" width="14" style="492" bestFit="1" customWidth="1"/>
    <col min="135" max="135" width="13.42578125" style="492" bestFit="1" customWidth="1"/>
    <col min="136" max="138" width="14.42578125" style="492" bestFit="1" customWidth="1"/>
    <col min="139" max="16384" width="9.140625" style="492"/>
  </cols>
  <sheetData>
    <row r="1" spans="1:138">
      <c r="A1" s="1393" t="s">
        <v>1515</v>
      </c>
      <c r="B1" s="492">
        <f>YEAR(SAS_RA0_DataInicio)*100+MONTH(SAS_RA0_DataInicio)</f>
        <v>202109</v>
      </c>
      <c r="D1" s="1393" t="s">
        <v>1516</v>
      </c>
      <c r="E1" s="1393" t="s">
        <v>1517</v>
      </c>
      <c r="F1" s="1393" t="s">
        <v>1518</v>
      </c>
    </row>
    <row r="2" spans="1:138" ht="15.75">
      <c r="A2" s="1393" t="s">
        <v>1519</v>
      </c>
      <c r="B2" s="492">
        <f>YEAR(SAS_RA0_DataFim)*100+MONTH(SAS_RA0_DataFim)</f>
        <v>202208</v>
      </c>
      <c r="D2" s="1394" t="str">
        <f>UPPER(VLOOKUP(LnkTXTSigla,Informacoes[],9,FALSE))</f>
        <v>44834</v>
      </c>
      <c r="E2" s="492">
        <f>IF(_xlfn.MAXIFS(C:C,A:A,D2)&gt;B2,B2,_xlfn.MAXIFS(C:C,A:A,D2))</f>
        <v>0</v>
      </c>
      <c r="F2" s="494">
        <f>YEAR(SAS_RA0_DataFim)*100+MONTH(SAS_RA0_DataFim)-E2+1</f>
        <v>202209</v>
      </c>
    </row>
    <row r="3" spans="1:138" ht="15.75">
      <c r="A3" s="1395" t="s">
        <v>189</v>
      </c>
      <c r="B3" s="494">
        <f>YEAR(SAS_RA0_DataFim)*100+MONTH(SAS_RA0_DataFim)-MAX(C:C)+1</f>
        <v>202209</v>
      </c>
      <c r="D3" s="1394" t="str">
        <f>UPPER(VLOOKUP(LnkTXTSigla,Informacoes[],11,FALSE))</f>
        <v>CELESC</v>
      </c>
      <c r="E3" s="492">
        <f>IF(_xlfn.MAXIFS(C:C,A:A,D3)&gt;B2,B2,_xlfn.MAXIFS(C:C,A:A,D3))</f>
        <v>0</v>
      </c>
      <c r="F3" s="494">
        <f>YEAR(SAS_RA0_DataFim)*100+MONTH(SAS_RA0_DataFim)-E3+1</f>
        <v>202209</v>
      </c>
    </row>
    <row r="4" spans="1:138" ht="15.75">
      <c r="A4" s="508" t="s">
        <v>1520</v>
      </c>
      <c r="B4" s="509" t="s">
        <v>1521</v>
      </c>
    </row>
    <row r="6" spans="1:138" ht="15.75">
      <c r="A6" s="765"/>
      <c r="B6" s="766"/>
      <c r="C6" s="766"/>
      <c r="D6" s="50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3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3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6" t="s">
        <v>1522</v>
      </c>
      <c r="B1" s="1397">
        <v>0</v>
      </c>
    </row>
    <row r="2" spans="1:2">
      <c r="A2" s="1396" t="s">
        <v>1523</v>
      </c>
      <c r="B2" s="1397">
        <v>0</v>
      </c>
    </row>
    <row r="3" spans="1:2">
      <c r="A3" s="1396" t="s">
        <v>1524</v>
      </c>
      <c r="B3" s="1397">
        <v>0</v>
      </c>
    </row>
    <row r="4" spans="1:2">
      <c r="A4" s="1396" t="s">
        <v>1525</v>
      </c>
      <c r="B4" s="1397">
        <v>0</v>
      </c>
    </row>
    <row r="5" spans="1:2">
      <c r="A5" s="1396" t="s">
        <v>1526</v>
      </c>
      <c r="B5" s="1397">
        <v>0</v>
      </c>
    </row>
    <row r="6" spans="1:2">
      <c r="A6" s="1396" t="s">
        <v>1527</v>
      </c>
      <c r="B6" s="1397">
        <v>0</v>
      </c>
    </row>
    <row r="7" spans="1:2">
      <c r="A7" s="1396" t="s">
        <v>1528</v>
      </c>
      <c r="B7" s="1397">
        <v>0</v>
      </c>
    </row>
    <row r="8" spans="1:2">
      <c r="A8" s="1396" t="s">
        <v>1529</v>
      </c>
      <c r="B8" s="1397">
        <v>0</v>
      </c>
    </row>
    <row r="9" spans="1:2">
      <c r="A9" s="1396" t="s">
        <v>1530</v>
      </c>
      <c r="B9" s="1397">
        <v>0.45</v>
      </c>
    </row>
    <row r="10" spans="1:2">
      <c r="A10" s="1396" t="s">
        <v>1531</v>
      </c>
      <c r="B10" s="1397">
        <v>0.4</v>
      </c>
    </row>
    <row r="11" spans="1:2">
      <c r="A11" s="1396" t="s">
        <v>1532</v>
      </c>
      <c r="B11" s="1396">
        <v>0.65</v>
      </c>
    </row>
    <row r="12" spans="1:2">
      <c r="A12" s="1396" t="s">
        <v>1533</v>
      </c>
      <c r="B12" s="1396">
        <v>0.4</v>
      </c>
    </row>
    <row r="13" spans="1:2">
      <c r="A13" s="1396" t="s">
        <v>1534</v>
      </c>
      <c r="B13" s="1396">
        <v>0.1</v>
      </c>
    </row>
    <row r="14" spans="1:2">
      <c r="A14" s="1396" t="s">
        <v>1535</v>
      </c>
      <c r="B14" s="1396">
        <v>0</v>
      </c>
    </row>
    <row r="15" spans="1:2">
      <c r="A15" s="1396" t="s">
        <v>1536</v>
      </c>
      <c r="B15" s="1396">
        <v>0.3</v>
      </c>
    </row>
    <row r="16" spans="1:2">
      <c r="A16" s="1396" t="s">
        <v>1537</v>
      </c>
      <c r="B16" s="1396">
        <v>0.3</v>
      </c>
    </row>
    <row r="17" spans="1:13">
      <c r="A17" s="1396" t="s">
        <v>1538</v>
      </c>
      <c r="B17" s="1396">
        <v>0.4</v>
      </c>
    </row>
    <row r="20" spans="1:13" ht="15">
      <c r="D20" s="1398" t="s">
        <v>1377</v>
      </c>
      <c r="E20" s="1398" t="s">
        <v>960</v>
      </c>
      <c r="F20" s="1398" t="s">
        <v>1539</v>
      </c>
      <c r="G20" s="1398" t="s">
        <v>1540</v>
      </c>
      <c r="H20" s="1398" t="s">
        <v>1541</v>
      </c>
      <c r="I20" s="1398" t="s">
        <v>1542</v>
      </c>
      <c r="J20" s="1398" t="s">
        <v>1543</v>
      </c>
      <c r="K20" s="1398" t="s">
        <v>1544</v>
      </c>
      <c r="L20" s="1398" t="s">
        <v>1545</v>
      </c>
      <c r="M20" s="1398" t="s">
        <v>1044</v>
      </c>
    </row>
    <row r="21" spans="1:13" ht="30" hidden="1">
      <c r="D21" s="1399">
        <v>26</v>
      </c>
      <c r="E21" s="1400" t="s">
        <v>1546</v>
      </c>
      <c r="F21" s="1400" t="s">
        <v>113</v>
      </c>
      <c r="G21" s="1401">
        <v>41243</v>
      </c>
      <c r="H21" s="1402">
        <v>41243</v>
      </c>
      <c r="I21" s="1400" t="s">
        <v>963</v>
      </c>
      <c r="J21" s="1400" t="s">
        <v>114</v>
      </c>
      <c r="K21" s="1399">
        <v>1663</v>
      </c>
      <c r="L21" s="1400" t="s">
        <v>1547</v>
      </c>
      <c r="M21" s="1400" t="s">
        <v>1548</v>
      </c>
    </row>
    <row r="22" spans="1:13" ht="30" hidden="1">
      <c r="D22" s="1399">
        <v>28</v>
      </c>
      <c r="E22" s="1400" t="s">
        <v>1549</v>
      </c>
      <c r="F22" s="1400" t="s">
        <v>1550</v>
      </c>
      <c r="G22" s="1401">
        <v>41214</v>
      </c>
      <c r="H22" s="470"/>
      <c r="I22" s="1400" t="s">
        <v>963</v>
      </c>
      <c r="J22" s="1400" t="s">
        <v>114</v>
      </c>
      <c r="K22" s="1399">
        <v>1665</v>
      </c>
      <c r="L22" s="1400" t="s">
        <v>114</v>
      </c>
      <c r="M22" s="1400" t="s">
        <v>1548</v>
      </c>
    </row>
    <row r="23" spans="1:13" ht="30" hidden="1">
      <c r="D23" s="1399">
        <v>31</v>
      </c>
      <c r="E23" s="1400" t="s">
        <v>1551</v>
      </c>
      <c r="F23" s="1400" t="s">
        <v>115</v>
      </c>
      <c r="G23" s="1401">
        <v>41243</v>
      </c>
      <c r="H23" s="470"/>
      <c r="I23" s="1400" t="s">
        <v>963</v>
      </c>
      <c r="J23" s="1400" t="s">
        <v>114</v>
      </c>
      <c r="K23" s="1399">
        <v>1666</v>
      </c>
      <c r="L23" s="1400" t="s">
        <v>114</v>
      </c>
      <c r="M23" s="1400" t="s">
        <v>1548</v>
      </c>
    </row>
    <row r="24" spans="1:13" ht="30" hidden="1">
      <c r="D24" s="1399">
        <v>32</v>
      </c>
      <c r="E24" s="1400" t="s">
        <v>1552</v>
      </c>
      <c r="F24" s="1400" t="s">
        <v>116</v>
      </c>
      <c r="G24" s="1401">
        <v>41094</v>
      </c>
      <c r="H24" s="470"/>
      <c r="I24" s="1400" t="s">
        <v>963</v>
      </c>
      <c r="J24" s="1400" t="s">
        <v>114</v>
      </c>
      <c r="K24" s="1399">
        <v>1668</v>
      </c>
      <c r="L24" s="1400" t="s">
        <v>1553</v>
      </c>
      <c r="M24" s="1400" t="s">
        <v>1548</v>
      </c>
    </row>
    <row r="25" spans="1:13" ht="30" hidden="1">
      <c r="D25" s="1399">
        <v>37</v>
      </c>
      <c r="E25" s="1400" t="s">
        <v>1554</v>
      </c>
      <c r="F25" s="1400" t="s">
        <v>117</v>
      </c>
      <c r="G25" s="1401">
        <v>41149</v>
      </c>
      <c r="H25" s="470"/>
      <c r="I25" s="1400" t="s">
        <v>963</v>
      </c>
      <c r="J25" s="1400" t="s">
        <v>114</v>
      </c>
      <c r="K25" s="1399">
        <v>1669</v>
      </c>
      <c r="L25" s="1400" t="s">
        <v>1555</v>
      </c>
      <c r="M25" s="1400" t="s">
        <v>1548</v>
      </c>
    </row>
    <row r="26" spans="1:13" ht="30" hidden="1">
      <c r="D26" s="1399">
        <v>38</v>
      </c>
      <c r="E26" s="1400" t="s">
        <v>1556</v>
      </c>
      <c r="F26" s="1400" t="s">
        <v>118</v>
      </c>
      <c r="G26" s="1401">
        <v>41180</v>
      </c>
      <c r="H26" s="1402">
        <v>41149</v>
      </c>
      <c r="I26" s="1400" t="s">
        <v>963</v>
      </c>
      <c r="J26" s="1400" t="s">
        <v>114</v>
      </c>
      <c r="K26" s="1399">
        <v>1670</v>
      </c>
      <c r="L26" s="1400" t="s">
        <v>1557</v>
      </c>
      <c r="M26" s="1400" t="s">
        <v>1548</v>
      </c>
    </row>
    <row r="27" spans="1:13" ht="30" hidden="1">
      <c r="D27" s="1399">
        <v>39</v>
      </c>
      <c r="E27" s="1400" t="s">
        <v>1558</v>
      </c>
      <c r="F27" s="1400" t="s">
        <v>1559</v>
      </c>
      <c r="G27" s="1401">
        <v>41021</v>
      </c>
      <c r="H27" s="470"/>
      <c r="I27" s="1400" t="s">
        <v>963</v>
      </c>
      <c r="J27" s="1400" t="s">
        <v>114</v>
      </c>
      <c r="K27" s="1399">
        <v>1671</v>
      </c>
      <c r="L27" s="1400" t="s">
        <v>1560</v>
      </c>
      <c r="M27" s="1400" t="s">
        <v>1548</v>
      </c>
    </row>
    <row r="28" spans="1:13" ht="30" hidden="1">
      <c r="D28" s="1399">
        <v>40</v>
      </c>
      <c r="E28" s="1400" t="s">
        <v>1561</v>
      </c>
      <c r="F28" s="1400" t="s">
        <v>119</v>
      </c>
      <c r="G28" s="1401">
        <v>41021</v>
      </c>
      <c r="H28" s="470"/>
      <c r="I28" s="1400" t="s">
        <v>963</v>
      </c>
      <c r="J28" s="1400" t="s">
        <v>114</v>
      </c>
      <c r="K28" s="1399">
        <v>1672</v>
      </c>
      <c r="L28" s="1400" t="s">
        <v>1562</v>
      </c>
      <c r="M28" s="1400" t="s">
        <v>1548</v>
      </c>
    </row>
    <row r="29" spans="1:13" ht="30" hidden="1">
      <c r="D29" s="1399">
        <v>43</v>
      </c>
      <c r="E29" s="1400" t="s">
        <v>1563</v>
      </c>
      <c r="F29" s="1400" t="s">
        <v>120</v>
      </c>
      <c r="G29" s="1401">
        <v>41028</v>
      </c>
      <c r="H29" s="470"/>
      <c r="I29" s="1400" t="s">
        <v>963</v>
      </c>
      <c r="J29" s="1400" t="s">
        <v>114</v>
      </c>
      <c r="K29" s="1399">
        <v>1674</v>
      </c>
      <c r="L29" s="1400" t="s">
        <v>1564</v>
      </c>
      <c r="M29" s="1400" t="s">
        <v>1548</v>
      </c>
    </row>
    <row r="30" spans="1:13" ht="30" hidden="1">
      <c r="D30" s="1399">
        <v>44</v>
      </c>
      <c r="E30" s="1400" t="s">
        <v>1565</v>
      </c>
      <c r="F30" s="1400" t="s">
        <v>121</v>
      </c>
      <c r="G30" s="1401">
        <v>41180</v>
      </c>
      <c r="H30" s="470"/>
      <c r="I30" s="1400" t="s">
        <v>963</v>
      </c>
      <c r="J30" s="1400" t="s">
        <v>114</v>
      </c>
      <c r="K30" s="1399">
        <v>1675</v>
      </c>
      <c r="L30" s="1400" t="s">
        <v>1566</v>
      </c>
      <c r="M30" s="1400" t="s">
        <v>1548</v>
      </c>
    </row>
    <row r="31" spans="1:13" ht="30" hidden="1">
      <c r="D31" s="1399">
        <v>46</v>
      </c>
      <c r="E31" s="1400" t="s">
        <v>1567</v>
      </c>
      <c r="F31" s="1400" t="s">
        <v>122</v>
      </c>
      <c r="G31" s="1401">
        <v>41051</v>
      </c>
      <c r="H31" s="1402">
        <v>41257</v>
      </c>
      <c r="I31" s="1400" t="s">
        <v>963</v>
      </c>
      <c r="J31" s="1400" t="s">
        <v>1568</v>
      </c>
      <c r="K31" s="1399">
        <v>1676</v>
      </c>
      <c r="L31" s="1400" t="s">
        <v>1569</v>
      </c>
      <c r="M31" s="1400" t="s">
        <v>1548</v>
      </c>
    </row>
    <row r="32" spans="1:13" ht="30" hidden="1">
      <c r="D32" s="1399">
        <v>47</v>
      </c>
      <c r="E32" s="1400" t="s">
        <v>1570</v>
      </c>
      <c r="F32" s="1400" t="s">
        <v>123</v>
      </c>
      <c r="G32" s="1401">
        <v>41021</v>
      </c>
      <c r="H32" s="470"/>
      <c r="I32" s="1400" t="s">
        <v>963</v>
      </c>
      <c r="J32" s="1400" t="s">
        <v>114</v>
      </c>
      <c r="K32" s="1399">
        <v>1677</v>
      </c>
      <c r="L32" s="1400" t="s">
        <v>1571</v>
      </c>
      <c r="M32" s="1400" t="s">
        <v>1548</v>
      </c>
    </row>
    <row r="33" spans="4:13" ht="15" hidden="1">
      <c r="D33" s="1399">
        <v>51</v>
      </c>
      <c r="E33" s="1400" t="s">
        <v>1572</v>
      </c>
      <c r="F33" s="1400" t="s">
        <v>124</v>
      </c>
      <c r="G33" s="1401">
        <v>41235</v>
      </c>
      <c r="H33" s="1402">
        <v>41210</v>
      </c>
      <c r="I33" s="1400" t="s">
        <v>963</v>
      </c>
      <c r="J33" s="1400" t="s">
        <v>1568</v>
      </c>
      <c r="K33" s="1399">
        <v>1682</v>
      </c>
      <c r="L33" s="1400" t="s">
        <v>1573</v>
      </c>
      <c r="M33" s="1400" t="s">
        <v>1548</v>
      </c>
    </row>
    <row r="34" spans="4:13" ht="15" hidden="1">
      <c r="D34" s="1399">
        <v>56</v>
      </c>
      <c r="E34" s="1400" t="s">
        <v>1574</v>
      </c>
      <c r="F34" s="1400" t="s">
        <v>1575</v>
      </c>
      <c r="G34" s="470"/>
      <c r="H34" s="470"/>
      <c r="I34" s="1400" t="s">
        <v>963</v>
      </c>
      <c r="J34" s="1400" t="s">
        <v>114</v>
      </c>
      <c r="K34" s="1399">
        <v>1683</v>
      </c>
      <c r="L34" s="1400" t="s">
        <v>114</v>
      </c>
      <c r="M34" s="1400" t="s">
        <v>1548</v>
      </c>
    </row>
    <row r="35" spans="4:13" ht="30" hidden="1">
      <c r="D35" s="1399">
        <v>63</v>
      </c>
      <c r="E35" s="1400" t="s">
        <v>1576</v>
      </c>
      <c r="F35" s="1400" t="s">
        <v>125</v>
      </c>
      <c r="G35" s="1401">
        <v>41007</v>
      </c>
      <c r="H35" s="470"/>
      <c r="I35" s="1400" t="s">
        <v>963</v>
      </c>
      <c r="J35" s="1400" t="s">
        <v>114</v>
      </c>
      <c r="K35" s="1399">
        <v>1688</v>
      </c>
      <c r="L35" s="1400" t="s">
        <v>1577</v>
      </c>
      <c r="M35" s="1400" t="s">
        <v>1548</v>
      </c>
    </row>
    <row r="36" spans="4:13" ht="30" hidden="1">
      <c r="D36" s="1399">
        <v>69</v>
      </c>
      <c r="E36" s="1400" t="s">
        <v>1578</v>
      </c>
      <c r="F36" s="1400" t="s">
        <v>1579</v>
      </c>
      <c r="G36" s="1401">
        <v>40990</v>
      </c>
      <c r="H36" s="1402">
        <v>42038</v>
      </c>
      <c r="I36" s="1400" t="s">
        <v>963</v>
      </c>
      <c r="J36" s="1400" t="s">
        <v>114</v>
      </c>
      <c r="K36" s="1399">
        <v>1692</v>
      </c>
      <c r="L36" s="1400" t="s">
        <v>1580</v>
      </c>
      <c r="M36" s="1400" t="s">
        <v>1548</v>
      </c>
    </row>
    <row r="37" spans="4:13" ht="30" hidden="1">
      <c r="D37" s="1399">
        <v>70</v>
      </c>
      <c r="E37" s="1400" t="s">
        <v>1581</v>
      </c>
      <c r="F37" s="1400" t="s">
        <v>1582</v>
      </c>
      <c r="G37" s="1401">
        <v>40990</v>
      </c>
      <c r="H37" s="1402">
        <v>42038</v>
      </c>
      <c r="I37" s="1400" t="s">
        <v>963</v>
      </c>
      <c r="J37" s="1400" t="s">
        <v>114</v>
      </c>
      <c r="K37" s="1399">
        <v>1693</v>
      </c>
      <c r="L37" s="1400" t="s">
        <v>1583</v>
      </c>
      <c r="M37" s="1400" t="s">
        <v>1548</v>
      </c>
    </row>
    <row r="38" spans="4:13" ht="30" hidden="1">
      <c r="D38" s="1399">
        <v>71</v>
      </c>
      <c r="E38" s="1400" t="s">
        <v>1584</v>
      </c>
      <c r="F38" s="1400" t="s">
        <v>1585</v>
      </c>
      <c r="G38" s="1401">
        <v>40990</v>
      </c>
      <c r="H38" s="1402">
        <v>42038</v>
      </c>
      <c r="I38" s="1400" t="s">
        <v>963</v>
      </c>
      <c r="J38" s="1400" t="s">
        <v>114</v>
      </c>
      <c r="K38" s="1399">
        <v>1694</v>
      </c>
      <c r="L38" s="1400" t="s">
        <v>1586</v>
      </c>
      <c r="M38" s="1400" t="s">
        <v>1548</v>
      </c>
    </row>
    <row r="39" spans="4:13" ht="30" hidden="1">
      <c r="D39" s="1399">
        <v>72</v>
      </c>
      <c r="E39" s="1400" t="s">
        <v>1587</v>
      </c>
      <c r="F39" s="1400" t="s">
        <v>166</v>
      </c>
      <c r="G39" s="1401">
        <v>40990</v>
      </c>
      <c r="H39" s="1402">
        <v>42038</v>
      </c>
      <c r="I39" s="1400" t="s">
        <v>963</v>
      </c>
      <c r="J39" s="1400" t="s">
        <v>114</v>
      </c>
      <c r="K39" s="1399">
        <v>1695</v>
      </c>
      <c r="L39" s="1400" t="s">
        <v>1588</v>
      </c>
      <c r="M39" s="1400" t="s">
        <v>1548</v>
      </c>
    </row>
    <row r="40" spans="4:13" ht="30" hidden="1">
      <c r="D40" s="1399">
        <v>73</v>
      </c>
      <c r="E40" s="1400" t="s">
        <v>1589</v>
      </c>
      <c r="F40" s="1400" t="s">
        <v>1590</v>
      </c>
      <c r="G40" s="1401">
        <v>40990</v>
      </c>
      <c r="H40" s="1402">
        <v>42038</v>
      </c>
      <c r="I40" s="1400" t="s">
        <v>963</v>
      </c>
      <c r="J40" s="1400" t="s">
        <v>1568</v>
      </c>
      <c r="K40" s="1399">
        <v>1696</v>
      </c>
      <c r="L40" s="1400" t="s">
        <v>1591</v>
      </c>
      <c r="M40" s="1400" t="s">
        <v>1548</v>
      </c>
    </row>
    <row r="41" spans="4:13" ht="30" hidden="1">
      <c r="D41" s="1399">
        <v>75</v>
      </c>
      <c r="E41" s="1400" t="s">
        <v>1592</v>
      </c>
      <c r="F41" s="1400" t="s">
        <v>1593</v>
      </c>
      <c r="G41" s="1401">
        <v>41039</v>
      </c>
      <c r="H41" s="470"/>
      <c r="I41" s="1400" t="s">
        <v>963</v>
      </c>
      <c r="J41" s="1400" t="s">
        <v>114</v>
      </c>
      <c r="K41" s="1399">
        <v>1697</v>
      </c>
      <c r="L41" s="1400" t="s">
        <v>1594</v>
      </c>
      <c r="M41" s="1400" t="s">
        <v>1548</v>
      </c>
    </row>
    <row r="42" spans="4:13" ht="30" hidden="1">
      <c r="D42" s="1399">
        <v>82</v>
      </c>
      <c r="E42" s="1400" t="s">
        <v>1595</v>
      </c>
      <c r="F42" s="1400" t="s">
        <v>126</v>
      </c>
      <c r="G42" s="1401">
        <v>41089</v>
      </c>
      <c r="H42" s="1402">
        <v>41084</v>
      </c>
      <c r="I42" s="1400" t="s">
        <v>963</v>
      </c>
      <c r="J42" s="1400" t="s">
        <v>1568</v>
      </c>
      <c r="K42" s="1399">
        <v>1701</v>
      </c>
      <c r="L42" s="1400" t="s">
        <v>1596</v>
      </c>
      <c r="M42" s="1400" t="s">
        <v>1548</v>
      </c>
    </row>
    <row r="43" spans="4:13" ht="30" hidden="1">
      <c r="D43" s="1399">
        <v>83</v>
      </c>
      <c r="E43" s="1400" t="s">
        <v>1597</v>
      </c>
      <c r="F43" s="1400" t="s">
        <v>168</v>
      </c>
      <c r="G43" s="1401">
        <v>41147</v>
      </c>
      <c r="H43" s="470"/>
      <c r="I43" s="1400" t="s">
        <v>963</v>
      </c>
      <c r="J43" s="1400" t="s">
        <v>1568</v>
      </c>
      <c r="K43" s="1399">
        <v>1702</v>
      </c>
      <c r="L43" s="1400" t="s">
        <v>1598</v>
      </c>
      <c r="M43" s="1400" t="s">
        <v>1548</v>
      </c>
    </row>
    <row r="44" spans="4:13" ht="30" hidden="1">
      <c r="D44" s="1399">
        <v>84</v>
      </c>
      <c r="E44" s="1400" t="s">
        <v>1599</v>
      </c>
      <c r="F44" s="1400" t="s">
        <v>1600</v>
      </c>
      <c r="G44" s="1401">
        <v>41089</v>
      </c>
      <c r="H44" s="470"/>
      <c r="I44" s="1400" t="s">
        <v>963</v>
      </c>
      <c r="J44" s="1400" t="s">
        <v>1568</v>
      </c>
      <c r="K44" s="1399">
        <v>1703</v>
      </c>
      <c r="L44" s="1400" t="s">
        <v>1601</v>
      </c>
      <c r="M44" s="1400" t="s">
        <v>1548</v>
      </c>
    </row>
    <row r="45" spans="4:13" ht="30" hidden="1">
      <c r="D45" s="1399">
        <v>86</v>
      </c>
      <c r="E45" s="1400" t="s">
        <v>1602</v>
      </c>
      <c r="F45" s="1400" t="s">
        <v>127</v>
      </c>
      <c r="G45" s="1401">
        <v>41150</v>
      </c>
      <c r="H45" s="1402">
        <v>41865</v>
      </c>
      <c r="I45" s="1400" t="s">
        <v>963</v>
      </c>
      <c r="J45" s="1400" t="s">
        <v>1568</v>
      </c>
      <c r="K45" s="1399">
        <v>1704</v>
      </c>
      <c r="L45" s="1400" t="s">
        <v>1603</v>
      </c>
      <c r="M45" s="1400" t="s">
        <v>1548</v>
      </c>
    </row>
    <row r="46" spans="4:13" ht="30" hidden="1">
      <c r="D46" s="1399">
        <v>87</v>
      </c>
      <c r="E46" s="1400" t="s">
        <v>1604</v>
      </c>
      <c r="F46" s="1400" t="s">
        <v>128</v>
      </c>
      <c r="G46" s="1401">
        <v>41150</v>
      </c>
      <c r="H46" s="1402">
        <v>41128</v>
      </c>
      <c r="I46" s="1400" t="s">
        <v>963</v>
      </c>
      <c r="J46" s="1400" t="s">
        <v>1568</v>
      </c>
      <c r="K46" s="1399">
        <v>1705</v>
      </c>
      <c r="L46" s="1400" t="s">
        <v>1605</v>
      </c>
      <c r="M46" s="1400" t="s">
        <v>1548</v>
      </c>
    </row>
    <row r="47" spans="4:13" ht="30" hidden="1">
      <c r="D47" s="1399">
        <v>88</v>
      </c>
      <c r="E47" s="1400" t="s">
        <v>1606</v>
      </c>
      <c r="F47" s="1400" t="s">
        <v>1607</v>
      </c>
      <c r="G47" s="1401">
        <v>41150</v>
      </c>
      <c r="H47" s="1402">
        <v>41865</v>
      </c>
      <c r="I47" s="1400" t="s">
        <v>963</v>
      </c>
      <c r="J47" s="1400" t="s">
        <v>1568</v>
      </c>
      <c r="K47" s="1399">
        <v>1706</v>
      </c>
      <c r="L47" s="1400" t="s">
        <v>1608</v>
      </c>
      <c r="M47" s="1400" t="s">
        <v>1548</v>
      </c>
    </row>
    <row r="48" spans="4:13" ht="15" hidden="1">
      <c r="D48" s="1399">
        <v>95</v>
      </c>
      <c r="E48" s="1400" t="s">
        <v>1609</v>
      </c>
      <c r="F48" s="1400" t="s">
        <v>129</v>
      </c>
      <c r="G48" s="1401">
        <v>41112</v>
      </c>
      <c r="H48" s="1402">
        <v>41089</v>
      </c>
      <c r="I48" s="1400" t="s">
        <v>963</v>
      </c>
      <c r="J48" s="1400" t="s">
        <v>1568</v>
      </c>
      <c r="K48" s="1399">
        <v>1708</v>
      </c>
      <c r="L48" s="1400" t="s">
        <v>1610</v>
      </c>
      <c r="M48" s="1400" t="s">
        <v>1548</v>
      </c>
    </row>
    <row r="49" spans="4:13" ht="30" hidden="1">
      <c r="D49" s="1399">
        <v>103</v>
      </c>
      <c r="E49" s="1400" t="s">
        <v>1611</v>
      </c>
      <c r="F49" s="1400" t="s">
        <v>130</v>
      </c>
      <c r="G49" s="1401">
        <v>41235</v>
      </c>
      <c r="H49" s="1402">
        <v>41164</v>
      </c>
      <c r="I49" s="1400" t="s">
        <v>963</v>
      </c>
      <c r="J49" s="1400" t="s">
        <v>1568</v>
      </c>
      <c r="K49" s="1399">
        <v>1710</v>
      </c>
      <c r="L49" s="1400" t="s">
        <v>1612</v>
      </c>
      <c r="M49" s="1400" t="s">
        <v>1548</v>
      </c>
    </row>
    <row r="50" spans="4:13" ht="30">
      <c r="D50" s="1399">
        <v>213</v>
      </c>
      <c r="E50" s="1400" t="s">
        <v>1613</v>
      </c>
      <c r="F50" s="1400" t="s">
        <v>1614</v>
      </c>
      <c r="G50" s="470"/>
      <c r="H50" s="470"/>
      <c r="I50" s="1400" t="s">
        <v>963</v>
      </c>
      <c r="J50" s="1400" t="s">
        <v>114</v>
      </c>
      <c r="K50" s="1399">
        <v>1757</v>
      </c>
      <c r="L50" s="1400" t="s">
        <v>114</v>
      </c>
      <c r="M50" s="1400" t="s">
        <v>1174</v>
      </c>
    </row>
    <row r="51" spans="4:13" ht="30" hidden="1">
      <c r="D51" s="1399">
        <v>369</v>
      </c>
      <c r="E51" s="1400" t="s">
        <v>1615</v>
      </c>
      <c r="F51" s="1400" t="s">
        <v>131</v>
      </c>
      <c r="G51" s="1401">
        <v>41243</v>
      </c>
      <c r="H51" s="1402">
        <v>41243</v>
      </c>
      <c r="I51" s="1400" t="s">
        <v>963</v>
      </c>
      <c r="J51" s="1400" t="s">
        <v>114</v>
      </c>
      <c r="K51" s="1399">
        <v>1770</v>
      </c>
      <c r="L51" s="1400" t="s">
        <v>1616</v>
      </c>
      <c r="M51" s="1400" t="s">
        <v>1548</v>
      </c>
    </row>
    <row r="52" spans="4:13" ht="15" hidden="1">
      <c r="D52" s="1399">
        <v>370</v>
      </c>
      <c r="E52" s="1400" t="s">
        <v>1617</v>
      </c>
      <c r="F52" s="1400" t="s">
        <v>1618</v>
      </c>
      <c r="G52" s="1401">
        <v>41214</v>
      </c>
      <c r="H52" s="1402">
        <v>41214</v>
      </c>
      <c r="I52" s="1400" t="s">
        <v>963</v>
      </c>
      <c r="J52" s="1400" t="s">
        <v>114</v>
      </c>
      <c r="K52" s="1399">
        <v>1771</v>
      </c>
      <c r="L52" s="1400" t="s">
        <v>1619</v>
      </c>
      <c r="M52" s="1400" t="s">
        <v>1548</v>
      </c>
    </row>
    <row r="53" spans="4:13" ht="30" hidden="1">
      <c r="D53" s="1399">
        <v>371</v>
      </c>
      <c r="E53" s="1400" t="s">
        <v>1620</v>
      </c>
      <c r="F53" s="1400" t="s">
        <v>132</v>
      </c>
      <c r="G53" s="1401">
        <v>40762</v>
      </c>
      <c r="H53" s="470"/>
      <c r="I53" s="1400" t="s">
        <v>963</v>
      </c>
      <c r="J53" s="1400" t="s">
        <v>114</v>
      </c>
      <c r="K53" s="1399">
        <v>1772</v>
      </c>
      <c r="L53" s="1400" t="s">
        <v>1621</v>
      </c>
      <c r="M53" s="1400" t="s">
        <v>1548</v>
      </c>
    </row>
    <row r="54" spans="4:13" ht="30" hidden="1">
      <c r="D54" s="1399">
        <v>380</v>
      </c>
      <c r="E54" s="1400" t="s">
        <v>1622</v>
      </c>
      <c r="F54" s="1400" t="s">
        <v>1623</v>
      </c>
      <c r="G54" s="1401">
        <v>41128</v>
      </c>
      <c r="H54" s="470"/>
      <c r="I54" s="1400" t="s">
        <v>963</v>
      </c>
      <c r="J54" s="1400" t="s">
        <v>114</v>
      </c>
      <c r="K54" s="1399">
        <v>1777</v>
      </c>
      <c r="L54" s="1400" t="s">
        <v>1624</v>
      </c>
      <c r="M54" s="1400" t="s">
        <v>1548</v>
      </c>
    </row>
    <row r="55" spans="4:13" ht="30" hidden="1">
      <c r="D55" s="1399">
        <v>381</v>
      </c>
      <c r="E55" s="1400" t="s">
        <v>1625</v>
      </c>
      <c r="F55" s="1400" t="s">
        <v>133</v>
      </c>
      <c r="G55" s="1401">
        <v>41143</v>
      </c>
      <c r="H55" s="1402">
        <v>41136</v>
      </c>
      <c r="I55" s="1400" t="s">
        <v>963</v>
      </c>
      <c r="J55" s="1400" t="s">
        <v>114</v>
      </c>
      <c r="K55" s="1399">
        <v>1778</v>
      </c>
      <c r="L55" s="1400" t="s">
        <v>1626</v>
      </c>
      <c r="M55" s="1400" t="s">
        <v>1548</v>
      </c>
    </row>
    <row r="56" spans="4:13" ht="30" hidden="1">
      <c r="D56" s="1399">
        <v>382</v>
      </c>
      <c r="E56" s="1400" t="s">
        <v>1627</v>
      </c>
      <c r="F56" s="1400" t="s">
        <v>134</v>
      </c>
      <c r="G56" s="1401">
        <v>40983</v>
      </c>
      <c r="H56" s="1402">
        <v>41220</v>
      </c>
      <c r="I56" s="1400" t="s">
        <v>963</v>
      </c>
      <c r="J56" s="1400" t="s">
        <v>114</v>
      </c>
      <c r="K56" s="1399">
        <v>1779</v>
      </c>
      <c r="L56" s="1400" t="s">
        <v>1628</v>
      </c>
      <c r="M56" s="1400" t="s">
        <v>1548</v>
      </c>
    </row>
    <row r="57" spans="4:13" ht="30" hidden="1">
      <c r="D57" s="1399">
        <v>383</v>
      </c>
      <c r="E57" s="1400" t="s">
        <v>1629</v>
      </c>
      <c r="F57" s="1400" t="s">
        <v>429</v>
      </c>
      <c r="G57" s="1401">
        <v>40983</v>
      </c>
      <c r="H57" s="470"/>
      <c r="I57" s="1400" t="s">
        <v>963</v>
      </c>
      <c r="J57" s="1400" t="s">
        <v>114</v>
      </c>
      <c r="K57" s="1399">
        <v>1780</v>
      </c>
      <c r="L57" s="1400" t="s">
        <v>1630</v>
      </c>
      <c r="M57" s="1400" t="s">
        <v>1548</v>
      </c>
    </row>
    <row r="58" spans="4:13" ht="30" hidden="1">
      <c r="D58" s="1399">
        <v>385</v>
      </c>
      <c r="E58" s="1400" t="s">
        <v>1631</v>
      </c>
      <c r="F58" s="1400" t="s">
        <v>136</v>
      </c>
      <c r="G58" s="1401">
        <v>41148</v>
      </c>
      <c r="H58" s="470"/>
      <c r="I58" s="1400" t="s">
        <v>963</v>
      </c>
      <c r="J58" s="1400" t="s">
        <v>114</v>
      </c>
      <c r="K58" s="1399">
        <v>1782</v>
      </c>
      <c r="L58" s="1400" t="s">
        <v>1632</v>
      </c>
      <c r="M58" s="1400" t="s">
        <v>1548</v>
      </c>
    </row>
    <row r="59" spans="4:13" ht="30" hidden="1">
      <c r="D59" s="1399">
        <v>386</v>
      </c>
      <c r="E59" s="1400" t="s">
        <v>1633</v>
      </c>
      <c r="F59" s="1400" t="s">
        <v>1634</v>
      </c>
      <c r="G59" s="1401">
        <v>41039</v>
      </c>
      <c r="H59" s="470"/>
      <c r="I59" s="1400" t="s">
        <v>963</v>
      </c>
      <c r="J59" s="1400" t="s">
        <v>114</v>
      </c>
      <c r="K59" s="1399">
        <v>1783</v>
      </c>
      <c r="L59" s="1400" t="s">
        <v>1635</v>
      </c>
      <c r="M59" s="1400" t="s">
        <v>1548</v>
      </c>
    </row>
    <row r="60" spans="4:13" ht="45" hidden="1">
      <c r="D60" s="1399">
        <v>390</v>
      </c>
      <c r="E60" s="1400" t="s">
        <v>1636</v>
      </c>
      <c r="F60" s="1400" t="s">
        <v>250</v>
      </c>
      <c r="G60" s="1401">
        <v>41094</v>
      </c>
      <c r="H60" s="470"/>
      <c r="I60" s="1400" t="s">
        <v>963</v>
      </c>
      <c r="J60" s="1400" t="s">
        <v>114</v>
      </c>
      <c r="K60" s="1399">
        <v>1787</v>
      </c>
      <c r="L60" s="1400" t="s">
        <v>1637</v>
      </c>
      <c r="M60" s="1400" t="s">
        <v>1548</v>
      </c>
    </row>
    <row r="61" spans="4:13" ht="30" hidden="1">
      <c r="D61" s="1399">
        <v>391</v>
      </c>
      <c r="E61" s="1400" t="s">
        <v>1638</v>
      </c>
      <c r="F61" s="1400" t="s">
        <v>228</v>
      </c>
      <c r="G61" s="1401">
        <v>41205</v>
      </c>
      <c r="H61" s="470"/>
      <c r="I61" s="1400" t="s">
        <v>963</v>
      </c>
      <c r="J61" s="1400" t="s">
        <v>114</v>
      </c>
      <c r="K61" s="1399">
        <v>1788</v>
      </c>
      <c r="L61" s="1400" t="s">
        <v>1639</v>
      </c>
      <c r="M61" s="1400" t="s">
        <v>1548</v>
      </c>
    </row>
    <row r="62" spans="4:13" ht="30" hidden="1">
      <c r="D62" s="1399">
        <v>396</v>
      </c>
      <c r="E62" s="1400" t="s">
        <v>1640</v>
      </c>
      <c r="F62" s="1400" t="s">
        <v>1641</v>
      </c>
      <c r="G62" s="1401">
        <v>41018</v>
      </c>
      <c r="H62" s="470"/>
      <c r="I62" s="1400" t="s">
        <v>963</v>
      </c>
      <c r="J62" s="1400" t="s">
        <v>114</v>
      </c>
      <c r="K62" s="1399">
        <v>1792</v>
      </c>
      <c r="L62" s="1400" t="s">
        <v>1642</v>
      </c>
      <c r="M62" s="1400" t="s">
        <v>1548</v>
      </c>
    </row>
    <row r="63" spans="4:13" ht="15" hidden="1">
      <c r="D63" s="1399">
        <v>397</v>
      </c>
      <c r="E63" s="1400" t="s">
        <v>1643</v>
      </c>
      <c r="F63" s="1400" t="s">
        <v>167</v>
      </c>
      <c r="G63" s="1401">
        <v>41079</v>
      </c>
      <c r="H63" s="1402">
        <v>39922</v>
      </c>
      <c r="I63" s="1400" t="s">
        <v>963</v>
      </c>
      <c r="J63" s="1400" t="s">
        <v>114</v>
      </c>
      <c r="K63" s="1399">
        <v>1793</v>
      </c>
      <c r="L63" s="1400" t="s">
        <v>1644</v>
      </c>
      <c r="M63" s="1400" t="s">
        <v>1548</v>
      </c>
    </row>
    <row r="64" spans="4:13" ht="30" hidden="1">
      <c r="D64" s="1399">
        <v>398</v>
      </c>
      <c r="E64" s="1400" t="s">
        <v>1645</v>
      </c>
      <c r="F64" s="1400" t="s">
        <v>137</v>
      </c>
      <c r="G64" s="1401">
        <v>41112</v>
      </c>
      <c r="H64" s="1402">
        <v>41089</v>
      </c>
      <c r="I64" s="1400" t="s">
        <v>963</v>
      </c>
      <c r="J64" s="1400" t="s">
        <v>1568</v>
      </c>
      <c r="K64" s="1399">
        <v>1794</v>
      </c>
      <c r="L64" s="1400" t="s">
        <v>1646</v>
      </c>
      <c r="M64" s="1400" t="s">
        <v>1548</v>
      </c>
    </row>
    <row r="65" spans="4:13" ht="30" hidden="1">
      <c r="D65" s="1399">
        <v>399</v>
      </c>
      <c r="E65" s="1400" t="s">
        <v>1647</v>
      </c>
      <c r="F65" s="1400" t="s">
        <v>138</v>
      </c>
      <c r="G65" s="1401">
        <v>41112</v>
      </c>
      <c r="H65" s="1402">
        <v>41089</v>
      </c>
      <c r="I65" s="1400" t="s">
        <v>963</v>
      </c>
      <c r="J65" s="1400" t="s">
        <v>1568</v>
      </c>
      <c r="K65" s="1399">
        <v>1795</v>
      </c>
      <c r="L65" s="1400" t="s">
        <v>1648</v>
      </c>
      <c r="M65" s="1400" t="s">
        <v>1548</v>
      </c>
    </row>
    <row r="66" spans="4:13" ht="30" hidden="1">
      <c r="D66" s="1399">
        <v>400</v>
      </c>
      <c r="E66" s="1400" t="s">
        <v>1649</v>
      </c>
      <c r="F66" s="1400" t="s">
        <v>139</v>
      </c>
      <c r="G66" s="1401">
        <v>41051</v>
      </c>
      <c r="H66" s="1402">
        <v>41018</v>
      </c>
      <c r="I66" s="1400" t="s">
        <v>963</v>
      </c>
      <c r="J66" s="1400" t="s">
        <v>1568</v>
      </c>
      <c r="K66" s="1399">
        <v>1796</v>
      </c>
      <c r="L66" s="1400" t="s">
        <v>1650</v>
      </c>
      <c r="M66" s="1400" t="s">
        <v>1548</v>
      </c>
    </row>
    <row r="67" spans="4:13" ht="30" hidden="1">
      <c r="D67" s="1399">
        <v>401</v>
      </c>
      <c r="E67" s="1400" t="s">
        <v>1651</v>
      </c>
      <c r="F67" s="1400" t="s">
        <v>140</v>
      </c>
      <c r="G67" s="1401">
        <v>41112</v>
      </c>
      <c r="H67" s="1402">
        <v>41089</v>
      </c>
      <c r="I67" s="1400" t="s">
        <v>963</v>
      </c>
      <c r="J67" s="1400" t="s">
        <v>1568</v>
      </c>
      <c r="K67" s="1399">
        <v>1797</v>
      </c>
      <c r="L67" s="1400" t="s">
        <v>1652</v>
      </c>
      <c r="M67" s="1400" t="s">
        <v>1548</v>
      </c>
    </row>
    <row r="68" spans="4:13" ht="30" hidden="1">
      <c r="D68" s="1399">
        <v>404</v>
      </c>
      <c r="E68" s="1400" t="s">
        <v>1653</v>
      </c>
      <c r="F68" s="1400" t="s">
        <v>141</v>
      </c>
      <c r="G68" s="1401">
        <v>41007</v>
      </c>
      <c r="H68" s="470"/>
      <c r="I68" s="1400" t="s">
        <v>963</v>
      </c>
      <c r="J68" s="1400" t="s">
        <v>114</v>
      </c>
      <c r="K68" s="1399">
        <v>1800</v>
      </c>
      <c r="L68" s="1400" t="s">
        <v>1654</v>
      </c>
      <c r="M68" s="1400" t="s">
        <v>1548</v>
      </c>
    </row>
    <row r="69" spans="4:13" ht="30" hidden="1">
      <c r="D69" s="1399">
        <v>405</v>
      </c>
      <c r="E69" s="1400" t="s">
        <v>1655</v>
      </c>
      <c r="F69" s="1400" t="s">
        <v>142</v>
      </c>
      <c r="G69" s="1401">
        <v>41007</v>
      </c>
      <c r="H69" s="470"/>
      <c r="I69" s="1400" t="s">
        <v>963</v>
      </c>
      <c r="J69" s="1400" t="s">
        <v>114</v>
      </c>
      <c r="K69" s="1399">
        <v>1802</v>
      </c>
      <c r="L69" s="1400" t="s">
        <v>1656</v>
      </c>
      <c r="M69" s="1400" t="s">
        <v>1548</v>
      </c>
    </row>
    <row r="70" spans="4:13" ht="30">
      <c r="D70" s="1399">
        <v>598</v>
      </c>
      <c r="E70" s="1400" t="s">
        <v>1657</v>
      </c>
      <c r="F70" s="1400" t="s">
        <v>1658</v>
      </c>
      <c r="G70" s="1401">
        <v>41485</v>
      </c>
      <c r="H70" s="470"/>
      <c r="I70" s="1400" t="s">
        <v>963</v>
      </c>
      <c r="J70" s="1400" t="s">
        <v>1568</v>
      </c>
      <c r="K70" s="1399">
        <v>1855</v>
      </c>
      <c r="L70" s="1400" t="s">
        <v>1659</v>
      </c>
      <c r="M70" s="1400" t="s">
        <v>1174</v>
      </c>
    </row>
    <row r="71" spans="4:13" ht="30">
      <c r="D71" s="1399">
        <v>2351</v>
      </c>
      <c r="E71" s="1400" t="s">
        <v>1660</v>
      </c>
      <c r="F71" s="1400" t="s">
        <v>403</v>
      </c>
      <c r="G71" s="1401">
        <v>41485</v>
      </c>
      <c r="H71" s="470"/>
      <c r="I71" s="1400" t="s">
        <v>963</v>
      </c>
      <c r="J71" s="1400" t="s">
        <v>1568</v>
      </c>
      <c r="K71" s="1399">
        <v>2062</v>
      </c>
      <c r="L71" s="1400" t="s">
        <v>1661</v>
      </c>
      <c r="M71" s="1400" t="s">
        <v>1174</v>
      </c>
    </row>
    <row r="72" spans="4:13" ht="45">
      <c r="D72" s="1399">
        <v>2381</v>
      </c>
      <c r="E72" s="1400" t="s">
        <v>1662</v>
      </c>
      <c r="F72" s="1400" t="s">
        <v>375</v>
      </c>
      <c r="G72" s="1401">
        <v>41485</v>
      </c>
      <c r="H72" s="470"/>
      <c r="I72" s="1400" t="s">
        <v>963</v>
      </c>
      <c r="J72" s="1400" t="s">
        <v>1568</v>
      </c>
      <c r="K72" s="1399">
        <v>2066</v>
      </c>
      <c r="L72" s="1400" t="s">
        <v>1663</v>
      </c>
      <c r="M72" s="1400" t="s">
        <v>1174</v>
      </c>
    </row>
    <row r="73" spans="4:13" ht="30" hidden="1">
      <c r="D73" s="1399">
        <v>2513</v>
      </c>
      <c r="E73" s="1400" t="s">
        <v>1664</v>
      </c>
      <c r="F73" s="1400" t="s">
        <v>1665</v>
      </c>
      <c r="G73" s="1401">
        <v>40909</v>
      </c>
      <c r="H73" s="470"/>
      <c r="I73" s="1400" t="s">
        <v>963</v>
      </c>
      <c r="J73" s="1400" t="s">
        <v>114</v>
      </c>
      <c r="K73" s="1399">
        <v>2076</v>
      </c>
      <c r="L73" s="1400" t="s">
        <v>114</v>
      </c>
      <c r="M73" s="1400" t="s">
        <v>114</v>
      </c>
    </row>
    <row r="74" spans="4:13" ht="45">
      <c r="D74" s="1399">
        <v>2763</v>
      </c>
      <c r="E74" s="1400" t="s">
        <v>1666</v>
      </c>
      <c r="F74" s="1400" t="s">
        <v>144</v>
      </c>
      <c r="G74" s="1401">
        <v>41485</v>
      </c>
      <c r="H74" s="470"/>
      <c r="I74" s="1400" t="s">
        <v>963</v>
      </c>
      <c r="J74" s="1400" t="s">
        <v>1568</v>
      </c>
      <c r="K74" s="1399">
        <v>2111</v>
      </c>
      <c r="L74" s="1400" t="s">
        <v>1667</v>
      </c>
      <c r="M74" s="1400" t="s">
        <v>1174</v>
      </c>
    </row>
    <row r="75" spans="4:13" ht="45">
      <c r="D75" s="1399">
        <v>2783</v>
      </c>
      <c r="E75" s="1400" t="s">
        <v>1668</v>
      </c>
      <c r="F75" s="1400" t="s">
        <v>414</v>
      </c>
      <c r="G75" s="1401">
        <v>41485</v>
      </c>
      <c r="H75" s="470"/>
      <c r="I75" s="1400" t="s">
        <v>963</v>
      </c>
      <c r="J75" s="1400" t="s">
        <v>1568</v>
      </c>
      <c r="K75" s="1399">
        <v>2114</v>
      </c>
      <c r="L75" s="1400" t="s">
        <v>1669</v>
      </c>
      <c r="M75" s="1400" t="s">
        <v>1174</v>
      </c>
    </row>
    <row r="76" spans="4:13" ht="15" hidden="1">
      <c r="D76" s="1399">
        <v>2866</v>
      </c>
      <c r="E76" s="1400" t="s">
        <v>1670</v>
      </c>
      <c r="F76" s="1400" t="s">
        <v>145</v>
      </c>
      <c r="G76" s="1401">
        <v>41084</v>
      </c>
      <c r="H76" s="470"/>
      <c r="I76" s="1400" t="s">
        <v>963</v>
      </c>
      <c r="J76" s="1400" t="s">
        <v>114</v>
      </c>
      <c r="K76" s="1399">
        <v>2126</v>
      </c>
      <c r="L76" s="1400" t="s">
        <v>1671</v>
      </c>
      <c r="M76" s="1400" t="s">
        <v>1548</v>
      </c>
    </row>
    <row r="77" spans="4:13" ht="30" hidden="1">
      <c r="D77" s="1399">
        <v>2904</v>
      </c>
      <c r="E77" s="1400" t="s">
        <v>1672</v>
      </c>
      <c r="F77" s="1400" t="s">
        <v>1673</v>
      </c>
      <c r="G77" s="1401">
        <v>41150</v>
      </c>
      <c r="H77" s="1402">
        <v>41135</v>
      </c>
      <c r="I77" s="1400" t="s">
        <v>963</v>
      </c>
      <c r="J77" s="1400" t="s">
        <v>1568</v>
      </c>
      <c r="K77" s="1399">
        <v>2134</v>
      </c>
      <c r="L77" s="1400" t="s">
        <v>1674</v>
      </c>
      <c r="M77" s="1400" t="s">
        <v>1548</v>
      </c>
    </row>
    <row r="78" spans="4:13" ht="30" hidden="1">
      <c r="D78" s="1399">
        <v>2937</v>
      </c>
      <c r="E78" s="1400" t="s">
        <v>1675</v>
      </c>
      <c r="F78" s="1400" t="s">
        <v>146</v>
      </c>
      <c r="G78" s="1401">
        <v>41205</v>
      </c>
      <c r="H78" s="470"/>
      <c r="I78" s="1400" t="s">
        <v>963</v>
      </c>
      <c r="J78" s="1400" t="s">
        <v>114</v>
      </c>
      <c r="K78" s="1399">
        <v>2141</v>
      </c>
      <c r="L78" s="1400" t="s">
        <v>1676</v>
      </c>
      <c r="M78" s="1400" t="s">
        <v>1548</v>
      </c>
    </row>
    <row r="79" spans="4:13" ht="30">
      <c r="D79" s="1399">
        <v>3223</v>
      </c>
      <c r="E79" s="1400" t="s">
        <v>1677</v>
      </c>
      <c r="F79" s="1400" t="s">
        <v>387</v>
      </c>
      <c r="G79" s="1401">
        <v>41423</v>
      </c>
      <c r="H79" s="470"/>
      <c r="I79" s="1400" t="s">
        <v>963</v>
      </c>
      <c r="J79" s="1400" t="s">
        <v>1568</v>
      </c>
      <c r="K79" s="1399">
        <v>2193</v>
      </c>
      <c r="L79" s="1400" t="s">
        <v>1678</v>
      </c>
      <c r="M79" s="1400" t="s">
        <v>1174</v>
      </c>
    </row>
    <row r="80" spans="4:13" ht="45">
      <c r="D80" s="1399">
        <v>3627</v>
      </c>
      <c r="E80" s="1400" t="s">
        <v>1679</v>
      </c>
      <c r="F80" s="1400" t="s">
        <v>398</v>
      </c>
      <c r="G80" s="1401">
        <v>41485</v>
      </c>
      <c r="H80" s="470"/>
      <c r="I80" s="1400" t="s">
        <v>963</v>
      </c>
      <c r="J80" s="1400" t="s">
        <v>1568</v>
      </c>
      <c r="K80" s="1399">
        <v>2215</v>
      </c>
      <c r="L80" s="1400" t="s">
        <v>1680</v>
      </c>
      <c r="M80" s="1400" t="s">
        <v>1174</v>
      </c>
    </row>
    <row r="81" spans="4:13" ht="45">
      <c r="D81" s="1399">
        <v>4248</v>
      </c>
      <c r="E81" s="1400" t="s">
        <v>1681</v>
      </c>
      <c r="F81" s="1400" t="s">
        <v>1682</v>
      </c>
      <c r="G81" s="1401">
        <v>41485</v>
      </c>
      <c r="H81" s="470"/>
      <c r="I81" s="1400" t="s">
        <v>963</v>
      </c>
      <c r="J81" s="1400" t="s">
        <v>1568</v>
      </c>
      <c r="K81" s="1399">
        <v>2245</v>
      </c>
      <c r="L81" s="1400" t="s">
        <v>1683</v>
      </c>
      <c r="M81" s="1400" t="s">
        <v>1174</v>
      </c>
    </row>
    <row r="82" spans="4:13" ht="105" hidden="1">
      <c r="D82" s="1399">
        <v>4950</v>
      </c>
      <c r="E82" s="1400" t="s">
        <v>1684</v>
      </c>
      <c r="F82" s="1400" t="s">
        <v>147</v>
      </c>
      <c r="G82" s="1401">
        <v>41057</v>
      </c>
      <c r="H82" s="1402">
        <v>41007</v>
      </c>
      <c r="I82" s="1400" t="s">
        <v>963</v>
      </c>
      <c r="J82" s="1400" t="s">
        <v>114</v>
      </c>
      <c r="K82" s="1399">
        <v>2285</v>
      </c>
      <c r="L82" s="1400" t="s">
        <v>1685</v>
      </c>
      <c r="M82" s="1400" t="s">
        <v>1548</v>
      </c>
    </row>
    <row r="83" spans="4:13" ht="15" hidden="1">
      <c r="D83" s="1399">
        <v>5160</v>
      </c>
      <c r="E83" s="1400" t="s">
        <v>1686</v>
      </c>
      <c r="F83" s="1400" t="s">
        <v>148</v>
      </c>
      <c r="G83" s="1401">
        <v>41204</v>
      </c>
      <c r="H83" s="1402">
        <v>41147</v>
      </c>
      <c r="I83" s="1400" t="s">
        <v>963</v>
      </c>
      <c r="J83" s="1400" t="s">
        <v>114</v>
      </c>
      <c r="K83" s="1399">
        <v>2313</v>
      </c>
      <c r="L83" s="1400" t="s">
        <v>1687</v>
      </c>
      <c r="M83" s="1400" t="s">
        <v>1548</v>
      </c>
    </row>
    <row r="84" spans="4:13" ht="30" hidden="1">
      <c r="D84" s="1399">
        <v>5216</v>
      </c>
      <c r="E84" s="1400" t="s">
        <v>1688</v>
      </c>
      <c r="F84" s="1400" t="s">
        <v>1689</v>
      </c>
      <c r="G84" s="1401">
        <v>41039</v>
      </c>
      <c r="H84" s="470"/>
      <c r="I84" s="1400" t="s">
        <v>963</v>
      </c>
      <c r="J84" s="1400" t="s">
        <v>114</v>
      </c>
      <c r="K84" s="1399">
        <v>2330</v>
      </c>
      <c r="L84" s="1400" t="s">
        <v>1690</v>
      </c>
      <c r="M84" s="1400" t="s">
        <v>1548</v>
      </c>
    </row>
    <row r="85" spans="4:13" ht="30" hidden="1">
      <c r="D85" s="1399">
        <v>5217</v>
      </c>
      <c r="E85" s="1400" t="s">
        <v>1691</v>
      </c>
      <c r="F85" s="1400" t="s">
        <v>1692</v>
      </c>
      <c r="G85" s="1401">
        <v>41039</v>
      </c>
      <c r="H85" s="470"/>
      <c r="I85" s="1400" t="s">
        <v>963</v>
      </c>
      <c r="J85" s="1400" t="s">
        <v>114</v>
      </c>
      <c r="K85" s="1399">
        <v>2331</v>
      </c>
      <c r="L85" s="1400" t="s">
        <v>1693</v>
      </c>
      <c r="M85" s="1400" t="s">
        <v>1548</v>
      </c>
    </row>
    <row r="86" spans="4:13" ht="45">
      <c r="D86" s="1399">
        <v>5274</v>
      </c>
      <c r="E86" s="1400" t="s">
        <v>1694</v>
      </c>
      <c r="F86" s="1400" t="s">
        <v>149</v>
      </c>
      <c r="G86" s="1401">
        <v>41393</v>
      </c>
      <c r="H86" s="470"/>
      <c r="I86" s="1400" t="s">
        <v>963</v>
      </c>
      <c r="J86" s="1400" t="s">
        <v>1568</v>
      </c>
      <c r="K86" s="1399">
        <v>2339</v>
      </c>
      <c r="L86" s="1400" t="s">
        <v>1695</v>
      </c>
      <c r="M86" s="1400" t="s">
        <v>1174</v>
      </c>
    </row>
    <row r="87" spans="4:13" ht="45">
      <c r="D87" s="1399">
        <v>5351</v>
      </c>
      <c r="E87" s="1400" t="s">
        <v>1696</v>
      </c>
      <c r="F87" s="1400" t="s">
        <v>150</v>
      </c>
      <c r="G87" s="1401">
        <v>41212</v>
      </c>
      <c r="H87" s="470"/>
      <c r="I87" s="1400" t="s">
        <v>963</v>
      </c>
      <c r="J87" s="1400" t="s">
        <v>1568</v>
      </c>
      <c r="K87" s="1399">
        <v>2340</v>
      </c>
      <c r="L87" s="1400" t="s">
        <v>1697</v>
      </c>
      <c r="M87" s="1400" t="s">
        <v>1174</v>
      </c>
    </row>
    <row r="88" spans="4:13" ht="60">
      <c r="D88" s="1399">
        <v>5352</v>
      </c>
      <c r="E88" s="1400" t="s">
        <v>1698</v>
      </c>
      <c r="F88" s="1400" t="s">
        <v>310</v>
      </c>
      <c r="G88" s="1401">
        <v>41182</v>
      </c>
      <c r="H88" s="470"/>
      <c r="I88" s="1400" t="s">
        <v>963</v>
      </c>
      <c r="J88" s="1400" t="s">
        <v>1568</v>
      </c>
      <c r="K88" s="1399">
        <v>2341</v>
      </c>
      <c r="L88" s="1400" t="s">
        <v>1699</v>
      </c>
      <c r="M88" s="1400" t="s">
        <v>1174</v>
      </c>
    </row>
    <row r="89" spans="4:13" ht="45">
      <c r="D89" s="1399">
        <v>5353</v>
      </c>
      <c r="E89" s="1400" t="s">
        <v>1700</v>
      </c>
      <c r="F89" s="1400" t="s">
        <v>151</v>
      </c>
      <c r="G89" s="1401">
        <v>41182</v>
      </c>
      <c r="H89" s="470"/>
      <c r="I89" s="1400" t="s">
        <v>963</v>
      </c>
      <c r="J89" s="1400" t="s">
        <v>1568</v>
      </c>
      <c r="K89" s="1399">
        <v>2342</v>
      </c>
      <c r="L89" s="1400" t="s">
        <v>1701</v>
      </c>
      <c r="M89" s="1400" t="s">
        <v>1174</v>
      </c>
    </row>
    <row r="90" spans="4:13" ht="30">
      <c r="D90" s="1399">
        <v>5355</v>
      </c>
      <c r="E90" s="1400" t="s">
        <v>1702</v>
      </c>
      <c r="F90" s="1400" t="s">
        <v>321</v>
      </c>
      <c r="G90" s="1401">
        <v>41182</v>
      </c>
      <c r="H90" s="470"/>
      <c r="I90" s="1400" t="s">
        <v>963</v>
      </c>
      <c r="J90" s="1400" t="s">
        <v>1568</v>
      </c>
      <c r="K90" s="1399">
        <v>2343</v>
      </c>
      <c r="L90" s="1400" t="s">
        <v>1703</v>
      </c>
      <c r="M90" s="1400" t="s">
        <v>1174</v>
      </c>
    </row>
    <row r="91" spans="4:13" ht="30">
      <c r="D91" s="1399">
        <v>5363</v>
      </c>
      <c r="E91" s="1400" t="s">
        <v>1704</v>
      </c>
      <c r="F91" s="1400" t="s">
        <v>328</v>
      </c>
      <c r="G91" s="1401">
        <v>41182</v>
      </c>
      <c r="H91" s="470"/>
      <c r="I91" s="1400" t="s">
        <v>963</v>
      </c>
      <c r="J91" s="1400" t="s">
        <v>1568</v>
      </c>
      <c r="K91" s="1399">
        <v>2344</v>
      </c>
      <c r="L91" s="1400" t="s">
        <v>1705</v>
      </c>
      <c r="M91" s="1400" t="s">
        <v>1174</v>
      </c>
    </row>
    <row r="92" spans="4:13" ht="30">
      <c r="D92" s="1399">
        <v>5364</v>
      </c>
      <c r="E92" s="1400" t="s">
        <v>1706</v>
      </c>
      <c r="F92" s="1400" t="s">
        <v>333</v>
      </c>
      <c r="G92" s="1401">
        <v>41182</v>
      </c>
      <c r="H92" s="470"/>
      <c r="I92" s="1400" t="s">
        <v>963</v>
      </c>
      <c r="J92" s="1400" t="s">
        <v>1568</v>
      </c>
      <c r="K92" s="1399">
        <v>2345</v>
      </c>
      <c r="L92" s="1400" t="s">
        <v>1707</v>
      </c>
      <c r="M92" s="1400" t="s">
        <v>1174</v>
      </c>
    </row>
    <row r="93" spans="4:13" ht="30">
      <c r="D93" s="1399">
        <v>5365</v>
      </c>
      <c r="E93" s="1400" t="s">
        <v>1708</v>
      </c>
      <c r="F93" s="1400" t="s">
        <v>339</v>
      </c>
      <c r="G93" s="1401">
        <v>41182</v>
      </c>
      <c r="H93" s="470"/>
      <c r="I93" s="1400" t="s">
        <v>963</v>
      </c>
      <c r="J93" s="1400" t="s">
        <v>1568</v>
      </c>
      <c r="K93" s="1399">
        <v>2346</v>
      </c>
      <c r="L93" s="1400" t="s">
        <v>1709</v>
      </c>
      <c r="M93" s="1400" t="s">
        <v>1174</v>
      </c>
    </row>
    <row r="94" spans="4:13" ht="45">
      <c r="D94" s="1399">
        <v>5366</v>
      </c>
      <c r="E94" s="1400" t="s">
        <v>1710</v>
      </c>
      <c r="F94" s="1400" t="s">
        <v>153</v>
      </c>
      <c r="G94" s="1401">
        <v>41182</v>
      </c>
      <c r="H94" s="470"/>
      <c r="I94" s="1400" t="s">
        <v>963</v>
      </c>
      <c r="J94" s="1400" t="s">
        <v>1568</v>
      </c>
      <c r="K94" s="1399">
        <v>2347</v>
      </c>
      <c r="L94" s="1400" t="s">
        <v>1711</v>
      </c>
      <c r="M94" s="1400" t="s">
        <v>1174</v>
      </c>
    </row>
    <row r="95" spans="4:13" ht="30">
      <c r="D95" s="1399">
        <v>5367</v>
      </c>
      <c r="E95" s="1400" t="s">
        <v>1712</v>
      </c>
      <c r="F95" s="1400" t="s">
        <v>9</v>
      </c>
      <c r="G95" s="1401">
        <v>40899</v>
      </c>
      <c r="H95" s="470"/>
      <c r="I95" s="1400" t="s">
        <v>963</v>
      </c>
      <c r="J95" s="1400" t="s">
        <v>1568</v>
      </c>
      <c r="K95" s="1399">
        <v>2348</v>
      </c>
      <c r="L95" s="1400" t="s">
        <v>1713</v>
      </c>
      <c r="M95" s="1400" t="s">
        <v>1174</v>
      </c>
    </row>
    <row r="96" spans="4:13" ht="30">
      <c r="D96" s="1399">
        <v>5368</v>
      </c>
      <c r="E96" s="1400" t="s">
        <v>1714</v>
      </c>
      <c r="F96" s="1400" t="s">
        <v>344</v>
      </c>
      <c r="G96" s="1401">
        <v>41182</v>
      </c>
      <c r="H96" s="470"/>
      <c r="I96" s="1400" t="s">
        <v>963</v>
      </c>
      <c r="J96" s="1400" t="s">
        <v>1568</v>
      </c>
      <c r="K96" s="1399">
        <v>2349</v>
      </c>
      <c r="L96" s="1400" t="s">
        <v>1715</v>
      </c>
      <c r="M96" s="1400" t="s">
        <v>1174</v>
      </c>
    </row>
    <row r="97" spans="4:13" ht="30">
      <c r="D97" s="1399">
        <v>5369</v>
      </c>
      <c r="E97" s="1400" t="s">
        <v>1716</v>
      </c>
      <c r="F97" s="1400" t="s">
        <v>349</v>
      </c>
      <c r="G97" s="1401">
        <v>41182</v>
      </c>
      <c r="H97" s="470"/>
      <c r="I97" s="1400" t="s">
        <v>963</v>
      </c>
      <c r="J97" s="1400" t="s">
        <v>1568</v>
      </c>
      <c r="K97" s="1399">
        <v>2350</v>
      </c>
      <c r="L97" s="1400" t="s">
        <v>1717</v>
      </c>
      <c r="M97" s="1400" t="s">
        <v>1174</v>
      </c>
    </row>
    <row r="98" spans="4:13" ht="30">
      <c r="D98" s="1399">
        <v>5370</v>
      </c>
      <c r="E98" s="1400" t="s">
        <v>1718</v>
      </c>
      <c r="F98" s="1400" t="s">
        <v>154</v>
      </c>
      <c r="G98" s="1401">
        <v>41182</v>
      </c>
      <c r="H98" s="470"/>
      <c r="I98" s="1400" t="s">
        <v>963</v>
      </c>
      <c r="J98" s="1400" t="s">
        <v>1568</v>
      </c>
      <c r="K98" s="1399">
        <v>2351</v>
      </c>
      <c r="L98" s="1400" t="s">
        <v>1719</v>
      </c>
      <c r="M98" s="1400" t="s">
        <v>1174</v>
      </c>
    </row>
    <row r="99" spans="4:13" ht="30">
      <c r="D99" s="1399">
        <v>5371</v>
      </c>
      <c r="E99" s="1400" t="s">
        <v>1720</v>
      </c>
      <c r="F99" s="1400" t="s">
        <v>358</v>
      </c>
      <c r="G99" s="1401">
        <v>41182</v>
      </c>
      <c r="H99" s="470"/>
      <c r="I99" s="1400" t="s">
        <v>963</v>
      </c>
      <c r="J99" s="1400" t="s">
        <v>1568</v>
      </c>
      <c r="K99" s="1399">
        <v>2352</v>
      </c>
      <c r="L99" s="1400" t="s">
        <v>1721</v>
      </c>
      <c r="M99" s="1400" t="s">
        <v>1174</v>
      </c>
    </row>
    <row r="100" spans="4:13" ht="30">
      <c r="D100" s="1399">
        <v>5373</v>
      </c>
      <c r="E100" s="1400" t="s">
        <v>1722</v>
      </c>
      <c r="F100" s="1400" t="s">
        <v>365</v>
      </c>
      <c r="G100" s="1401">
        <v>41182</v>
      </c>
      <c r="H100" s="470"/>
      <c r="I100" s="1400" t="s">
        <v>963</v>
      </c>
      <c r="J100" s="1400" t="s">
        <v>1568</v>
      </c>
      <c r="K100" s="1399">
        <v>2353</v>
      </c>
      <c r="L100" s="1400" t="s">
        <v>1723</v>
      </c>
      <c r="M100" s="1400" t="s">
        <v>1174</v>
      </c>
    </row>
    <row r="101" spans="4:13" ht="45">
      <c r="D101" s="1399">
        <v>5377</v>
      </c>
      <c r="E101" s="1400" t="s">
        <v>1724</v>
      </c>
      <c r="F101" s="1400" t="s">
        <v>309</v>
      </c>
      <c r="G101" s="1401">
        <v>41393</v>
      </c>
      <c r="H101" s="470"/>
      <c r="I101" s="1400" t="s">
        <v>963</v>
      </c>
      <c r="J101" s="1400" t="s">
        <v>1568</v>
      </c>
      <c r="K101" s="1399">
        <v>2355</v>
      </c>
      <c r="L101" s="1400" t="s">
        <v>1725</v>
      </c>
      <c r="M101" s="1400" t="s">
        <v>1174</v>
      </c>
    </row>
    <row r="102" spans="4:13" ht="45">
      <c r="D102" s="1399">
        <v>5378</v>
      </c>
      <c r="E102" s="1400" t="s">
        <v>1726</v>
      </c>
      <c r="F102" s="1400" t="s">
        <v>241</v>
      </c>
      <c r="G102" s="1401">
        <v>41393</v>
      </c>
      <c r="H102" s="470"/>
      <c r="I102" s="1400" t="s">
        <v>963</v>
      </c>
      <c r="J102" s="1400" t="s">
        <v>1568</v>
      </c>
      <c r="K102" s="1399">
        <v>2356</v>
      </c>
      <c r="L102" s="1400" t="s">
        <v>1727</v>
      </c>
      <c r="M102" s="1400" t="s">
        <v>1174</v>
      </c>
    </row>
    <row r="103" spans="4:13" ht="45">
      <c r="D103" s="1399">
        <v>5379</v>
      </c>
      <c r="E103" s="1400" t="s">
        <v>1728</v>
      </c>
      <c r="F103" s="1400" t="s">
        <v>277</v>
      </c>
      <c r="G103" s="1401">
        <v>41212</v>
      </c>
      <c r="H103" s="470"/>
      <c r="I103" s="1400" t="s">
        <v>963</v>
      </c>
      <c r="J103" s="1400" t="s">
        <v>1568</v>
      </c>
      <c r="K103" s="1399">
        <v>2357</v>
      </c>
      <c r="L103" s="1400" t="s">
        <v>1729</v>
      </c>
      <c r="M103" s="1400" t="s">
        <v>1174</v>
      </c>
    </row>
    <row r="104" spans="4:13" ht="45">
      <c r="D104" s="1399">
        <v>5381</v>
      </c>
      <c r="E104" s="1400" t="s">
        <v>1730</v>
      </c>
      <c r="F104" s="1400" t="s">
        <v>220</v>
      </c>
      <c r="G104" s="1401">
        <v>41152</v>
      </c>
      <c r="H104" s="470"/>
      <c r="I104" s="1400" t="s">
        <v>963</v>
      </c>
      <c r="J104" s="1400" t="s">
        <v>1568</v>
      </c>
      <c r="K104" s="1399">
        <v>2358</v>
      </c>
      <c r="L104" s="1400" t="s">
        <v>1731</v>
      </c>
      <c r="M104" s="1400" t="s">
        <v>1174</v>
      </c>
    </row>
    <row r="105" spans="4:13" ht="45">
      <c r="D105" s="1399">
        <v>5382</v>
      </c>
      <c r="E105" s="1400" t="s">
        <v>1732</v>
      </c>
      <c r="F105" s="1400" t="s">
        <v>246</v>
      </c>
      <c r="G105" s="1401">
        <v>41101</v>
      </c>
      <c r="H105" s="470"/>
      <c r="I105" s="1400" t="s">
        <v>963</v>
      </c>
      <c r="J105" s="1400" t="s">
        <v>1568</v>
      </c>
      <c r="K105" s="1399">
        <v>2359</v>
      </c>
      <c r="L105" s="1400" t="s">
        <v>1733</v>
      </c>
      <c r="M105" s="1400" t="s">
        <v>1174</v>
      </c>
    </row>
    <row r="106" spans="4:13" ht="45">
      <c r="D106" s="1399">
        <v>5384</v>
      </c>
      <c r="E106" s="1400" t="s">
        <v>1734</v>
      </c>
      <c r="F106" s="1400" t="s">
        <v>266</v>
      </c>
      <c r="G106" s="1401">
        <v>41423</v>
      </c>
      <c r="H106" s="470"/>
      <c r="I106" s="1400" t="s">
        <v>963</v>
      </c>
      <c r="J106" s="1400" t="s">
        <v>1568</v>
      </c>
      <c r="K106" s="1399">
        <v>2360</v>
      </c>
      <c r="L106" s="1400" t="s">
        <v>1735</v>
      </c>
      <c r="M106" s="1400" t="s">
        <v>1174</v>
      </c>
    </row>
    <row r="107" spans="4:13" ht="45">
      <c r="D107" s="1399">
        <v>5385</v>
      </c>
      <c r="E107" s="1400" t="s">
        <v>1736</v>
      </c>
      <c r="F107" s="1400" t="s">
        <v>271</v>
      </c>
      <c r="G107" s="1401">
        <v>41379</v>
      </c>
      <c r="H107" s="470"/>
      <c r="I107" s="1400" t="s">
        <v>963</v>
      </c>
      <c r="J107" s="1400" t="s">
        <v>1568</v>
      </c>
      <c r="K107" s="1399">
        <v>2361</v>
      </c>
      <c r="L107" s="1400" t="s">
        <v>1737</v>
      </c>
      <c r="M107" s="1400" t="s">
        <v>1174</v>
      </c>
    </row>
    <row r="108" spans="4:13" ht="45">
      <c r="D108" s="1399">
        <v>5386</v>
      </c>
      <c r="E108" s="1400" t="s">
        <v>1738</v>
      </c>
      <c r="F108" s="1400" t="s">
        <v>236</v>
      </c>
      <c r="G108" s="1401">
        <v>41212</v>
      </c>
      <c r="H108" s="470"/>
      <c r="I108" s="1400" t="s">
        <v>963</v>
      </c>
      <c r="J108" s="1400" t="s">
        <v>1568</v>
      </c>
      <c r="K108" s="1399">
        <v>2362</v>
      </c>
      <c r="L108" s="1400" t="s">
        <v>1739</v>
      </c>
      <c r="M108" s="1400" t="s">
        <v>1174</v>
      </c>
    </row>
    <row r="109" spans="4:13" ht="15" hidden="1">
      <c r="D109" s="1399">
        <v>5697</v>
      </c>
      <c r="E109" s="1400" t="s">
        <v>1740</v>
      </c>
      <c r="F109" s="1400" t="s">
        <v>156</v>
      </c>
      <c r="G109" s="1401">
        <v>41143</v>
      </c>
      <c r="H109" s="1402">
        <v>41128</v>
      </c>
      <c r="I109" s="1400" t="s">
        <v>963</v>
      </c>
      <c r="J109" s="1400" t="s">
        <v>114</v>
      </c>
      <c r="K109" s="1399">
        <v>2382</v>
      </c>
      <c r="L109" s="1400" t="s">
        <v>1741</v>
      </c>
      <c r="M109" s="1400" t="s">
        <v>1548</v>
      </c>
    </row>
    <row r="110" spans="4:13" ht="30" hidden="1">
      <c r="D110" s="1399">
        <v>5707</v>
      </c>
      <c r="E110" s="1400" t="s">
        <v>1742</v>
      </c>
      <c r="F110" s="1400" t="s">
        <v>157</v>
      </c>
      <c r="G110" s="1401">
        <v>41235</v>
      </c>
      <c r="H110" s="1402">
        <v>41207</v>
      </c>
      <c r="I110" s="1400" t="s">
        <v>963</v>
      </c>
      <c r="J110" s="1400" t="s">
        <v>114</v>
      </c>
      <c r="K110" s="1399">
        <v>2386</v>
      </c>
      <c r="L110" s="1400" t="s">
        <v>1743</v>
      </c>
      <c r="M110" s="1400" t="s">
        <v>1548</v>
      </c>
    </row>
    <row r="111" spans="4:13" ht="15" hidden="1">
      <c r="D111" s="1399">
        <v>6072</v>
      </c>
      <c r="E111" s="1400" t="s">
        <v>1744</v>
      </c>
      <c r="F111" s="1400" t="s">
        <v>1745</v>
      </c>
      <c r="G111" s="1401">
        <v>41204</v>
      </c>
      <c r="H111" s="1402">
        <v>41164</v>
      </c>
      <c r="I111" s="1400" t="s">
        <v>963</v>
      </c>
      <c r="J111" s="1400" t="s">
        <v>114</v>
      </c>
      <c r="K111" s="1399">
        <v>2407</v>
      </c>
      <c r="L111" s="1400" t="s">
        <v>1746</v>
      </c>
      <c r="M111" s="1400" t="s">
        <v>1548</v>
      </c>
    </row>
    <row r="112" spans="4:13" ht="30" hidden="1">
      <c r="D112" s="1399">
        <v>6585</v>
      </c>
      <c r="E112" s="1400" t="s">
        <v>1747</v>
      </c>
      <c r="F112" s="1400" t="s">
        <v>158</v>
      </c>
      <c r="G112" s="1401">
        <v>41082</v>
      </c>
      <c r="H112" s="1402">
        <v>41078</v>
      </c>
      <c r="I112" s="1400" t="s">
        <v>963</v>
      </c>
      <c r="J112" s="1400" t="s">
        <v>114</v>
      </c>
      <c r="K112" s="1399">
        <v>2444</v>
      </c>
      <c r="L112" s="1400" t="s">
        <v>1748</v>
      </c>
      <c r="M112" s="1400" t="s">
        <v>1548</v>
      </c>
    </row>
    <row r="113" spans="4:13" ht="30" hidden="1">
      <c r="D113" s="1399">
        <v>6587</v>
      </c>
      <c r="E113" s="1400" t="s">
        <v>1749</v>
      </c>
      <c r="F113" s="1400" t="s">
        <v>159</v>
      </c>
      <c r="G113" s="1401">
        <v>41021</v>
      </c>
      <c r="H113" s="470"/>
      <c r="I113" s="1400" t="s">
        <v>963</v>
      </c>
      <c r="J113" s="1400" t="s">
        <v>114</v>
      </c>
      <c r="K113" s="1399">
        <v>2445</v>
      </c>
      <c r="L113" s="1400" t="s">
        <v>1750</v>
      </c>
      <c r="M113" s="1400" t="s">
        <v>1548</v>
      </c>
    </row>
    <row r="114" spans="4:13" ht="30" hidden="1">
      <c r="D114" s="1399">
        <v>6600</v>
      </c>
      <c r="E114" s="1400" t="s">
        <v>1751</v>
      </c>
      <c r="F114" s="1400" t="s">
        <v>160</v>
      </c>
      <c r="G114" s="1401">
        <v>41149</v>
      </c>
      <c r="H114" s="470"/>
      <c r="I114" s="1400" t="s">
        <v>963</v>
      </c>
      <c r="J114" s="1400" t="s">
        <v>114</v>
      </c>
      <c r="K114" s="1399">
        <v>2452</v>
      </c>
      <c r="L114" s="1400" t="s">
        <v>1752</v>
      </c>
      <c r="M114" s="1400" t="s">
        <v>1548</v>
      </c>
    </row>
    <row r="115" spans="4:13" ht="60">
      <c r="D115" s="1399">
        <v>6609</v>
      </c>
      <c r="E115" s="1400" t="s">
        <v>1753</v>
      </c>
      <c r="F115" s="1400" t="s">
        <v>259</v>
      </c>
      <c r="G115" s="1401">
        <v>41411</v>
      </c>
      <c r="H115" s="470"/>
      <c r="I115" s="1400" t="s">
        <v>963</v>
      </c>
      <c r="J115" s="1400" t="s">
        <v>1568</v>
      </c>
      <c r="K115" s="1399">
        <v>2455</v>
      </c>
      <c r="L115" s="1400" t="s">
        <v>1754</v>
      </c>
      <c r="M115" s="1400" t="s">
        <v>1174</v>
      </c>
    </row>
    <row r="116" spans="4:13" ht="45">
      <c r="D116" s="1399">
        <v>6610</v>
      </c>
      <c r="E116" s="1400" t="s">
        <v>1755</v>
      </c>
      <c r="F116" s="1400" t="s">
        <v>253</v>
      </c>
      <c r="G116" s="1401">
        <v>41243</v>
      </c>
      <c r="H116" s="470"/>
      <c r="I116" s="1400" t="s">
        <v>963</v>
      </c>
      <c r="J116" s="1400" t="s">
        <v>1568</v>
      </c>
      <c r="K116" s="1399">
        <v>2456</v>
      </c>
      <c r="L116" s="1400" t="s">
        <v>1756</v>
      </c>
      <c r="M116" s="1400" t="s">
        <v>1174</v>
      </c>
    </row>
    <row r="117" spans="4:13" ht="30" hidden="1">
      <c r="D117" s="1399">
        <v>6611</v>
      </c>
      <c r="E117" s="1400" t="s">
        <v>1757</v>
      </c>
      <c r="F117" s="1400" t="s">
        <v>162</v>
      </c>
      <c r="G117" s="1401">
        <v>40943</v>
      </c>
      <c r="H117" s="470"/>
      <c r="I117" s="1400" t="s">
        <v>963</v>
      </c>
      <c r="J117" s="1400" t="s">
        <v>114</v>
      </c>
      <c r="K117" s="1399">
        <v>2457</v>
      </c>
      <c r="L117" s="1400" t="s">
        <v>1758</v>
      </c>
      <c r="M117" s="1400" t="s">
        <v>1548</v>
      </c>
    </row>
    <row r="118" spans="4:13" ht="30" hidden="1">
      <c r="D118" s="1399">
        <v>6612</v>
      </c>
      <c r="E118" s="1400" t="s">
        <v>1759</v>
      </c>
      <c r="F118" s="1400" t="s">
        <v>163</v>
      </c>
      <c r="G118" s="1401">
        <v>41082</v>
      </c>
      <c r="H118" s="1402">
        <v>41078</v>
      </c>
      <c r="I118" s="1400" t="s">
        <v>963</v>
      </c>
      <c r="J118" s="1400" t="s">
        <v>1568</v>
      </c>
      <c r="K118" s="1399">
        <v>2458</v>
      </c>
      <c r="L118" s="1400" t="s">
        <v>1760</v>
      </c>
      <c r="M118" s="1400" t="s">
        <v>1548</v>
      </c>
    </row>
    <row r="119" spans="4:13" ht="30">
      <c r="D119" s="1399">
        <v>6896</v>
      </c>
      <c r="E119" s="1400" t="s">
        <v>1761</v>
      </c>
      <c r="F119" s="1400" t="s">
        <v>252</v>
      </c>
      <c r="G119" s="1401">
        <v>41182</v>
      </c>
      <c r="H119" s="470"/>
      <c r="I119" s="1400" t="s">
        <v>963</v>
      </c>
      <c r="J119" s="1400" t="s">
        <v>1568</v>
      </c>
      <c r="K119" s="1399">
        <v>2479</v>
      </c>
      <c r="L119" s="1400" t="s">
        <v>1762</v>
      </c>
      <c r="M119" s="1400" t="s">
        <v>1174</v>
      </c>
    </row>
    <row r="120" spans="4:13" ht="45">
      <c r="D120" s="1399">
        <v>6897</v>
      </c>
      <c r="E120" s="1400" t="s">
        <v>1763</v>
      </c>
      <c r="F120" s="1400" t="s">
        <v>1764</v>
      </c>
      <c r="G120" s="1401">
        <v>41182</v>
      </c>
      <c r="H120" s="470"/>
      <c r="I120" s="1400" t="s">
        <v>963</v>
      </c>
      <c r="J120" s="1400" t="s">
        <v>1568</v>
      </c>
      <c r="K120" s="1399">
        <v>2480</v>
      </c>
      <c r="L120" s="1400" t="s">
        <v>1765</v>
      </c>
      <c r="M120" s="1400" t="s">
        <v>1174</v>
      </c>
    </row>
    <row r="121" spans="4:13" ht="30">
      <c r="D121" s="1399">
        <v>6898</v>
      </c>
      <c r="E121" s="1400" t="s">
        <v>1766</v>
      </c>
      <c r="F121" s="1400" t="s">
        <v>299</v>
      </c>
      <c r="G121" s="1401">
        <v>41182</v>
      </c>
      <c r="H121" s="470"/>
      <c r="I121" s="1400" t="s">
        <v>963</v>
      </c>
      <c r="J121" s="1400" t="s">
        <v>1568</v>
      </c>
      <c r="K121" s="1399">
        <v>2481</v>
      </c>
      <c r="L121" s="1400" t="s">
        <v>1767</v>
      </c>
      <c r="M121" s="1400" t="s">
        <v>1174</v>
      </c>
    </row>
    <row r="122" spans="4:13" ht="30">
      <c r="D122" s="1399">
        <v>7016</v>
      </c>
      <c r="E122" s="1400" t="s">
        <v>1768</v>
      </c>
      <c r="F122" s="1400" t="s">
        <v>370</v>
      </c>
      <c r="G122" s="1401">
        <v>41182</v>
      </c>
      <c r="H122" s="470"/>
      <c r="I122" s="1400" t="s">
        <v>963</v>
      </c>
      <c r="J122" s="1400" t="s">
        <v>1568</v>
      </c>
      <c r="K122" s="1399">
        <v>2496</v>
      </c>
      <c r="L122" s="1400" t="s">
        <v>1769</v>
      </c>
      <c r="M122" s="1400" t="s">
        <v>1174</v>
      </c>
    </row>
    <row r="123" spans="4:13" ht="30" hidden="1">
      <c r="D123" s="1399">
        <v>7019</v>
      </c>
      <c r="E123" s="1400" t="s">
        <v>1770</v>
      </c>
      <c r="F123" s="1400" t="s">
        <v>164</v>
      </c>
      <c r="G123" s="1401">
        <v>41214</v>
      </c>
      <c r="H123" s="1402">
        <v>41214</v>
      </c>
      <c r="I123" s="1400" t="s">
        <v>963</v>
      </c>
      <c r="J123" s="1400" t="s">
        <v>114</v>
      </c>
      <c r="K123" s="1399">
        <v>2497</v>
      </c>
      <c r="L123" s="1400" t="s">
        <v>1771</v>
      </c>
      <c r="M123" s="1400" t="s">
        <v>1548</v>
      </c>
    </row>
    <row r="124" spans="4:13" ht="30">
      <c r="D124" s="1399">
        <v>7371</v>
      </c>
      <c r="E124" s="1400" t="s">
        <v>1772</v>
      </c>
      <c r="F124" s="1400" t="s">
        <v>165</v>
      </c>
      <c r="G124" s="1401">
        <v>41485</v>
      </c>
      <c r="H124" s="470"/>
      <c r="I124" s="1400" t="s">
        <v>963</v>
      </c>
      <c r="J124" s="1400" t="s">
        <v>1568</v>
      </c>
      <c r="K124" s="1399">
        <v>2527</v>
      </c>
      <c r="L124" s="1400" t="s">
        <v>1773</v>
      </c>
      <c r="M124" s="1400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1774</v>
      </c>
      <c r="G3" s="424" t="s">
        <v>1775</v>
      </c>
    </row>
    <row r="4" spans="2:7">
      <c r="B4" s="435" t="s">
        <v>1776</v>
      </c>
      <c r="C4" s="435" t="s">
        <v>1777</v>
      </c>
      <c r="D4" s="435" t="s">
        <v>856</v>
      </c>
      <c r="E4" s="424"/>
      <c r="F4" s="1403" t="s">
        <v>1778</v>
      </c>
      <c r="G4" s="1404" t="e">
        <f>(C10*G7)/G5</f>
        <v>#REF!</v>
      </c>
    </row>
    <row r="5" spans="2:7">
      <c r="B5" s="1405" t="s">
        <v>1779</v>
      </c>
      <c r="C5" s="1406"/>
      <c r="D5" s="1407"/>
      <c r="F5" s="1403" t="s">
        <v>1780</v>
      </c>
      <c r="G5" s="1408" t="e">
        <f>(((1+C7)^G6)*C7)/(((1+C7)^G6)-1)</f>
        <v>#REF!</v>
      </c>
    </row>
    <row r="6" spans="2:7">
      <c r="B6" s="1405" t="s">
        <v>1781</v>
      </c>
      <c r="C6" s="1406"/>
      <c r="D6" s="1407"/>
      <c r="F6" s="1403" t="s">
        <v>1782</v>
      </c>
      <c r="G6" s="1409" t="e">
        <f>G7/(C8*C9)</f>
        <v>#REF!</v>
      </c>
    </row>
    <row r="7" spans="2:7">
      <c r="B7" s="1405" t="s">
        <v>1783</v>
      </c>
      <c r="C7" s="1410">
        <f>'BD-NET'!Q114</f>
        <v>8.1942000000000001E-2</v>
      </c>
      <c r="D7" s="1407"/>
      <c r="F7" s="1403" t="s">
        <v>1784</v>
      </c>
      <c r="G7" s="1411">
        <f>12*(20000*C6+10000*C5)</f>
        <v>0</v>
      </c>
    </row>
    <row r="8" spans="2:7">
      <c r="B8" s="1405" t="s">
        <v>1785</v>
      </c>
      <c r="C8" s="1412" t="e">
        <f>C24</f>
        <v>#REF!</v>
      </c>
      <c r="D8" s="1413" t="s">
        <v>1786</v>
      </c>
    </row>
    <row r="9" spans="2:7">
      <c r="B9" s="1405" t="s">
        <v>1787</v>
      </c>
      <c r="C9" s="1414"/>
      <c r="D9" s="1407"/>
    </row>
    <row r="10" spans="2:7">
      <c r="B10" s="1405" t="s">
        <v>1788</v>
      </c>
      <c r="C10" s="1415" t="e">
        <f>F14</f>
        <v>#REF!</v>
      </c>
      <c r="D10" s="1407"/>
    </row>
    <row r="12" spans="2:7">
      <c r="B12" s="435" t="s">
        <v>1789</v>
      </c>
      <c r="C12" s="435" t="s">
        <v>725</v>
      </c>
      <c r="D12" s="435" t="s">
        <v>1790</v>
      </c>
      <c r="E12" s="435" t="s">
        <v>1791</v>
      </c>
      <c r="F12" s="435" t="s">
        <v>1792</v>
      </c>
    </row>
    <row r="13" spans="2:7" ht="13.5" thickBot="1">
      <c r="B13" s="1405" t="s">
        <v>1793</v>
      </c>
      <c r="C13" s="1416" t="e">
        <f>C38</f>
        <v>#REF!</v>
      </c>
      <c r="D13" s="1405"/>
      <c r="E13" s="1405"/>
      <c r="F13" s="1417"/>
    </row>
    <row r="14" spans="2:7" ht="13.5" thickBot="1">
      <c r="B14" s="1405" t="s">
        <v>1794</v>
      </c>
      <c r="C14" s="1416" t="e">
        <f>(C32+E55)*($C$38/$C$35)</f>
        <v>#REF!</v>
      </c>
      <c r="D14" s="1418" t="e">
        <f>$C$17*(C14/($C$14+$C$15+$C$16))</f>
        <v>#REF!</v>
      </c>
      <c r="E14" s="1419" t="e">
        <f>C14-D14</f>
        <v>#REF!</v>
      </c>
      <c r="F14" s="458" t="e">
        <f>E14/$C$13</f>
        <v>#REF!</v>
      </c>
      <c r="G14" s="459" t="s">
        <v>1795</v>
      </c>
    </row>
    <row r="15" spans="2:7">
      <c r="B15" s="1405" t="s">
        <v>1796</v>
      </c>
      <c r="C15" s="1416" t="e">
        <f>C27*($C$38/$C$35)</f>
        <v>#REF!</v>
      </c>
      <c r="D15" s="1418" t="e">
        <f>$C$17*(C15/($C$14+$C$15+$C$16))</f>
        <v>#REF!</v>
      </c>
      <c r="E15" s="1418" t="e">
        <f>C15-D15</f>
        <v>#REF!</v>
      </c>
      <c r="F15" s="1420" t="e">
        <f>E15/$C$13</f>
        <v>#REF!</v>
      </c>
    </row>
    <row r="16" spans="2:7">
      <c r="B16" s="1405" t="s">
        <v>1797</v>
      </c>
      <c r="C16" s="1416" t="e">
        <f>(C33+D54)*($C$38/$C$35)</f>
        <v>#REF!</v>
      </c>
      <c r="D16" s="1418" t="e">
        <f>$C$17*(C16/($C$14+$C$15+$C$16))</f>
        <v>#REF!</v>
      </c>
      <c r="E16" s="1418" t="e">
        <f>C16-D16</f>
        <v>#REF!</v>
      </c>
      <c r="F16" s="1421" t="e">
        <f>E16/$C$13</f>
        <v>#REF!</v>
      </c>
    </row>
    <row r="17" spans="2:6">
      <c r="B17" s="1405" t="s">
        <v>1798</v>
      </c>
      <c r="C17" s="1416" t="e">
        <f>C39</f>
        <v>#REF!</v>
      </c>
      <c r="D17" s="1405"/>
      <c r="E17" s="1405"/>
      <c r="F17" s="1422" t="e">
        <f>C17/C13</f>
        <v>#REF!</v>
      </c>
    </row>
    <row r="18" spans="2:6">
      <c r="D18" s="440" t="e">
        <f>SUM(D14:D17)</f>
        <v>#REF!</v>
      </c>
      <c r="F18" s="1423" t="e">
        <f>SUM(F14:F17)</f>
        <v>#REF!</v>
      </c>
    </row>
    <row r="19" spans="2:6">
      <c r="B19" s="431" t="s">
        <v>1799</v>
      </c>
    </row>
    <row r="20" spans="2:6">
      <c r="B20" s="431"/>
    </row>
    <row r="21" spans="2:6">
      <c r="B21" s="1424" t="s">
        <v>1800</v>
      </c>
      <c r="C21" s="1425" t="e">
        <f>LnkTxtPBCAOMCAA</f>
        <v>#NAME?</v>
      </c>
    </row>
    <row r="22" spans="2:6">
      <c r="B22" s="432" t="s">
        <v>1801</v>
      </c>
      <c r="C22" s="433">
        <v>1.15E-2</v>
      </c>
    </row>
    <row r="23" spans="2:6">
      <c r="B23" s="432" t="s">
        <v>1802</v>
      </c>
      <c r="C23" s="433">
        <v>0</v>
      </c>
    </row>
    <row r="24" spans="2:6">
      <c r="B24" s="1424" t="s">
        <v>1803</v>
      </c>
      <c r="C24" s="1425" t="e">
        <f>#REF!+#REF!</f>
        <v>#REF!</v>
      </c>
    </row>
    <row r="27" spans="2:6">
      <c r="B27" s="1424" t="s">
        <v>1804</v>
      </c>
      <c r="C27" s="1425" t="e">
        <f>#REF!</f>
        <v>#REF!</v>
      </c>
    </row>
    <row r="28" spans="2:6">
      <c r="B28" s="432" t="s">
        <v>1805</v>
      </c>
      <c r="C28" s="438" t="e">
        <f>#REF!</f>
        <v>#REF!</v>
      </c>
    </row>
    <row r="29" spans="2:6">
      <c r="B29" s="432" t="s">
        <v>1806</v>
      </c>
      <c r="C29" s="438"/>
    </row>
    <row r="30" spans="2:6">
      <c r="B30" s="432" t="s">
        <v>1807</v>
      </c>
      <c r="C30" s="438" t="e">
        <f>#REF!</f>
        <v>#REF!</v>
      </c>
    </row>
    <row r="31" spans="2:6">
      <c r="B31" s="1424" t="s">
        <v>1808</v>
      </c>
      <c r="C31" s="1425" t="e">
        <f>#REF!</f>
        <v>#REF!</v>
      </c>
    </row>
    <row r="32" spans="2:6">
      <c r="B32" s="432" t="s">
        <v>1809</v>
      </c>
      <c r="C32" s="438" t="e">
        <f>#REF!</f>
        <v>#REF!</v>
      </c>
    </row>
    <row r="33" spans="2:4">
      <c r="B33" s="432" t="s">
        <v>1810</v>
      </c>
      <c r="C33" s="438" t="e">
        <f>#REF!</f>
        <v>#REF!</v>
      </c>
    </row>
    <row r="34" spans="2:4">
      <c r="B34" s="432" t="s">
        <v>1811</v>
      </c>
      <c r="C34" s="438" t="e">
        <f>#REF!</f>
        <v>#REF!</v>
      </c>
    </row>
    <row r="35" spans="2:4">
      <c r="B35" s="1424" t="s">
        <v>1800</v>
      </c>
      <c r="C35" s="1425" t="e">
        <f>C21</f>
        <v>#NAME?</v>
      </c>
    </row>
    <row r="36" spans="2:4">
      <c r="B36" s="432" t="s">
        <v>1801</v>
      </c>
      <c r="C36" s="433">
        <f>C22</f>
        <v>1.15E-2</v>
      </c>
    </row>
    <row r="37" spans="2:4">
      <c r="B37" s="432" t="s">
        <v>1802</v>
      </c>
      <c r="C37" s="433">
        <f>C23</f>
        <v>0</v>
      </c>
    </row>
    <row r="38" spans="2:4">
      <c r="B38" s="1424" t="s">
        <v>1803</v>
      </c>
      <c r="C38" s="1425" t="e">
        <f>C24</f>
        <v>#REF!</v>
      </c>
    </row>
    <row r="39" spans="2:4">
      <c r="B39" s="432" t="s">
        <v>1812</v>
      </c>
      <c r="C39" s="438" t="e">
        <f>#REF!</f>
        <v>#REF!</v>
      </c>
    </row>
    <row r="40" spans="2:4">
      <c r="B40" s="1426" t="s">
        <v>1813</v>
      </c>
      <c r="C40" s="1427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1814</v>
      </c>
      <c r="C2" s="427"/>
      <c r="H2" s="428" t="s">
        <v>1815</v>
      </c>
    </row>
    <row r="3" spans="2:17">
      <c r="B3" s="1428" t="s">
        <v>1776</v>
      </c>
      <c r="C3" s="1428" t="s">
        <v>1777</v>
      </c>
      <c r="D3" s="1429" t="s">
        <v>856</v>
      </c>
      <c r="E3" s="1429" t="s">
        <v>1816</v>
      </c>
      <c r="F3" s="1429" t="s">
        <v>1817</v>
      </c>
      <c r="H3" s="428" t="s">
        <v>1818</v>
      </c>
      <c r="M3" s="423" t="s">
        <v>1819</v>
      </c>
      <c r="O3" s="423" t="s">
        <v>1819</v>
      </c>
      <c r="P3" s="423" t="s">
        <v>1819</v>
      </c>
    </row>
    <row r="4" spans="2:17">
      <c r="B4" s="1430" t="s">
        <v>1820</v>
      </c>
      <c r="C4" s="1431" t="e">
        <f>12*C5*(1-$E$13)*1/$E$16</f>
        <v>#DIV/0!</v>
      </c>
      <c r="D4" s="1407" t="s">
        <v>1821</v>
      </c>
      <c r="E4" s="1407"/>
      <c r="F4" s="1407"/>
      <c r="H4" s="1428" t="s">
        <v>1822</v>
      </c>
      <c r="I4" s="1428" t="s">
        <v>1823</v>
      </c>
      <c r="J4" s="1428" t="s">
        <v>1824</v>
      </c>
      <c r="K4" s="1428" t="s">
        <v>1825</v>
      </c>
      <c r="L4" s="1428" t="s">
        <v>1826</v>
      </c>
      <c r="M4" s="1428" t="s">
        <v>897</v>
      </c>
      <c r="N4" s="1428" t="s">
        <v>533</v>
      </c>
      <c r="O4" s="1428" t="s">
        <v>537</v>
      </c>
      <c r="P4" s="1428" t="s">
        <v>535</v>
      </c>
      <c r="Q4" s="1428" t="s">
        <v>538</v>
      </c>
    </row>
    <row r="5" spans="2:17">
      <c r="B5" s="1430" t="s">
        <v>1781</v>
      </c>
      <c r="C5" s="1432"/>
      <c r="D5" s="1407"/>
      <c r="E5" s="1407"/>
      <c r="F5" s="1407" t="s">
        <v>1827</v>
      </c>
      <c r="H5" s="1430" t="s">
        <v>1820</v>
      </c>
      <c r="I5" s="1431" t="e">
        <f t="shared" ref="I5:Q5" si="0">12*I6*(1-$E$13)*1/$E$16</f>
        <v>#DIV/0!</v>
      </c>
      <c r="J5" s="1431" t="e">
        <f t="shared" si="0"/>
        <v>#DIV/0!</v>
      </c>
      <c r="K5" s="1431" t="e">
        <f t="shared" si="0"/>
        <v>#DIV/0!</v>
      </c>
      <c r="L5" s="1431" t="e">
        <f t="shared" si="0"/>
        <v>#DIV/0!</v>
      </c>
      <c r="M5" s="1431" t="e">
        <f t="shared" si="0"/>
        <v>#DIV/0!</v>
      </c>
      <c r="N5" s="1431" t="e">
        <f t="shared" si="0"/>
        <v>#DIV/0!</v>
      </c>
      <c r="O5" s="1431" t="e">
        <f t="shared" si="0"/>
        <v>#DIV/0!</v>
      </c>
      <c r="P5" s="1431" t="e">
        <f t="shared" si="0"/>
        <v>#DIV/0!</v>
      </c>
      <c r="Q5" s="1431" t="e">
        <f t="shared" si="0"/>
        <v>#DIV/0!</v>
      </c>
    </row>
    <row r="6" spans="2:17">
      <c r="B6" s="1430" t="s">
        <v>1828</v>
      </c>
      <c r="C6" s="1433"/>
      <c r="D6" s="1407" t="s">
        <v>1829</v>
      </c>
      <c r="E6" s="1407"/>
      <c r="F6" s="1434"/>
      <c r="H6" s="1430" t="s">
        <v>1781</v>
      </c>
      <c r="I6" s="1435"/>
      <c r="J6" s="1435"/>
      <c r="K6" s="1435"/>
      <c r="L6" s="1435"/>
      <c r="M6" s="1406"/>
      <c r="N6" s="1436"/>
      <c r="O6" s="1406"/>
      <c r="P6" s="1406"/>
      <c r="Q6" s="1406"/>
    </row>
    <row r="7" spans="2:17">
      <c r="B7" s="1430" t="s">
        <v>1830</v>
      </c>
      <c r="C7" s="1433"/>
      <c r="D7" s="1407" t="s">
        <v>1831</v>
      </c>
      <c r="E7" s="1407"/>
      <c r="F7" s="1434"/>
      <c r="H7" s="1430" t="s">
        <v>1828</v>
      </c>
      <c r="I7" s="1873">
        <f>C6</f>
        <v>0</v>
      </c>
      <c r="J7" s="1874"/>
      <c r="K7" s="1874"/>
      <c r="L7" s="1874"/>
      <c r="M7" s="1874"/>
      <c r="N7" s="1874"/>
      <c r="O7" s="1874"/>
      <c r="P7" s="1874"/>
      <c r="Q7" s="1875"/>
    </row>
    <row r="8" spans="2:17">
      <c r="B8" s="1430" t="s">
        <v>1832</v>
      </c>
      <c r="C8" s="1437"/>
      <c r="D8" s="1407" t="s">
        <v>1833</v>
      </c>
      <c r="E8" s="1407" t="s">
        <v>1834</v>
      </c>
      <c r="F8" s="1438"/>
      <c r="G8" s="429"/>
      <c r="H8" s="1430" t="s">
        <v>1832</v>
      </c>
      <c r="I8" s="1876">
        <f>C8</f>
        <v>0</v>
      </c>
      <c r="J8" s="1877"/>
      <c r="K8" s="1877"/>
      <c r="L8" s="1877"/>
      <c r="M8" s="1877"/>
      <c r="N8" s="1877"/>
      <c r="O8" s="1877"/>
      <c r="P8" s="1877"/>
      <c r="Q8" s="1878"/>
    </row>
    <row r="9" spans="2:17">
      <c r="B9" s="1430" t="s">
        <v>1835</v>
      </c>
      <c r="C9" s="1433"/>
      <c r="D9" s="1407" t="s">
        <v>1836</v>
      </c>
      <c r="E9" s="1407"/>
      <c r="F9" s="1438"/>
      <c r="H9" s="1430" t="s">
        <v>1835</v>
      </c>
      <c r="I9" s="1873">
        <f>C9</f>
        <v>0</v>
      </c>
      <c r="J9" s="1874"/>
      <c r="K9" s="1874"/>
      <c r="L9" s="1874"/>
      <c r="M9" s="1874"/>
      <c r="N9" s="1874"/>
      <c r="O9" s="1874"/>
      <c r="P9" s="1874"/>
      <c r="Q9" s="1875"/>
    </row>
    <row r="10" spans="2:17">
      <c r="B10" s="1430" t="s">
        <v>1837</v>
      </c>
      <c r="C10" s="1437"/>
      <c r="D10" s="1407" t="s">
        <v>1838</v>
      </c>
      <c r="E10" s="1407" t="s">
        <v>1839</v>
      </c>
      <c r="F10" s="1438"/>
      <c r="G10" s="429"/>
      <c r="H10" s="1430" t="s">
        <v>1837</v>
      </c>
      <c r="I10" s="1879">
        <f>C10</f>
        <v>0</v>
      </c>
      <c r="J10" s="1880"/>
      <c r="K10" s="1880"/>
      <c r="L10" s="1880"/>
      <c r="M10" s="1880"/>
      <c r="N10" s="1880"/>
      <c r="O10" s="1880"/>
      <c r="P10" s="1880"/>
      <c r="Q10" s="1881"/>
    </row>
    <row r="12" spans="2:17">
      <c r="D12" s="426" t="s">
        <v>1840</v>
      </c>
    </row>
    <row r="13" spans="2:17">
      <c r="D13" s="1403" t="s">
        <v>1841</v>
      </c>
      <c r="E13" s="1439" t="e">
        <f>C10/C8</f>
        <v>#DIV/0!</v>
      </c>
      <c r="H13" s="428" t="s">
        <v>1842</v>
      </c>
      <c r="M13" s="430">
        <v>4.2321999999999997</v>
      </c>
    </row>
    <row r="14" spans="2:17">
      <c r="D14" s="1403" t="s">
        <v>1843</v>
      </c>
      <c r="E14" s="1440" t="e">
        <f>1/C9</f>
        <v>#DIV/0!</v>
      </c>
      <c r="H14" s="428" t="s">
        <v>1844</v>
      </c>
      <c r="M14" s="423">
        <v>1.01916916988504</v>
      </c>
    </row>
    <row r="15" spans="2:17">
      <c r="D15" s="1403" t="s">
        <v>1845</v>
      </c>
      <c r="E15" s="1441">
        <f>ROUND(C6/(1-C7),4)</f>
        <v>0</v>
      </c>
      <c r="H15" s="428" t="s">
        <v>1846</v>
      </c>
      <c r="M15" s="423">
        <f>M13*M14</f>
        <v>4.313327760787466</v>
      </c>
    </row>
    <row r="16" spans="2:17">
      <c r="D16" s="1403" t="s">
        <v>1780</v>
      </c>
      <c r="E16" s="1442" t="e">
        <f>(((1+E15)^E14)*E15)/((1+E15)^E14-1)</f>
        <v>#DIV/0!</v>
      </c>
      <c r="H16" s="428" t="s">
        <v>1847</v>
      </c>
      <c r="M16" s="423">
        <v>0.3</v>
      </c>
    </row>
    <row r="17" spans="2:13">
      <c r="H17" s="428" t="s">
        <v>1848</v>
      </c>
      <c r="M17" s="423">
        <v>0.4</v>
      </c>
    </row>
    <row r="18" spans="2:13">
      <c r="H18" s="428" t="s">
        <v>1849</v>
      </c>
      <c r="M18" s="423">
        <v>0</v>
      </c>
    </row>
    <row r="20" spans="2:13">
      <c r="B20" s="1424" t="s">
        <v>1800</v>
      </c>
      <c r="C20" s="1425" t="e">
        <f>'REN 473'!C21</f>
        <v>#NAME?</v>
      </c>
      <c r="E20" s="431" t="s">
        <v>1850</v>
      </c>
      <c r="F20" s="431"/>
    </row>
    <row r="21" spans="2:13">
      <c r="B21" s="432" t="s">
        <v>1801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1802</v>
      </c>
      <c r="C22" s="433">
        <f>'REN 473'!C23</f>
        <v>0</v>
      </c>
      <c r="E22" s="436" t="s">
        <v>1851</v>
      </c>
      <c r="F22" s="437"/>
    </row>
    <row r="23" spans="2:13">
      <c r="B23" s="1424" t="s">
        <v>1803</v>
      </c>
      <c r="C23" s="1425" t="e">
        <f>'REN 473'!C24</f>
        <v>#REF!</v>
      </c>
      <c r="E23" s="436" t="s">
        <v>1852</v>
      </c>
      <c r="F23" s="437"/>
    </row>
    <row r="24" spans="2:13">
      <c r="E24" s="436" t="s">
        <v>1853</v>
      </c>
      <c r="F24" s="437"/>
    </row>
    <row r="25" spans="2:13">
      <c r="B25" s="1424" t="s">
        <v>1804</v>
      </c>
      <c r="C25" s="1443"/>
      <c r="E25" s="436" t="s">
        <v>1854</v>
      </c>
      <c r="F25" s="437"/>
    </row>
    <row r="26" spans="2:13">
      <c r="B26" s="432" t="s">
        <v>1805</v>
      </c>
      <c r="C26" s="460"/>
      <c r="E26" s="1444" t="s">
        <v>1855</v>
      </c>
      <c r="F26" s="1445"/>
    </row>
    <row r="27" spans="2:13">
      <c r="B27" s="432" t="s">
        <v>1806</v>
      </c>
      <c r="C27" s="460"/>
      <c r="E27" s="436" t="s">
        <v>1856</v>
      </c>
      <c r="F27" s="439"/>
    </row>
    <row r="28" spans="2:13">
      <c r="B28" s="1426" t="s">
        <v>1807</v>
      </c>
      <c r="C28" s="1446"/>
      <c r="E28" s="1444" t="s">
        <v>1857</v>
      </c>
      <c r="F28" s="1445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1858</v>
      </c>
      <c r="C2" s="9" t="s">
        <v>37</v>
      </c>
    </row>
    <row r="3" spans="2:3">
      <c r="B3" s="64" t="s">
        <v>1859</v>
      </c>
      <c r="C3" t="e">
        <f t="shared" ref="C3:C66" ca="1" si="0">INDIRECT(B3)</f>
        <v>#REF!</v>
      </c>
    </row>
    <row r="4" spans="2:3">
      <c r="B4" s="64" t="s">
        <v>1860</v>
      </c>
      <c r="C4" t="e">
        <f t="shared" ca="1" si="0"/>
        <v>#REF!</v>
      </c>
    </row>
    <row r="5" spans="2:3">
      <c r="B5" s="64" t="s">
        <v>1861</v>
      </c>
      <c r="C5" t="e">
        <f t="shared" ca="1" si="0"/>
        <v>#REF!</v>
      </c>
    </row>
    <row r="6" spans="2:3">
      <c r="B6" s="64" t="s">
        <v>1862</v>
      </c>
      <c r="C6" t="e">
        <f t="shared" ca="1" si="0"/>
        <v>#REF!</v>
      </c>
    </row>
    <row r="7" spans="2:3">
      <c r="B7" s="64" t="s">
        <v>1863</v>
      </c>
      <c r="C7" t="e">
        <f t="shared" ca="1" si="0"/>
        <v>#REF!</v>
      </c>
    </row>
    <row r="8" spans="2:3">
      <c r="B8" s="64" t="s">
        <v>1864</v>
      </c>
      <c r="C8" t="e">
        <f t="shared" ca="1" si="0"/>
        <v>#REF!</v>
      </c>
    </row>
    <row r="9" spans="2:3">
      <c r="B9" s="64" t="s">
        <v>1865</v>
      </c>
      <c r="C9" t="e">
        <f t="shared" ca="1" si="0"/>
        <v>#REF!</v>
      </c>
    </row>
    <row r="10" spans="2:3">
      <c r="B10" s="64" t="s">
        <v>1866</v>
      </c>
      <c r="C10" t="e">
        <f t="shared" ca="1" si="0"/>
        <v>#REF!</v>
      </c>
    </row>
    <row r="11" spans="2:3">
      <c r="B11" s="64" t="s">
        <v>1867</v>
      </c>
      <c r="C11" t="e">
        <f t="shared" ca="1" si="0"/>
        <v>#REF!</v>
      </c>
    </row>
    <row r="12" spans="2:3">
      <c r="B12" s="63" t="s">
        <v>1868</v>
      </c>
      <c r="C12" t="e">
        <f t="shared" ca="1" si="0"/>
        <v>#REF!</v>
      </c>
    </row>
    <row r="13" spans="2:3">
      <c r="B13" s="63" t="s">
        <v>1869</v>
      </c>
      <c r="C13" t="e">
        <f t="shared" ca="1" si="0"/>
        <v>#REF!</v>
      </c>
    </row>
    <row r="14" spans="2:3">
      <c r="B14" s="63" t="s">
        <v>1870</v>
      </c>
      <c r="C14">
        <f t="shared" ca="1" si="0"/>
        <v>2022</v>
      </c>
    </row>
    <row r="15" spans="2:3">
      <c r="B15" s="63" t="s">
        <v>1871</v>
      </c>
      <c r="C15">
        <f t="shared" ca="1" si="0"/>
        <v>2022</v>
      </c>
    </row>
    <row r="16" spans="2:3">
      <c r="B16" s="63" t="s">
        <v>1872</v>
      </c>
      <c r="C16">
        <f t="shared" ca="1" si="0"/>
        <v>44834</v>
      </c>
    </row>
    <row r="17" spans="2:3">
      <c r="B17" s="63" t="s">
        <v>1873</v>
      </c>
      <c r="C17">
        <f t="shared" ca="1" si="0"/>
        <v>336793.47300000006</v>
      </c>
    </row>
    <row r="18" spans="2:3">
      <c r="B18" s="63" t="s">
        <v>1874</v>
      </c>
      <c r="C18">
        <f t="shared" ca="1" si="0"/>
        <v>0</v>
      </c>
    </row>
    <row r="19" spans="2:3">
      <c r="B19" s="63" t="s">
        <v>1875</v>
      </c>
      <c r="C19">
        <f t="shared" ca="1" si="0"/>
        <v>107969.99200000004</v>
      </c>
    </row>
    <row r="20" spans="2:3">
      <c r="B20" s="63" t="s">
        <v>1876</v>
      </c>
      <c r="C20" t="e">
        <f t="shared" ca="1" si="0"/>
        <v>#VALUE!</v>
      </c>
    </row>
    <row r="21" spans="2:3">
      <c r="B21" s="63" t="s">
        <v>1877</v>
      </c>
      <c r="C21">
        <f t="shared" ca="1" si="0"/>
        <v>5370</v>
      </c>
    </row>
    <row r="22" spans="2:3">
      <c r="B22" s="63" t="s">
        <v>1066</v>
      </c>
      <c r="C22">
        <f t="shared" ca="1" si="0"/>
        <v>230</v>
      </c>
    </row>
    <row r="23" spans="2:3">
      <c r="B23" s="63" t="s">
        <v>1878</v>
      </c>
      <c r="C23">
        <f t="shared" ca="1" si="0"/>
        <v>5.6651375974321801E-2</v>
      </c>
    </row>
    <row r="24" spans="2:3">
      <c r="B24" s="63" t="s">
        <v>1879</v>
      </c>
      <c r="C24" t="e">
        <f t="shared" ca="1" si="0"/>
        <v>#REF!</v>
      </c>
    </row>
    <row r="25" spans="2:3">
      <c r="B25" s="63" t="s">
        <v>1880</v>
      </c>
      <c r="C25">
        <f t="shared" ca="1" si="0"/>
        <v>0</v>
      </c>
    </row>
    <row r="26" spans="2:3">
      <c r="B26" s="63" t="s">
        <v>1881</v>
      </c>
      <c r="C26">
        <f t="shared" ca="1" si="0"/>
        <v>0</v>
      </c>
    </row>
    <row r="27" spans="2:3">
      <c r="B27" s="63" t="s">
        <v>1882</v>
      </c>
      <c r="C27" t="e">
        <f t="shared" ca="1" si="0"/>
        <v>#REF!</v>
      </c>
    </row>
    <row r="28" spans="2:3">
      <c r="B28" s="63" t="s">
        <v>1883</v>
      </c>
      <c r="C28" t="e">
        <f t="shared" ca="1" si="0"/>
        <v>#REF!</v>
      </c>
    </row>
    <row r="29" spans="2:3">
      <c r="B29" s="63" t="s">
        <v>1884</v>
      </c>
      <c r="C29">
        <f t="shared" ca="1" si="0"/>
        <v>0</v>
      </c>
    </row>
    <row r="30" spans="2:3">
      <c r="B30" s="63" t="s">
        <v>1885</v>
      </c>
      <c r="C30">
        <f t="shared" ca="1" si="0"/>
        <v>26218</v>
      </c>
    </row>
    <row r="31" spans="2:3">
      <c r="B31" s="63" t="s">
        <v>1886</v>
      </c>
      <c r="C31">
        <f t="shared" ca="1" si="0"/>
        <v>44834</v>
      </c>
    </row>
    <row r="32" spans="2:3">
      <c r="B32" s="63" t="s">
        <v>1887</v>
      </c>
      <c r="C32" t="e">
        <f t="shared" ca="1" si="0"/>
        <v>#REF!</v>
      </c>
    </row>
    <row r="33" spans="2:3">
      <c r="B33" s="63" t="s">
        <v>1888</v>
      </c>
      <c r="C33">
        <f t="shared" ca="1" si="0"/>
        <v>0.22678003881022252</v>
      </c>
    </row>
    <row r="34" spans="2:3">
      <c r="B34" s="63" t="s">
        <v>1889</v>
      </c>
      <c r="C34" t="e">
        <f t="shared" ca="1" si="0"/>
        <v>#REF!</v>
      </c>
    </row>
    <row r="35" spans="2:3">
      <c r="B35" s="63" t="s">
        <v>1890</v>
      </c>
      <c r="C35">
        <f t="shared" ca="1" si="0"/>
        <v>136982.03985895967</v>
      </c>
    </row>
    <row r="36" spans="2:3">
      <c r="B36" s="63" t="s">
        <v>1891</v>
      </c>
      <c r="C36" t="e">
        <f t="shared" ca="1" si="0"/>
        <v>#REF!</v>
      </c>
    </row>
    <row r="37" spans="2:3">
      <c r="B37" s="63" t="s">
        <v>1892</v>
      </c>
      <c r="C37" t="e">
        <f t="shared" ca="1" si="0"/>
        <v>#REF!</v>
      </c>
    </row>
    <row r="38" spans="2:3">
      <c r="B38" s="64" t="s">
        <v>1893</v>
      </c>
      <c r="C38" t="e">
        <f t="shared" ca="1" si="0"/>
        <v>#REF!</v>
      </c>
    </row>
    <row r="39" spans="2:3">
      <c r="B39" s="63" t="s">
        <v>1894</v>
      </c>
      <c r="C39" t="e">
        <f t="shared" ca="1" si="0"/>
        <v>#REF!</v>
      </c>
    </row>
    <row r="40" spans="2:3">
      <c r="B40" s="63" t="s">
        <v>1895</v>
      </c>
      <c r="C40" t="e">
        <f t="shared" ca="1" si="0"/>
        <v>#REF!</v>
      </c>
    </row>
    <row r="41" spans="2:3">
      <c r="B41" s="63" t="s">
        <v>1896</v>
      </c>
      <c r="C41">
        <f t="shared" ca="1" si="0"/>
        <v>0.12638835568023654</v>
      </c>
    </row>
    <row r="42" spans="2:3">
      <c r="B42" s="63" t="s">
        <v>1897</v>
      </c>
      <c r="C42">
        <f t="shared" ca="1" si="0"/>
        <v>0.11469176735435926</v>
      </c>
    </row>
    <row r="43" spans="2:3">
      <c r="B43" s="63" t="s">
        <v>1898</v>
      </c>
      <c r="C43">
        <f t="shared" ca="1" si="0"/>
        <v>0.14804177925344386</v>
      </c>
    </row>
    <row r="44" spans="2:3">
      <c r="B44" s="63" t="s">
        <v>1899</v>
      </c>
      <c r="C44" t="e">
        <f t="shared" ca="1" si="0"/>
        <v>#REF!</v>
      </c>
    </row>
    <row r="45" spans="2:3">
      <c r="B45" s="63" t="s">
        <v>1900</v>
      </c>
      <c r="C45" t="e">
        <f t="shared" ca="1" si="0"/>
        <v>#REF!</v>
      </c>
    </row>
    <row r="46" spans="2:3">
      <c r="B46" s="63" t="s">
        <v>1901</v>
      </c>
      <c r="C46" t="e">
        <f t="shared" ca="1" si="0"/>
        <v>#REF!</v>
      </c>
    </row>
    <row r="47" spans="2:3">
      <c r="B47" s="63" t="s">
        <v>1902</v>
      </c>
      <c r="C47">
        <f t="shared" ca="1" si="0"/>
        <v>0.12638835568023654</v>
      </c>
    </row>
    <row r="48" spans="2:3">
      <c r="B48" s="63" t="s">
        <v>1903</v>
      </c>
      <c r="C48">
        <f t="shared" ca="1" si="0"/>
        <v>0</v>
      </c>
    </row>
    <row r="49" spans="2:3">
      <c r="B49" s="63" t="s">
        <v>1904</v>
      </c>
      <c r="C49">
        <f t="shared" ca="1" si="0"/>
        <v>356802.83200000005</v>
      </c>
    </row>
    <row r="50" spans="2:3">
      <c r="B50" s="63" t="s">
        <v>1905</v>
      </c>
      <c r="C50">
        <f t="shared" ca="1" si="0"/>
        <v>0.12039999999999999</v>
      </c>
    </row>
    <row r="51" spans="2:3">
      <c r="B51" s="63" t="s">
        <v>1906</v>
      </c>
      <c r="C51">
        <f t="shared" ca="1" si="0"/>
        <v>336793.47300000006</v>
      </c>
    </row>
    <row r="52" spans="2:3">
      <c r="B52" s="63" t="s">
        <v>1907</v>
      </c>
      <c r="C52">
        <f t="shared" ca="1" si="0"/>
        <v>336793.47300000006</v>
      </c>
    </row>
    <row r="53" spans="2:3">
      <c r="B53" s="63" t="s">
        <v>1908</v>
      </c>
      <c r="C53">
        <f t="shared" ca="1" si="0"/>
        <v>0</v>
      </c>
    </row>
    <row r="54" spans="2:3">
      <c r="B54" s="63" t="s">
        <v>1909</v>
      </c>
      <c r="C54">
        <f t="shared" ca="1" si="0"/>
        <v>0.29329304750651947</v>
      </c>
    </row>
    <row r="55" spans="2:3">
      <c r="B55" s="63" t="s">
        <v>1910</v>
      </c>
      <c r="C55">
        <f t="shared" ca="1" si="0"/>
        <v>0</v>
      </c>
    </row>
    <row r="56" spans="2:3">
      <c r="B56" s="63" t="s">
        <v>1911</v>
      </c>
      <c r="C56">
        <f t="shared" ca="1" si="0"/>
        <v>0</v>
      </c>
    </row>
    <row r="57" spans="2:3">
      <c r="B57" s="63" t="s">
        <v>1912</v>
      </c>
      <c r="C57">
        <f t="shared" ca="1" si="0"/>
        <v>0.22678003881022252</v>
      </c>
    </row>
    <row r="58" spans="2:3">
      <c r="B58" s="63" t="s">
        <v>1913</v>
      </c>
      <c r="C58">
        <f t="shared" ca="1" si="0"/>
        <v>8.727291292620043E-2</v>
      </c>
    </row>
    <row r="59" spans="2:3">
      <c r="B59" s="63" t="s">
        <v>1914</v>
      </c>
      <c r="C59">
        <f t="shared" ca="1" si="0"/>
        <v>0</v>
      </c>
    </row>
    <row r="60" spans="2:3">
      <c r="B60" s="63" t="s">
        <v>1915</v>
      </c>
      <c r="C60" t="e">
        <f t="shared" ca="1" si="0"/>
        <v>#REF!</v>
      </c>
    </row>
    <row r="61" spans="2:3">
      <c r="B61" s="63" t="s">
        <v>1916</v>
      </c>
      <c r="C61">
        <f t="shared" ca="1" si="0"/>
        <v>-3.1537486659216338E-2</v>
      </c>
    </row>
    <row r="62" spans="2:3">
      <c r="B62" s="63" t="s">
        <v>1917</v>
      </c>
      <c r="C62">
        <f t="shared" ca="1" si="0"/>
        <v>1.49E-2</v>
      </c>
    </row>
    <row r="63" spans="2:3">
      <c r="B63" s="63" t="s">
        <v>1918</v>
      </c>
      <c r="C63">
        <f t="shared" ca="1" si="0"/>
        <v>7.4271607749713961E-2</v>
      </c>
    </row>
    <row r="64" spans="2:3">
      <c r="B64" s="63" t="s">
        <v>1919</v>
      </c>
      <c r="C64" t="e">
        <f t="shared" ca="1" si="0"/>
        <v>#REF!</v>
      </c>
    </row>
    <row r="65" spans="2:3">
      <c r="B65" s="63" t="s">
        <v>1920</v>
      </c>
      <c r="C65">
        <f t="shared" ca="1" si="0"/>
        <v>6.3341092899339049E-2</v>
      </c>
    </row>
    <row r="66" spans="2:3">
      <c r="B66" s="63" t="s">
        <v>1921</v>
      </c>
      <c r="C66">
        <f t="shared" ca="1" si="0"/>
        <v>-4.8391631593352184E-2</v>
      </c>
    </row>
    <row r="67" spans="2:3">
      <c r="B67" s="63" t="s">
        <v>1922</v>
      </c>
      <c r="C67">
        <f t="shared" ref="C67:C130" ca="1" si="1">INDIRECT(B67)</f>
        <v>2.0606971808841395E-2</v>
      </c>
    </row>
    <row r="68" spans="2:3">
      <c r="B68" s="63" t="s">
        <v>1923</v>
      </c>
      <c r="C68">
        <f t="shared" ca="1" si="1"/>
        <v>6.0000000000000001E-3</v>
      </c>
    </row>
    <row r="69" spans="2:3">
      <c r="B69" s="63" t="s">
        <v>1924</v>
      </c>
      <c r="C69">
        <f t="shared" ca="1" si="1"/>
        <v>-286619.25449683348</v>
      </c>
    </row>
    <row r="70" spans="2:3">
      <c r="B70" s="63" t="s">
        <v>1925</v>
      </c>
      <c r="C70" t="str">
        <f t="shared" ca="1" si="1"/>
        <v>Cooperativa Pioneira de Eletrificação</v>
      </c>
    </row>
    <row r="71" spans="2:3">
      <c r="B71" s="63" t="s">
        <v>1926</v>
      </c>
      <c r="C71" t="e">
        <f t="shared" ca="1" si="1"/>
        <v>#REF!</v>
      </c>
    </row>
    <row r="72" spans="2:3">
      <c r="B72" s="63" t="s">
        <v>1927</v>
      </c>
      <c r="C72" t="str">
        <f t="shared" ca="1" si="1"/>
        <v>18/2008</v>
      </c>
    </row>
    <row r="73" spans="2:3">
      <c r="B73" s="63" t="s">
        <v>1928</v>
      </c>
      <c r="C73">
        <f t="shared" ca="1" si="1"/>
        <v>0</v>
      </c>
    </row>
    <row r="74" spans="2:3">
      <c r="B74" s="63" t="s">
        <v>1929</v>
      </c>
      <c r="C74">
        <f t="shared" ca="1" si="1"/>
        <v>0.70154937868157441</v>
      </c>
    </row>
    <row r="75" spans="2:3">
      <c r="B75" s="63" t="s">
        <v>1930</v>
      </c>
      <c r="C75">
        <f t="shared" ca="1" si="1"/>
        <v>0.29845062131842554</v>
      </c>
    </row>
    <row r="76" spans="2:3">
      <c r="B76" s="63" t="s">
        <v>1931</v>
      </c>
      <c r="C76">
        <f t="shared" ca="1" si="1"/>
        <v>5.6079596924275568E-2</v>
      </c>
    </row>
    <row r="77" spans="2:3">
      <c r="B77" s="63" t="s">
        <v>1932</v>
      </c>
      <c r="C77">
        <f t="shared" ca="1" si="1"/>
        <v>0</v>
      </c>
    </row>
    <row r="78" spans="2:3">
      <c r="B78" s="63" t="s">
        <v>1933</v>
      </c>
      <c r="C78">
        <f t="shared" ca="1" si="1"/>
        <v>20009.359000000015</v>
      </c>
    </row>
    <row r="79" spans="2:3">
      <c r="B79" s="63" t="s">
        <v>1934</v>
      </c>
      <c r="C79">
        <f t="shared" ca="1" si="1"/>
        <v>0</v>
      </c>
    </row>
    <row r="80" spans="2:3">
      <c r="B80" s="63" t="s">
        <v>1935</v>
      </c>
      <c r="C80">
        <f t="shared" ca="1" si="1"/>
        <v>1573300.264313475</v>
      </c>
    </row>
    <row r="81" spans="2:3">
      <c r="B81" s="63" t="s">
        <v>1936</v>
      </c>
      <c r="C81" t="e">
        <f t="shared" ca="1" si="1"/>
        <v>#REF!</v>
      </c>
    </row>
    <row r="82" spans="2:3">
      <c r="B82" s="64" t="s">
        <v>1937</v>
      </c>
      <c r="C82">
        <f t="shared" ca="1" si="1"/>
        <v>5759.4236211601437</v>
      </c>
    </row>
    <row r="83" spans="2:3">
      <c r="B83" s="63" t="s">
        <v>1938</v>
      </c>
      <c r="C83">
        <f t="shared" ca="1" si="1"/>
        <v>129817832.14530993</v>
      </c>
    </row>
    <row r="84" spans="2:3">
      <c r="B84" s="63" t="s">
        <v>1939</v>
      </c>
      <c r="C84">
        <f t="shared" ca="1" si="1"/>
        <v>1114298.4896059355</v>
      </c>
    </row>
    <row r="85" spans="2:3">
      <c r="B85" s="63" t="s">
        <v>1940</v>
      </c>
      <c r="C85">
        <f t="shared" ca="1" si="1"/>
        <v>10654497</v>
      </c>
    </row>
    <row r="86" spans="2:3">
      <c r="B86" s="63" t="s">
        <v>1941</v>
      </c>
      <c r="C86" t="str">
        <f t="shared" ca="1" si="1"/>
        <v>setembro de 2021 a agosto de 2022</v>
      </c>
    </row>
    <row r="87" spans="2:3">
      <c r="B87" s="63" t="s">
        <v>1942</v>
      </c>
      <c r="C87">
        <f t="shared" ca="1" si="1"/>
        <v>0</v>
      </c>
    </row>
    <row r="88" spans="2:3">
      <c r="B88" s="63" t="s">
        <v>1943</v>
      </c>
      <c r="C88" t="str">
        <f t="shared" ca="1" si="1"/>
        <v>Coopera</v>
      </c>
    </row>
    <row r="89" spans="2:3">
      <c r="B89" s="63" t="s">
        <v>1944</v>
      </c>
      <c r="C89">
        <f t="shared" ca="1" si="1"/>
        <v>0</v>
      </c>
    </row>
    <row r="90" spans="2:3">
      <c r="B90" s="63" t="s">
        <v>1945</v>
      </c>
      <c r="C90" t="e">
        <f t="shared" ca="1" si="1"/>
        <v>#REF!</v>
      </c>
    </row>
    <row r="91" spans="2:3">
      <c r="B91" s="64" t="s">
        <v>1946</v>
      </c>
      <c r="C91">
        <f t="shared" ca="1" si="1"/>
        <v>0</v>
      </c>
    </row>
    <row r="92" spans="2:3">
      <c r="B92" s="64" t="s">
        <v>1947</v>
      </c>
      <c r="C92">
        <f t="shared" ca="1" si="1"/>
        <v>-9.0800000000000006E-2</v>
      </c>
    </row>
    <row r="93" spans="2:3">
      <c r="B93" s="64" t="s">
        <v>1948</v>
      </c>
      <c r="C93">
        <f t="shared" ca="1" si="1"/>
        <v>0.30980000000000002</v>
      </c>
    </row>
    <row r="94" spans="2:3">
      <c r="B94" s="64" t="s">
        <v>1949</v>
      </c>
      <c r="C94">
        <f t="shared" ca="1" si="1"/>
        <v>0.33529999999999999</v>
      </c>
    </row>
    <row r="95" spans="2:3">
      <c r="B95" s="64" t="s">
        <v>1950</v>
      </c>
      <c r="C95" t="e">
        <f t="shared" ca="1" si="1"/>
        <v>#VALUE!</v>
      </c>
    </row>
    <row r="96" spans="2:3">
      <c r="B96" s="64" t="s">
        <v>1951</v>
      </c>
      <c r="C96" t="e">
        <f t="shared" ca="1" si="1"/>
        <v>#VALUE!</v>
      </c>
    </row>
    <row r="97" spans="2:3">
      <c r="B97" s="64" t="s">
        <v>1952</v>
      </c>
      <c r="C97" t="e">
        <f t="shared" ca="1" si="1"/>
        <v>#VALUE!</v>
      </c>
    </row>
    <row r="98" spans="2:3">
      <c r="B98" s="64" t="s">
        <v>1953</v>
      </c>
      <c r="C98" t="e">
        <f t="shared" ca="1" si="1"/>
        <v>#VALUE!</v>
      </c>
    </row>
    <row r="99" spans="2:3">
      <c r="B99" s="63" t="s">
        <v>1954</v>
      </c>
      <c r="C99" t="e">
        <f t="shared" ca="1" si="1"/>
        <v>#VALUE!</v>
      </c>
    </row>
    <row r="100" spans="2:3">
      <c r="B100" s="64" t="s">
        <v>1955</v>
      </c>
      <c r="C100" t="e">
        <f t="shared" ca="1" si="1"/>
        <v>#VALUE!</v>
      </c>
    </row>
    <row r="101" spans="2:3">
      <c r="B101" s="63" t="s">
        <v>1956</v>
      </c>
      <c r="C101" t="e">
        <f t="shared" ca="1" si="1"/>
        <v>#VALUE!</v>
      </c>
    </row>
    <row r="102" spans="2:3">
      <c r="B102" s="63" t="s">
        <v>1957</v>
      </c>
      <c r="C102" t="e">
        <f t="shared" ca="1" si="1"/>
        <v>#VALUE!</v>
      </c>
    </row>
    <row r="103" spans="2:3">
      <c r="B103" s="63" t="s">
        <v>1958</v>
      </c>
      <c r="C103" t="e">
        <f t="shared" ca="1" si="1"/>
        <v>#VALUE!</v>
      </c>
    </row>
    <row r="104" spans="2:3">
      <c r="B104" s="63" t="s">
        <v>1959</v>
      </c>
      <c r="C104" t="e">
        <f t="shared" ca="1" si="1"/>
        <v>#VALUE!</v>
      </c>
    </row>
    <row r="105" spans="2:3">
      <c r="B105" s="63" t="s">
        <v>1960</v>
      </c>
      <c r="C105" t="e">
        <f t="shared" ca="1" si="1"/>
        <v>#VALUE!</v>
      </c>
    </row>
    <row r="106" spans="2:3">
      <c r="B106" s="63" t="s">
        <v>1961</v>
      </c>
      <c r="C106" t="e">
        <f t="shared" ca="1" si="1"/>
        <v>#VALUE!</v>
      </c>
    </row>
    <row r="107" spans="2:3">
      <c r="B107" s="63" t="s">
        <v>1962</v>
      </c>
      <c r="C107" t="e">
        <f t="shared" ca="1" si="1"/>
        <v>#VALUE!</v>
      </c>
    </row>
    <row r="108" spans="2:3">
      <c r="B108" s="63" t="s">
        <v>1963</v>
      </c>
      <c r="C108" t="e">
        <f t="shared" ca="1" si="1"/>
        <v>#REF!</v>
      </c>
    </row>
    <row r="109" spans="2:3">
      <c r="B109" s="63" t="s">
        <v>1964</v>
      </c>
      <c r="C109" t="e">
        <f t="shared" ca="1" si="1"/>
        <v>#REF!</v>
      </c>
    </row>
    <row r="110" spans="2:3">
      <c r="B110" s="63" t="s">
        <v>1965</v>
      </c>
      <c r="C110" t="e">
        <f t="shared" ca="1" si="1"/>
        <v>#REF!</v>
      </c>
    </row>
    <row r="111" spans="2:3">
      <c r="B111" s="63" t="s">
        <v>1966</v>
      </c>
      <c r="C111" t="e">
        <f t="shared" ca="1" si="1"/>
        <v>#REF!</v>
      </c>
    </row>
    <row r="112" spans="2:3">
      <c r="B112" s="63" t="s">
        <v>1967</v>
      </c>
      <c r="C112" t="e">
        <f t="shared" ca="1" si="1"/>
        <v>#REF!</v>
      </c>
    </row>
    <row r="113" spans="2:3">
      <c r="B113" s="63" t="s">
        <v>1968</v>
      </c>
      <c r="C113" t="e">
        <f t="shared" ca="1" si="1"/>
        <v>#REF!</v>
      </c>
    </row>
    <row r="114" spans="2:3">
      <c r="B114" s="63" t="s">
        <v>1969</v>
      </c>
      <c r="C114" t="e">
        <f t="shared" ca="1" si="1"/>
        <v>#REF!</v>
      </c>
    </row>
    <row r="115" spans="2:3">
      <c r="B115" s="63" t="s">
        <v>1970</v>
      </c>
      <c r="C115">
        <f t="shared" ca="1" si="1"/>
        <v>0</v>
      </c>
    </row>
    <row r="116" spans="2:3">
      <c r="B116" s="64" t="s">
        <v>1971</v>
      </c>
      <c r="C116">
        <f t="shared" ca="1" si="1"/>
        <v>18254999.720994767</v>
      </c>
    </row>
    <row r="117" spans="2:3">
      <c r="B117" s="63" t="s">
        <v>1972</v>
      </c>
      <c r="C117">
        <f t="shared" ca="1" si="1"/>
        <v>0</v>
      </c>
    </row>
    <row r="118" spans="2:3">
      <c r="B118" s="63" t="s">
        <v>1973</v>
      </c>
      <c r="C118">
        <f t="shared" ca="1" si="1"/>
        <v>0</v>
      </c>
    </row>
    <row r="119" spans="2:3">
      <c r="B119" s="64" t="s">
        <v>1974</v>
      </c>
      <c r="C119">
        <f t="shared" ca="1" si="1"/>
        <v>0</v>
      </c>
    </row>
    <row r="120" spans="2:3">
      <c r="B120" s="63" t="s">
        <v>1975</v>
      </c>
      <c r="C120">
        <f t="shared" ca="1" si="1"/>
        <v>0</v>
      </c>
    </row>
    <row r="121" spans="2:3">
      <c r="B121" s="63" t="s">
        <v>1976</v>
      </c>
      <c r="C121">
        <f t="shared" ca="1" si="1"/>
        <v>0</v>
      </c>
    </row>
    <row r="122" spans="2:3">
      <c r="B122" s="64" t="s">
        <v>1977</v>
      </c>
      <c r="C122">
        <f t="shared" ca="1" si="1"/>
        <v>0</v>
      </c>
    </row>
    <row r="123" spans="2:3">
      <c r="B123" s="63" t="s">
        <v>1978</v>
      </c>
      <c r="C123">
        <f t="shared" ca="1" si="1"/>
        <v>0</v>
      </c>
    </row>
    <row r="124" spans="2:3">
      <c r="B124" s="63" t="s">
        <v>1979</v>
      </c>
      <c r="C124">
        <f t="shared" ca="1" si="1"/>
        <v>0</v>
      </c>
    </row>
    <row r="125" spans="2:3">
      <c r="B125" s="64" t="s">
        <v>1980</v>
      </c>
      <c r="C125">
        <f t="shared" ca="1" si="1"/>
        <v>0</v>
      </c>
    </row>
    <row r="126" spans="2:3">
      <c r="B126" s="63" t="s">
        <v>1981</v>
      </c>
      <c r="C126">
        <f t="shared" ca="1" si="1"/>
        <v>3125679.5755183659</v>
      </c>
    </row>
    <row r="127" spans="2:3">
      <c r="B127" s="63" t="s">
        <v>1982</v>
      </c>
      <c r="C127">
        <f t="shared" ca="1" si="1"/>
        <v>0</v>
      </c>
    </row>
    <row r="128" spans="2:3">
      <c r="B128" s="64" t="s">
        <v>1983</v>
      </c>
      <c r="C128">
        <f t="shared" ca="1" si="1"/>
        <v>198030.28859802135</v>
      </c>
    </row>
    <row r="129" spans="2:3">
      <c r="B129" s="63" t="s">
        <v>1984</v>
      </c>
      <c r="C129">
        <f t="shared" ca="1" si="1"/>
        <v>336793.47300000006</v>
      </c>
    </row>
    <row r="130" spans="2:3">
      <c r="B130" s="63" t="s">
        <v>1985</v>
      </c>
      <c r="C130">
        <f t="shared" ca="1" si="1"/>
        <v>129817832.14530993</v>
      </c>
    </row>
    <row r="131" spans="2:3">
      <c r="B131" s="64" t="s">
        <v>1986</v>
      </c>
      <c r="C131" t="str">
        <f t="shared" ref="C131:C194" ca="1" si="2">INDIRECT(B131)</f>
        <v>Convencional</v>
      </c>
    </row>
    <row r="132" spans="2:3">
      <c r="B132" s="63" t="s">
        <v>1987</v>
      </c>
      <c r="C132" t="e">
        <f t="shared" ca="1" si="2"/>
        <v>#VALUE!</v>
      </c>
    </row>
    <row r="133" spans="2:3">
      <c r="B133" s="64" t="s">
        <v>1988</v>
      </c>
      <c r="C133" t="e">
        <f t="shared" ca="1" si="2"/>
        <v>#REF!</v>
      </c>
    </row>
    <row r="134" spans="2:3">
      <c r="B134" s="63" t="s">
        <v>1989</v>
      </c>
      <c r="C134" t="e">
        <f t="shared" ca="1" si="2"/>
        <v>#REF!</v>
      </c>
    </row>
    <row r="135" spans="2:3">
      <c r="B135" s="63" t="s">
        <v>1990</v>
      </c>
      <c r="C135">
        <f t="shared" ca="1" si="2"/>
        <v>44774</v>
      </c>
    </row>
    <row r="136" spans="2:3">
      <c r="B136" s="63" t="s">
        <v>1991</v>
      </c>
      <c r="C136">
        <f t="shared" ca="1" si="2"/>
        <v>44440</v>
      </c>
    </row>
    <row r="137" spans="2:3">
      <c r="B137" s="63" t="s">
        <v>1992</v>
      </c>
      <c r="C137" t="e">
        <f t="shared" ca="1" si="2"/>
        <v>#REF!</v>
      </c>
    </row>
    <row r="138" spans="2:3">
      <c r="B138" s="63" t="s">
        <v>1993</v>
      </c>
      <c r="C138" t="e">
        <f t="shared" ca="1" si="2"/>
        <v>#REF!</v>
      </c>
    </row>
    <row r="139" spans="2:3">
      <c r="B139" s="63" t="s">
        <v>1994</v>
      </c>
      <c r="C139" t="e">
        <f t="shared" ca="1" si="2"/>
        <v>#REF!</v>
      </c>
    </row>
    <row r="140" spans="2:3">
      <c r="B140" s="63" t="s">
        <v>1995</v>
      </c>
      <c r="C140">
        <f t="shared" ca="1" si="2"/>
        <v>0</v>
      </c>
    </row>
    <row r="141" spans="2:3">
      <c r="B141" s="63" t="s">
        <v>1996</v>
      </c>
      <c r="C141" t="e">
        <f t="shared" ca="1" si="2"/>
        <v>#VALUE!</v>
      </c>
    </row>
    <row r="142" spans="2:3">
      <c r="B142" s="63" t="s">
        <v>1997</v>
      </c>
      <c r="C142" t="e">
        <f t="shared" ca="1" si="2"/>
        <v>#VALUE!</v>
      </c>
    </row>
    <row r="143" spans="2:3">
      <c r="B143" s="63" t="s">
        <v>1998</v>
      </c>
      <c r="C143" t="e">
        <f t="shared" ca="1" si="2"/>
        <v>#VALUE!</v>
      </c>
    </row>
    <row r="144" spans="2:3">
      <c r="B144" s="63" t="s">
        <v>1999</v>
      </c>
      <c r="C144" t="e">
        <f t="shared" ca="1" si="2"/>
        <v>#VALUE!</v>
      </c>
    </row>
    <row r="145" spans="2:3">
      <c r="B145" s="63" t="s">
        <v>2000</v>
      </c>
      <c r="C145" t="e">
        <f t="shared" ca="1" si="2"/>
        <v>#VALUE!</v>
      </c>
    </row>
    <row r="146" spans="2:3">
      <c r="B146" s="64" t="s">
        <v>2001</v>
      </c>
      <c r="C146" t="e">
        <f t="shared" ca="1" si="2"/>
        <v>#REF!</v>
      </c>
    </row>
    <row r="147" spans="2:3">
      <c r="B147" s="64" t="s">
        <v>2002</v>
      </c>
      <c r="C147" t="e">
        <f t="shared" ca="1" si="2"/>
        <v>#REF!</v>
      </c>
    </row>
    <row r="148" spans="2:3">
      <c r="B148" s="64" t="s">
        <v>2003</v>
      </c>
      <c r="C148" t="e">
        <f t="shared" ca="1" si="2"/>
        <v>#REF!</v>
      </c>
    </row>
    <row r="149" spans="2:3">
      <c r="B149" s="64" t="s">
        <v>2004</v>
      </c>
      <c r="C149" t="e">
        <f t="shared" ca="1" si="2"/>
        <v>#REF!</v>
      </c>
    </row>
    <row r="150" spans="2:3">
      <c r="B150" s="64" t="s">
        <v>2005</v>
      </c>
      <c r="C150" t="e">
        <f t="shared" ca="1" si="2"/>
        <v>#REF!</v>
      </c>
    </row>
    <row r="151" spans="2:3">
      <c r="B151" s="64" t="s">
        <v>2006</v>
      </c>
      <c r="C151" t="e">
        <f t="shared" ca="1" si="2"/>
        <v>#REF!</v>
      </c>
    </row>
    <row r="152" spans="2:3">
      <c r="B152" s="64" t="s">
        <v>2007</v>
      </c>
      <c r="C152" t="e">
        <f t="shared" ca="1" si="2"/>
        <v>#REF!</v>
      </c>
    </row>
    <row r="153" spans="2:3">
      <c r="B153" s="64" t="s">
        <v>2008</v>
      </c>
      <c r="C153" t="e">
        <f t="shared" ca="1" si="2"/>
        <v>#REF!</v>
      </c>
    </row>
    <row r="154" spans="2:3">
      <c r="B154" s="63" t="s">
        <v>2009</v>
      </c>
      <c r="C154" t="e">
        <f t="shared" ca="1" si="2"/>
        <v>#VALUE!</v>
      </c>
    </row>
    <row r="155" spans="2:3">
      <c r="B155" s="63" t="s">
        <v>2010</v>
      </c>
      <c r="C155" t="e">
        <f t="shared" ca="1" si="2"/>
        <v>#VALUE!</v>
      </c>
    </row>
    <row r="156" spans="2:3">
      <c r="B156" s="63" t="s">
        <v>2011</v>
      </c>
      <c r="C156" t="e">
        <f t="shared" ca="1" si="2"/>
        <v>#VALUE!</v>
      </c>
    </row>
    <row r="157" spans="2:3">
      <c r="B157" s="63" t="s">
        <v>2012</v>
      </c>
      <c r="C157" t="e">
        <f t="shared" ca="1" si="2"/>
        <v>#VALUE!</v>
      </c>
    </row>
    <row r="158" spans="2:3">
      <c r="B158" s="63" t="s">
        <v>2013</v>
      </c>
      <c r="C158" t="e">
        <f t="shared" ca="1" si="2"/>
        <v>#REF!</v>
      </c>
    </row>
    <row r="159" spans="2:3">
      <c r="B159" s="63" t="s">
        <v>2014</v>
      </c>
      <c r="C159" t="e">
        <f t="shared" ca="1" si="2"/>
        <v>#VALUE!</v>
      </c>
    </row>
    <row r="160" spans="2:3">
      <c r="B160" s="63" t="s">
        <v>2015</v>
      </c>
      <c r="C160" t="e">
        <f t="shared" ca="1" si="2"/>
        <v>#VALUE!</v>
      </c>
    </row>
    <row r="161" spans="2:3">
      <c r="B161" s="63" t="s">
        <v>2016</v>
      </c>
      <c r="C161" t="e">
        <f t="shared" ca="1" si="2"/>
        <v>#VALUE!</v>
      </c>
    </row>
    <row r="162" spans="2:3">
      <c r="B162" s="63" t="s">
        <v>2017</v>
      </c>
      <c r="C162" t="e">
        <f t="shared" ca="1" si="2"/>
        <v>#VALUE!</v>
      </c>
    </row>
    <row r="163" spans="2:3">
      <c r="B163" s="63" t="s">
        <v>2018</v>
      </c>
      <c r="C163" t="e">
        <f t="shared" ca="1" si="2"/>
        <v>#VALUE!</v>
      </c>
    </row>
    <row r="164" spans="2:3">
      <c r="B164" s="63" t="s">
        <v>2019</v>
      </c>
      <c r="C164" t="e">
        <f t="shared" ca="1" si="2"/>
        <v>#VALUE!</v>
      </c>
    </row>
    <row r="165" spans="2:3">
      <c r="B165" s="63" t="s">
        <v>2020</v>
      </c>
      <c r="C165" t="e">
        <f t="shared" ca="1" si="2"/>
        <v>#VALUE!</v>
      </c>
    </row>
    <row r="166" spans="2:3">
      <c r="B166" s="63" t="s">
        <v>2021</v>
      </c>
      <c r="C166" t="e">
        <f t="shared" ca="1" si="2"/>
        <v>#VALUE!</v>
      </c>
    </row>
    <row r="167" spans="2:3">
      <c r="B167" s="63" t="s">
        <v>2022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2022-09-27T18:20:35Z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